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lamil-my.dps.mil/personal/michael_1_wood_dla_mil/Documents/Desktop/Q1/"/>
    </mc:Choice>
  </mc:AlternateContent>
  <xr:revisionPtr revIDLastSave="0" documentId="8_{F8FD041C-86C2-4938-A9FF-FD48F39434D0}" xr6:coauthVersionLast="47" xr6:coauthVersionMax="47" xr10:uidLastSave="{00000000-0000-0000-0000-000000000000}"/>
  <bookViews>
    <workbookView xWindow="-28920" yWindow="90" windowWidth="29040" windowHeight="15510" xr2:uid="{8089D9C7-72A0-4187-B4A2-331CCCB0E6F9}"/>
  </bookViews>
  <sheets>
    <sheet name="LESO ALL SHIPMENTS" sheetId="1" r:id="rId1"/>
    <sheet name="LESO CANCELLATIONS" sheetId="2" r:id="rId2"/>
  </sheets>
  <definedNames>
    <definedName name="_xlnm._FilterDatabase" localSheetId="0" hidden="1">'LESO ALL SHIPMENTS'!$A$1:$K$2021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2" l="1"/>
  <c r="F2" i="2"/>
  <c r="I2" i="2"/>
  <c r="J2" i="2"/>
  <c r="E3" i="2"/>
  <c r="F3" i="2"/>
  <c r="I3" i="2"/>
  <c r="J3" i="2"/>
  <c r="E4" i="2"/>
  <c r="I4" i="2"/>
  <c r="J4" i="2"/>
  <c r="E5" i="2"/>
  <c r="I5" i="2"/>
  <c r="J5" i="2"/>
  <c r="E6" i="2"/>
  <c r="I6" i="2"/>
  <c r="J6" i="2"/>
  <c r="E7" i="2"/>
  <c r="F7" i="2"/>
  <c r="I7" i="2"/>
  <c r="J7" i="2"/>
  <c r="E8" i="2"/>
  <c r="F8" i="2"/>
  <c r="I8" i="2"/>
  <c r="J8" i="2"/>
  <c r="E9" i="2"/>
  <c r="I9" i="2"/>
  <c r="J9" i="2"/>
  <c r="E10" i="2"/>
  <c r="F10" i="2"/>
  <c r="I10" i="2"/>
  <c r="J10" i="2"/>
  <c r="E11" i="2"/>
  <c r="F11" i="2"/>
  <c r="I11" i="2"/>
  <c r="J11" i="2"/>
  <c r="E12" i="2"/>
  <c r="F12" i="2"/>
  <c r="I12" i="2"/>
  <c r="J12" i="2"/>
  <c r="E13" i="2"/>
  <c r="F13" i="2"/>
  <c r="I13" i="2"/>
  <c r="J13" i="2"/>
  <c r="E14" i="2"/>
  <c r="F14" i="2"/>
  <c r="I14" i="2"/>
  <c r="J14" i="2"/>
  <c r="E15" i="2"/>
  <c r="F15" i="2"/>
  <c r="I15" i="2"/>
  <c r="J15" i="2"/>
  <c r="E16" i="2"/>
  <c r="F16" i="2"/>
  <c r="I16" i="2"/>
  <c r="J16" i="2"/>
  <c r="E17" i="2"/>
  <c r="F17" i="2"/>
  <c r="I17" i="2"/>
  <c r="J17" i="2"/>
  <c r="E18" i="2"/>
  <c r="F18" i="2"/>
  <c r="I18" i="2"/>
  <c r="J18" i="2"/>
  <c r="E19" i="2"/>
  <c r="F19" i="2"/>
  <c r="I19" i="2"/>
  <c r="J19" i="2"/>
  <c r="E20" i="2"/>
  <c r="I20" i="2"/>
  <c r="J20" i="2"/>
  <c r="E21" i="2"/>
  <c r="F21" i="2"/>
  <c r="I21" i="2"/>
  <c r="J21" i="2"/>
  <c r="E22" i="2"/>
  <c r="F22" i="2"/>
  <c r="I22" i="2"/>
  <c r="J22" i="2"/>
  <c r="E23" i="2"/>
  <c r="F23" i="2"/>
  <c r="I23" i="2"/>
  <c r="J23" i="2"/>
  <c r="E24" i="2"/>
  <c r="F24" i="2"/>
  <c r="I24" i="2"/>
  <c r="E25" i="2"/>
  <c r="I25" i="2"/>
  <c r="J25" i="2"/>
  <c r="E26" i="2"/>
  <c r="I26" i="2"/>
  <c r="J26" i="2"/>
  <c r="E27" i="2"/>
  <c r="F27" i="2"/>
  <c r="I27" i="2"/>
  <c r="E28" i="2"/>
  <c r="F28" i="2"/>
  <c r="I28" i="2"/>
  <c r="J28" i="2"/>
  <c r="E29" i="2"/>
  <c r="F29" i="2"/>
  <c r="I29" i="2"/>
  <c r="J29" i="2"/>
  <c r="E30" i="2"/>
  <c r="F30" i="2"/>
  <c r="I30" i="2"/>
  <c r="E31" i="2"/>
  <c r="I31" i="2"/>
  <c r="J31" i="2"/>
  <c r="E32" i="2"/>
  <c r="F32" i="2"/>
  <c r="I32" i="2"/>
  <c r="J32" i="2"/>
  <c r="E33" i="2"/>
  <c r="I33" i="2"/>
  <c r="E34" i="2"/>
  <c r="F34" i="2"/>
  <c r="I34" i="2"/>
  <c r="J34" i="2"/>
  <c r="E35" i="2"/>
  <c r="I35" i="2"/>
  <c r="J35" i="2"/>
  <c r="E36" i="2"/>
  <c r="F36" i="2"/>
  <c r="I36" i="2"/>
  <c r="E37" i="2"/>
  <c r="I37" i="2"/>
  <c r="J37" i="2"/>
  <c r="E38" i="2"/>
  <c r="F38" i="2"/>
  <c r="I38" i="2"/>
  <c r="E39" i="2"/>
  <c r="F39" i="2"/>
  <c r="I39" i="2"/>
  <c r="E40" i="2"/>
  <c r="I40" i="2"/>
  <c r="J40" i="2"/>
  <c r="E41" i="2"/>
  <c r="I41" i="2"/>
  <c r="E42" i="2"/>
  <c r="F42" i="2"/>
  <c r="I42" i="2"/>
  <c r="E43" i="2"/>
  <c r="F43" i="2"/>
  <c r="I43" i="2"/>
  <c r="J43" i="2"/>
  <c r="E44" i="2"/>
  <c r="F44" i="2"/>
  <c r="I44" i="2"/>
  <c r="J44" i="2"/>
  <c r="E45" i="2"/>
  <c r="I45" i="2"/>
  <c r="J45" i="2"/>
  <c r="E46" i="2"/>
  <c r="F46" i="2"/>
  <c r="I46" i="2"/>
  <c r="J46" i="2"/>
  <c r="E47" i="2"/>
  <c r="I47" i="2"/>
  <c r="J47" i="2"/>
  <c r="E48" i="2"/>
  <c r="I48" i="2"/>
  <c r="J48" i="2"/>
  <c r="E49" i="2"/>
  <c r="I49" i="2"/>
  <c r="J49" i="2"/>
  <c r="E50" i="2"/>
  <c r="I50" i="2"/>
  <c r="J50" i="2"/>
  <c r="E51" i="2"/>
  <c r="F51" i="2"/>
  <c r="I51" i="2"/>
  <c r="E52" i="2"/>
  <c r="I52" i="2"/>
  <c r="J52" i="2"/>
  <c r="E53" i="2"/>
  <c r="I53" i="2"/>
  <c r="J53" i="2"/>
  <c r="E54" i="2"/>
  <c r="I54" i="2"/>
  <c r="J54" i="2"/>
  <c r="E55" i="2"/>
  <c r="I55" i="2"/>
  <c r="J55" i="2"/>
  <c r="E56" i="2"/>
  <c r="F56" i="2"/>
  <c r="I56" i="2"/>
  <c r="E57" i="2"/>
  <c r="F57" i="2"/>
  <c r="I57" i="2"/>
  <c r="E58" i="2"/>
  <c r="F58" i="2"/>
  <c r="I58" i="2"/>
  <c r="E59" i="2"/>
  <c r="F59" i="2"/>
  <c r="I59" i="2"/>
  <c r="E60" i="2"/>
  <c r="F60" i="2"/>
  <c r="I60" i="2"/>
  <c r="J60" i="2"/>
  <c r="E61" i="2"/>
  <c r="F61" i="2"/>
  <c r="I61" i="2"/>
  <c r="E62" i="2"/>
  <c r="F62" i="2"/>
  <c r="I62" i="2"/>
  <c r="E63" i="2"/>
  <c r="F63" i="2"/>
  <c r="I63" i="2"/>
  <c r="E64" i="2"/>
  <c r="I64" i="2"/>
  <c r="J64" i="2"/>
  <c r="E65" i="2"/>
  <c r="F65" i="2"/>
  <c r="I65" i="2"/>
  <c r="E66" i="2"/>
  <c r="F66" i="2"/>
  <c r="I66" i="2"/>
  <c r="E67" i="2"/>
  <c r="F67" i="2"/>
  <c r="I67" i="2"/>
  <c r="E68" i="2"/>
  <c r="F68" i="2"/>
  <c r="I68" i="2"/>
  <c r="E69" i="2"/>
  <c r="F69" i="2"/>
  <c r="I69" i="2"/>
  <c r="E70" i="2"/>
  <c r="F70" i="2"/>
  <c r="I70" i="2"/>
  <c r="E71" i="2"/>
  <c r="F71" i="2"/>
  <c r="I71" i="2"/>
  <c r="J71" i="2"/>
  <c r="E72" i="2"/>
  <c r="F72" i="2"/>
  <c r="I72" i="2"/>
  <c r="J72" i="2"/>
  <c r="E73" i="2"/>
  <c r="F73" i="2"/>
  <c r="I73" i="2"/>
  <c r="J73" i="2"/>
  <c r="E74" i="2"/>
  <c r="F74" i="2"/>
  <c r="I74" i="2"/>
  <c r="J74" i="2"/>
  <c r="E75" i="2"/>
  <c r="F75" i="2"/>
  <c r="I75" i="2"/>
  <c r="E76" i="2"/>
  <c r="F76" i="2"/>
  <c r="I76" i="2"/>
  <c r="E77" i="2"/>
  <c r="I77" i="2"/>
  <c r="E78" i="2"/>
  <c r="I78" i="2"/>
  <c r="E79" i="2"/>
  <c r="F79" i="2"/>
  <c r="I79" i="2"/>
  <c r="E80" i="2"/>
  <c r="F80" i="2"/>
  <c r="I80" i="2"/>
  <c r="J80" i="2"/>
  <c r="E81" i="2"/>
  <c r="F81" i="2"/>
  <c r="I81" i="2"/>
  <c r="J81" i="2"/>
  <c r="E82" i="2"/>
  <c r="F82" i="2"/>
  <c r="I82" i="2"/>
  <c r="J82" i="2"/>
  <c r="E83" i="2"/>
  <c r="F83" i="2"/>
  <c r="I83" i="2"/>
  <c r="J83" i="2"/>
  <c r="E84" i="2"/>
  <c r="F84" i="2"/>
  <c r="I84" i="2"/>
  <c r="E85" i="2"/>
  <c r="F85" i="2"/>
  <c r="I85" i="2"/>
  <c r="E86" i="2"/>
  <c r="F86" i="2"/>
  <c r="I86" i="2"/>
  <c r="J86" i="2"/>
  <c r="E87" i="2"/>
  <c r="F87" i="2"/>
  <c r="I87" i="2"/>
  <c r="J87" i="2"/>
  <c r="E88" i="2"/>
  <c r="I88" i="2"/>
  <c r="E89" i="2"/>
  <c r="F89" i="2"/>
  <c r="I89" i="2"/>
  <c r="J89" i="2"/>
  <c r="E90" i="2"/>
  <c r="F90" i="2"/>
  <c r="I90" i="2"/>
  <c r="J90" i="2"/>
  <c r="E91" i="2"/>
  <c r="F91" i="2"/>
  <c r="I91" i="2"/>
  <c r="E92" i="2"/>
  <c r="F92" i="2"/>
  <c r="I92" i="2"/>
  <c r="E93" i="2"/>
  <c r="F93" i="2"/>
  <c r="I93" i="2"/>
  <c r="E94" i="2"/>
  <c r="F94" i="2"/>
  <c r="I94" i="2"/>
  <c r="E95" i="2"/>
  <c r="F95" i="2"/>
  <c r="I95" i="2"/>
  <c r="E96" i="2"/>
  <c r="F96" i="2"/>
  <c r="I96" i="2"/>
  <c r="J96" i="2"/>
  <c r="E97" i="2"/>
  <c r="F97" i="2"/>
  <c r="I97" i="2"/>
  <c r="E98" i="2"/>
  <c r="F98" i="2"/>
  <c r="I98" i="2"/>
  <c r="J98" i="2"/>
  <c r="E99" i="2"/>
  <c r="I99" i="2"/>
  <c r="E100" i="2"/>
  <c r="F100" i="2"/>
  <c r="I100" i="2"/>
  <c r="J100" i="2"/>
  <c r="E101" i="2"/>
  <c r="F101" i="2"/>
  <c r="I101" i="2"/>
  <c r="E102" i="2"/>
  <c r="F102" i="2"/>
  <c r="I102" i="2"/>
  <c r="J102" i="2"/>
  <c r="E103" i="2"/>
  <c r="F103" i="2"/>
  <c r="I103" i="2"/>
  <c r="J103" i="2"/>
  <c r="E104" i="2"/>
  <c r="F104" i="2"/>
  <c r="I104" i="2"/>
  <c r="J104" i="2"/>
  <c r="E105" i="2"/>
  <c r="F105" i="2"/>
  <c r="I105" i="2"/>
  <c r="E106" i="2"/>
  <c r="F106" i="2"/>
  <c r="I106" i="2"/>
  <c r="E107" i="2"/>
  <c r="I107" i="2"/>
  <c r="J107" i="2"/>
  <c r="E108" i="2"/>
  <c r="I108" i="2"/>
  <c r="J108" i="2"/>
  <c r="E109" i="2"/>
  <c r="I109" i="2"/>
  <c r="J109" i="2"/>
  <c r="E110" i="2"/>
  <c r="I110" i="2"/>
  <c r="E111" i="2"/>
  <c r="F111" i="2"/>
  <c r="I111" i="2"/>
  <c r="E112" i="2"/>
  <c r="F112" i="2"/>
  <c r="I112" i="2"/>
  <c r="E113" i="2"/>
  <c r="F113" i="2"/>
  <c r="I113" i="2"/>
  <c r="E114" i="2"/>
  <c r="F114" i="2"/>
  <c r="I114" i="2"/>
  <c r="E115" i="2"/>
  <c r="F115" i="2"/>
  <c r="I115" i="2"/>
  <c r="E116" i="2"/>
  <c r="F116" i="2"/>
  <c r="I116" i="2"/>
  <c r="J116" i="2"/>
  <c r="E117" i="2"/>
  <c r="F117" i="2"/>
  <c r="I117" i="2"/>
  <c r="J117" i="2"/>
  <c r="E118" i="2"/>
  <c r="F118" i="2"/>
  <c r="I118" i="2"/>
  <c r="E119" i="2"/>
  <c r="F119" i="2"/>
  <c r="I119" i="2"/>
  <c r="E120" i="2"/>
  <c r="F120" i="2"/>
  <c r="I120" i="2"/>
  <c r="E121" i="2"/>
  <c r="F121" i="2"/>
  <c r="I121" i="2"/>
  <c r="E122" i="2"/>
  <c r="F122" i="2"/>
  <c r="I122" i="2"/>
  <c r="E123" i="2"/>
  <c r="F123" i="2"/>
  <c r="I123" i="2"/>
  <c r="E124" i="2"/>
  <c r="F124" i="2"/>
  <c r="I124" i="2"/>
  <c r="E125" i="2"/>
  <c r="F125" i="2"/>
  <c r="I125" i="2"/>
  <c r="E126" i="2"/>
  <c r="F126" i="2"/>
  <c r="I126" i="2"/>
  <c r="E127" i="2"/>
  <c r="I127" i="2"/>
  <c r="J127" i="2"/>
  <c r="E128" i="2"/>
  <c r="I128" i="2"/>
  <c r="J128" i="2"/>
  <c r="E129" i="2"/>
  <c r="F129" i="2"/>
  <c r="I129" i="2"/>
  <c r="J129" i="2"/>
  <c r="E130" i="2"/>
  <c r="F130" i="2"/>
  <c r="I130" i="2"/>
  <c r="E131" i="2"/>
  <c r="F131" i="2"/>
  <c r="I131" i="2"/>
  <c r="J131" i="2"/>
  <c r="E132" i="2"/>
  <c r="F132" i="2"/>
  <c r="I132" i="2"/>
  <c r="J132" i="2"/>
  <c r="E133" i="2"/>
  <c r="F133" i="2"/>
  <c r="I133" i="2"/>
  <c r="E134" i="2"/>
  <c r="I134" i="2"/>
  <c r="J134" i="2"/>
  <c r="E135" i="2"/>
  <c r="I135" i="2"/>
  <c r="J135" i="2"/>
  <c r="E136" i="2"/>
  <c r="F136" i="2"/>
  <c r="I136" i="2"/>
  <c r="J136" i="2"/>
  <c r="E137" i="2"/>
  <c r="F137" i="2"/>
  <c r="I137" i="2"/>
  <c r="E138" i="2"/>
  <c r="F138" i="2"/>
  <c r="I138" i="2"/>
  <c r="E139" i="2"/>
  <c r="F139" i="2"/>
  <c r="I139" i="2"/>
  <c r="E140" i="2"/>
  <c r="F140" i="2"/>
  <c r="I140" i="2"/>
  <c r="E141" i="2"/>
  <c r="F141" i="2"/>
  <c r="I141" i="2"/>
  <c r="E142" i="2"/>
  <c r="I142" i="2"/>
  <c r="J142" i="2"/>
  <c r="E143" i="2"/>
  <c r="I143" i="2"/>
  <c r="J143" i="2"/>
  <c r="E144" i="2"/>
  <c r="F144" i="2"/>
  <c r="I144" i="2"/>
  <c r="E145" i="2"/>
  <c r="F145" i="2"/>
  <c r="I145" i="2"/>
  <c r="E146" i="2"/>
  <c r="F146" i="2"/>
  <c r="I146" i="2"/>
  <c r="J146" i="2"/>
  <c r="E147" i="2"/>
  <c r="F147" i="2"/>
  <c r="I147" i="2"/>
  <c r="E148" i="2"/>
  <c r="F148" i="2"/>
  <c r="I148" i="2"/>
  <c r="E149" i="2"/>
  <c r="F149" i="2"/>
  <c r="I149" i="2"/>
  <c r="E150" i="2"/>
  <c r="F150" i="2"/>
  <c r="I150" i="2"/>
  <c r="E151" i="2"/>
  <c r="F151" i="2"/>
  <c r="I151" i="2"/>
  <c r="E152" i="2"/>
  <c r="F152" i="2"/>
  <c r="I152" i="2"/>
  <c r="E153" i="2"/>
  <c r="F153" i="2"/>
  <c r="I153" i="2"/>
  <c r="E154" i="2"/>
  <c r="F154" i="2"/>
  <c r="I154" i="2"/>
  <c r="E155" i="2"/>
  <c r="F155" i="2"/>
  <c r="I155" i="2"/>
  <c r="E156" i="2"/>
  <c r="F156" i="2"/>
  <c r="I156" i="2"/>
  <c r="E157" i="2"/>
  <c r="F157" i="2"/>
  <c r="I157" i="2"/>
  <c r="E158" i="2"/>
  <c r="F158" i="2"/>
  <c r="I158" i="2"/>
  <c r="E159" i="2"/>
  <c r="F159" i="2"/>
  <c r="I159" i="2"/>
  <c r="E160" i="2"/>
  <c r="F160" i="2"/>
  <c r="I160" i="2"/>
  <c r="E161" i="2"/>
  <c r="I161" i="2"/>
  <c r="E162" i="2"/>
  <c r="F162" i="2"/>
  <c r="I162" i="2"/>
  <c r="E163" i="2"/>
  <c r="F163" i="2"/>
  <c r="I163" i="2"/>
  <c r="E164" i="2"/>
  <c r="F164" i="2"/>
  <c r="I164" i="2"/>
  <c r="E165" i="2"/>
  <c r="F165" i="2"/>
  <c r="I165" i="2"/>
  <c r="J165" i="2"/>
  <c r="E166" i="2"/>
  <c r="F166" i="2"/>
  <c r="I166" i="2"/>
  <c r="E167" i="2"/>
  <c r="F167" i="2"/>
  <c r="I167" i="2"/>
  <c r="E168" i="2"/>
  <c r="F168" i="2"/>
  <c r="I168" i="2"/>
  <c r="E169" i="2"/>
  <c r="F169" i="2"/>
  <c r="I169" i="2"/>
  <c r="E170" i="2"/>
  <c r="F170" i="2"/>
  <c r="I170" i="2"/>
  <c r="E171" i="2"/>
  <c r="F171" i="2"/>
  <c r="I171" i="2"/>
  <c r="J171" i="2"/>
  <c r="E172" i="2"/>
  <c r="F172" i="2"/>
  <c r="I172" i="2"/>
  <c r="E173" i="2"/>
  <c r="F173" i="2"/>
  <c r="I173" i="2"/>
  <c r="J173" i="2"/>
  <c r="E174" i="2"/>
  <c r="F174" i="2"/>
  <c r="I174" i="2"/>
  <c r="J174" i="2"/>
  <c r="E175" i="2"/>
  <c r="F175" i="2"/>
  <c r="I175" i="2"/>
  <c r="J175" i="2"/>
  <c r="E176" i="2"/>
  <c r="F176" i="2"/>
  <c r="I176" i="2"/>
  <c r="J176" i="2"/>
  <c r="E177" i="2"/>
  <c r="F177" i="2"/>
  <c r="I177" i="2"/>
  <c r="J177" i="2"/>
  <c r="E178" i="2"/>
  <c r="F178" i="2"/>
  <c r="I178" i="2"/>
  <c r="J178" i="2"/>
  <c r="E179" i="2"/>
  <c r="F179" i="2"/>
  <c r="I179" i="2"/>
  <c r="J179" i="2"/>
  <c r="E180" i="2"/>
  <c r="F180" i="2"/>
  <c r="I180" i="2"/>
  <c r="J180" i="2"/>
  <c r="E181" i="2"/>
  <c r="F181" i="2"/>
  <c r="I181" i="2"/>
  <c r="J181" i="2"/>
  <c r="E182" i="2"/>
  <c r="F182" i="2"/>
  <c r="I182" i="2"/>
  <c r="J182" i="2"/>
  <c r="E183" i="2"/>
  <c r="F183" i="2"/>
  <c r="I183" i="2"/>
  <c r="J183" i="2"/>
  <c r="E184" i="2"/>
  <c r="I184" i="2"/>
  <c r="J184" i="2"/>
  <c r="E185" i="2"/>
  <c r="F185" i="2"/>
  <c r="I185" i="2"/>
  <c r="J185" i="2"/>
  <c r="E186" i="2"/>
  <c r="I186" i="2"/>
  <c r="J186" i="2"/>
  <c r="E187" i="2"/>
  <c r="F187" i="2"/>
  <c r="I187" i="2"/>
  <c r="E188" i="2"/>
  <c r="F188" i="2"/>
  <c r="I188" i="2"/>
  <c r="E189" i="2"/>
  <c r="F189" i="2"/>
  <c r="I189" i="2"/>
  <c r="E190" i="2"/>
  <c r="F190" i="2"/>
  <c r="I190" i="2"/>
  <c r="E191" i="2"/>
  <c r="F191" i="2"/>
  <c r="I191" i="2"/>
  <c r="E192" i="2"/>
  <c r="F192" i="2"/>
  <c r="I192" i="2"/>
  <c r="E193" i="2"/>
  <c r="F193" i="2"/>
  <c r="I193" i="2"/>
  <c r="E194" i="2"/>
  <c r="F194" i="2"/>
  <c r="I194" i="2"/>
  <c r="E195" i="2"/>
  <c r="F195" i="2"/>
  <c r="I195" i="2"/>
  <c r="E196" i="2"/>
  <c r="F196" i="2"/>
  <c r="I196" i="2"/>
  <c r="E197" i="2"/>
  <c r="I197" i="2"/>
  <c r="J197" i="2"/>
  <c r="E198" i="2"/>
  <c r="F198" i="2"/>
  <c r="I198" i="2"/>
  <c r="E199" i="2"/>
  <c r="F199" i="2"/>
  <c r="I199" i="2"/>
  <c r="E200" i="2"/>
  <c r="F200" i="2"/>
  <c r="I200" i="2"/>
  <c r="E201" i="2"/>
  <c r="F201" i="2"/>
  <c r="I201" i="2"/>
  <c r="E202" i="2"/>
  <c r="F202" i="2"/>
  <c r="I202" i="2"/>
  <c r="E203" i="2"/>
  <c r="F203" i="2"/>
  <c r="I203" i="2"/>
  <c r="E204" i="2"/>
  <c r="F204" i="2"/>
  <c r="I204" i="2"/>
  <c r="E205" i="2"/>
  <c r="F205" i="2"/>
  <c r="I205" i="2"/>
  <c r="E206" i="2"/>
  <c r="F206" i="2"/>
  <c r="I206" i="2"/>
  <c r="J206" i="2"/>
  <c r="E207" i="2"/>
  <c r="F207" i="2"/>
  <c r="I207" i="2"/>
  <c r="J207" i="2"/>
  <c r="E208" i="2"/>
  <c r="F208" i="2"/>
  <c r="I208" i="2"/>
  <c r="E209" i="2"/>
  <c r="F209" i="2"/>
  <c r="I209" i="2"/>
  <c r="E210" i="2"/>
  <c r="F210" i="2"/>
  <c r="I210" i="2"/>
  <c r="E211" i="2"/>
  <c r="F211" i="2"/>
  <c r="I211" i="2"/>
  <c r="E212" i="2"/>
  <c r="F212" i="2"/>
  <c r="I212" i="2"/>
  <c r="E213" i="2"/>
  <c r="F213" i="2"/>
  <c r="I213" i="2"/>
  <c r="E214" i="2"/>
  <c r="I214" i="2"/>
  <c r="E215" i="2"/>
  <c r="I215" i="2"/>
  <c r="J215" i="2"/>
  <c r="E216" i="2"/>
  <c r="F216" i="2"/>
  <c r="I216" i="2"/>
  <c r="J216" i="2"/>
  <c r="E217" i="2"/>
  <c r="F217" i="2"/>
  <c r="I217" i="2"/>
  <c r="E218" i="2"/>
  <c r="F218" i="2"/>
  <c r="I218" i="2"/>
  <c r="J218" i="2"/>
  <c r="E219" i="2"/>
  <c r="F219" i="2"/>
  <c r="I219" i="2"/>
  <c r="E220" i="2"/>
  <c r="F220" i="2"/>
  <c r="I220" i="2"/>
  <c r="J220" i="2"/>
  <c r="E221" i="2"/>
  <c r="F221" i="2"/>
  <c r="I221" i="2"/>
  <c r="J221" i="2"/>
  <c r="E222" i="2"/>
  <c r="F222" i="2"/>
  <c r="I222" i="2"/>
  <c r="J222" i="2"/>
  <c r="E223" i="2"/>
  <c r="F223" i="2"/>
  <c r="I223" i="2"/>
  <c r="J223" i="2"/>
  <c r="E224" i="2"/>
  <c r="F224" i="2"/>
  <c r="I224" i="2"/>
  <c r="E225" i="2"/>
  <c r="F225" i="2"/>
  <c r="I225" i="2"/>
  <c r="J225" i="2"/>
  <c r="E226" i="2"/>
  <c r="F226" i="2"/>
  <c r="I226" i="2"/>
  <c r="J226" i="2"/>
  <c r="E227" i="2"/>
  <c r="I227" i="2"/>
  <c r="J227" i="2"/>
  <c r="E228" i="2"/>
  <c r="F228" i="2"/>
  <c r="I228" i="2"/>
  <c r="J228" i="2"/>
  <c r="E229" i="2"/>
  <c r="F229" i="2"/>
  <c r="I229" i="2"/>
  <c r="J229" i="2"/>
  <c r="E230" i="2"/>
  <c r="F230" i="2"/>
  <c r="I230" i="2"/>
  <c r="J230" i="2"/>
  <c r="E231" i="2"/>
  <c r="F231" i="2"/>
  <c r="I231" i="2"/>
  <c r="J231" i="2"/>
  <c r="E232" i="2"/>
  <c r="F232" i="2"/>
  <c r="I232" i="2"/>
  <c r="J232" i="2"/>
  <c r="E233" i="2"/>
  <c r="F233" i="2"/>
  <c r="I233" i="2"/>
  <c r="J233" i="2"/>
  <c r="E234" i="2"/>
  <c r="I234" i="2"/>
  <c r="J234" i="2"/>
  <c r="E235" i="2"/>
  <c r="I235" i="2"/>
  <c r="J235" i="2"/>
  <c r="E236" i="2"/>
  <c r="I236" i="2"/>
  <c r="J236" i="2"/>
  <c r="E237" i="2"/>
  <c r="I237" i="2"/>
  <c r="E238" i="2"/>
  <c r="F238" i="2"/>
  <c r="I238" i="2"/>
  <c r="J238" i="2"/>
  <c r="E239" i="2"/>
  <c r="F239" i="2"/>
  <c r="I239" i="2"/>
  <c r="J239" i="2"/>
  <c r="E240" i="2"/>
  <c r="F240" i="2"/>
  <c r="I240" i="2"/>
  <c r="E241" i="2"/>
  <c r="F241" i="2"/>
  <c r="I241" i="2"/>
  <c r="J241" i="2"/>
  <c r="E242" i="2"/>
  <c r="F242" i="2"/>
  <c r="I242" i="2"/>
  <c r="J242" i="2"/>
  <c r="E243" i="2"/>
  <c r="I243" i="2"/>
  <c r="J243" i="2"/>
  <c r="E244" i="2"/>
  <c r="I244" i="2"/>
  <c r="J244" i="2"/>
  <c r="E245" i="2"/>
  <c r="F245" i="2"/>
  <c r="I245" i="2"/>
  <c r="J245" i="2"/>
  <c r="E246" i="2"/>
  <c r="I246" i="2"/>
  <c r="J246" i="2"/>
  <c r="E247" i="2"/>
  <c r="I247" i="2"/>
  <c r="J247" i="2"/>
  <c r="E248" i="2"/>
  <c r="I248" i="2"/>
  <c r="J248" i="2"/>
  <c r="E249" i="2"/>
  <c r="I249" i="2"/>
  <c r="J249" i="2"/>
  <c r="E250" i="2"/>
  <c r="I250" i="2"/>
  <c r="J250" i="2"/>
  <c r="E251" i="2"/>
  <c r="I251" i="2"/>
  <c r="J251" i="2"/>
  <c r="E252" i="2"/>
  <c r="F252" i="2"/>
  <c r="I252" i="2"/>
  <c r="J252" i="2"/>
  <c r="E253" i="2"/>
  <c r="F253" i="2"/>
  <c r="I253" i="2"/>
  <c r="E254" i="2"/>
  <c r="F254" i="2"/>
  <c r="I254" i="2"/>
  <c r="J254" i="2"/>
  <c r="E255" i="2"/>
  <c r="I255" i="2"/>
  <c r="J255" i="2"/>
  <c r="E256" i="2"/>
  <c r="F256" i="2"/>
  <c r="I256" i="2"/>
  <c r="E257" i="2"/>
  <c r="F257" i="2"/>
  <c r="I257" i="2"/>
  <c r="J257" i="2"/>
  <c r="E258" i="2"/>
  <c r="F258" i="2"/>
  <c r="I258" i="2"/>
  <c r="E259" i="2"/>
  <c r="F259" i="2"/>
  <c r="I259" i="2"/>
  <c r="E260" i="2"/>
  <c r="I260" i="2"/>
  <c r="J260" i="2"/>
  <c r="E261" i="2"/>
  <c r="I261" i="2"/>
  <c r="J261" i="2"/>
  <c r="E262" i="2"/>
  <c r="I262" i="2"/>
  <c r="J262" i="2"/>
  <c r="E263" i="2"/>
  <c r="I263" i="2"/>
  <c r="J263" i="2"/>
  <c r="E264" i="2"/>
  <c r="F264" i="2"/>
  <c r="I264" i="2"/>
  <c r="E265" i="2"/>
  <c r="I265" i="2"/>
  <c r="J265" i="2"/>
  <c r="E266" i="2"/>
  <c r="F266" i="2"/>
  <c r="I266" i="2"/>
  <c r="J266" i="2"/>
  <c r="E267" i="2"/>
  <c r="F267" i="2"/>
  <c r="I267" i="2"/>
  <c r="J267" i="2"/>
  <c r="E268" i="2"/>
  <c r="I268" i="2"/>
  <c r="J268" i="2"/>
  <c r="E269" i="2"/>
  <c r="I269" i="2"/>
  <c r="J269" i="2"/>
  <c r="E270" i="2"/>
  <c r="F270" i="2"/>
  <c r="I270" i="2"/>
  <c r="J270" i="2"/>
  <c r="E271" i="2"/>
  <c r="F271" i="2"/>
  <c r="I271" i="2"/>
  <c r="J271" i="2"/>
  <c r="E272" i="2"/>
  <c r="F272" i="2"/>
  <c r="I272" i="2"/>
  <c r="E273" i="2"/>
  <c r="F273" i="2"/>
  <c r="I273" i="2"/>
  <c r="J273" i="2"/>
  <c r="E274" i="2"/>
  <c r="F274" i="2"/>
  <c r="I274" i="2"/>
  <c r="J274" i="2"/>
  <c r="E275" i="2"/>
  <c r="I275" i="2"/>
  <c r="J275" i="2"/>
  <c r="E276" i="2"/>
  <c r="I276" i="2"/>
  <c r="J276" i="2"/>
  <c r="E277" i="2"/>
  <c r="F277" i="2"/>
  <c r="I277" i="2"/>
  <c r="J277" i="2"/>
  <c r="E278" i="2"/>
  <c r="F278" i="2"/>
  <c r="I278" i="2"/>
  <c r="J278" i="2"/>
  <c r="E279" i="2"/>
  <c r="F279" i="2"/>
  <c r="I279" i="2"/>
  <c r="J279" i="2"/>
  <c r="E280" i="2"/>
  <c r="F280" i="2"/>
  <c r="I280" i="2"/>
  <c r="E281" i="2"/>
  <c r="F281" i="2"/>
  <c r="I281" i="2"/>
  <c r="J281" i="2"/>
  <c r="E282" i="2"/>
  <c r="F282" i="2"/>
  <c r="I282" i="2"/>
  <c r="E283" i="2"/>
  <c r="F283" i="2"/>
  <c r="I283" i="2"/>
  <c r="J283" i="2"/>
  <c r="E284" i="2"/>
  <c r="F284" i="2"/>
  <c r="I284" i="2"/>
  <c r="J284" i="2"/>
  <c r="E285" i="2"/>
  <c r="F285" i="2"/>
  <c r="I285" i="2"/>
  <c r="J285" i="2"/>
  <c r="E286" i="2"/>
  <c r="F286" i="2"/>
  <c r="I286" i="2"/>
  <c r="J286" i="2"/>
  <c r="E287" i="2"/>
  <c r="F287" i="2"/>
  <c r="I287" i="2"/>
  <c r="J287" i="2"/>
  <c r="E288" i="2"/>
  <c r="F288" i="2"/>
  <c r="I288" i="2"/>
  <c r="J288" i="2"/>
  <c r="E289" i="2"/>
  <c r="F289" i="2"/>
  <c r="I289" i="2"/>
  <c r="E290" i="2"/>
  <c r="F290" i="2"/>
  <c r="I290" i="2"/>
  <c r="J290" i="2"/>
  <c r="E291" i="2"/>
  <c r="F291" i="2"/>
  <c r="I291" i="2"/>
  <c r="J291" i="2"/>
  <c r="E292" i="2"/>
  <c r="F292" i="2"/>
  <c r="I292" i="2"/>
  <c r="J292" i="2"/>
  <c r="E293" i="2"/>
  <c r="F293" i="2"/>
  <c r="I293" i="2"/>
  <c r="J293" i="2"/>
  <c r="E294" i="2"/>
  <c r="F294" i="2"/>
  <c r="I294" i="2"/>
  <c r="J294" i="2"/>
  <c r="E295" i="2"/>
  <c r="F295" i="2"/>
  <c r="I295" i="2"/>
  <c r="J295" i="2"/>
  <c r="E296" i="2"/>
  <c r="F296" i="2"/>
  <c r="I296" i="2"/>
  <c r="J296" i="2"/>
  <c r="E297" i="2"/>
  <c r="F297" i="2"/>
  <c r="I297" i="2"/>
  <c r="J297" i="2"/>
  <c r="E298" i="2"/>
  <c r="I298" i="2"/>
  <c r="J298" i="2"/>
  <c r="E299" i="2"/>
  <c r="F299" i="2"/>
  <c r="I299" i="2"/>
  <c r="J299" i="2"/>
  <c r="E300" i="2"/>
  <c r="F300" i="2"/>
  <c r="I300" i="2"/>
  <c r="J300" i="2"/>
  <c r="E301" i="2"/>
  <c r="I301" i="2"/>
  <c r="J301" i="2"/>
  <c r="E302" i="2"/>
  <c r="I302" i="2"/>
  <c r="J302" i="2"/>
  <c r="E303" i="2"/>
  <c r="I303" i="2"/>
  <c r="J303" i="2"/>
  <c r="E304" i="2"/>
  <c r="F304" i="2"/>
  <c r="I304" i="2"/>
  <c r="J304" i="2"/>
  <c r="E305" i="2"/>
  <c r="I305" i="2"/>
  <c r="J305" i="2"/>
  <c r="E306" i="2"/>
  <c r="F306" i="2"/>
  <c r="I306" i="2"/>
  <c r="J306" i="2"/>
  <c r="E307" i="2"/>
  <c r="F307" i="2"/>
  <c r="I307" i="2"/>
  <c r="J307" i="2"/>
  <c r="E308" i="2"/>
  <c r="F308" i="2"/>
  <c r="I308" i="2"/>
  <c r="J308" i="2"/>
  <c r="E309" i="2"/>
  <c r="F309" i="2"/>
  <c r="I309" i="2"/>
  <c r="J309" i="2"/>
  <c r="E310" i="2"/>
  <c r="I310" i="2"/>
  <c r="J310" i="2"/>
  <c r="E311" i="2"/>
  <c r="F311" i="2"/>
  <c r="I311" i="2"/>
  <c r="E312" i="2"/>
  <c r="I312" i="2"/>
  <c r="J312" i="2"/>
  <c r="E313" i="2"/>
  <c r="F313" i="2"/>
  <c r="I313" i="2"/>
  <c r="J313" i="2"/>
  <c r="E314" i="2"/>
  <c r="I314" i="2"/>
  <c r="E315" i="2"/>
  <c r="F315" i="2"/>
  <c r="I315" i="2"/>
  <c r="J315" i="2"/>
  <c r="E316" i="2"/>
  <c r="F316" i="2"/>
  <c r="I316" i="2"/>
  <c r="J316" i="2"/>
  <c r="E317" i="2"/>
  <c r="F317" i="2"/>
  <c r="I317" i="2"/>
  <c r="J317" i="2"/>
  <c r="E318" i="2"/>
  <c r="F318" i="2"/>
  <c r="I318" i="2"/>
  <c r="J318" i="2"/>
  <c r="E319" i="2"/>
  <c r="I319" i="2"/>
  <c r="J319" i="2"/>
  <c r="E320" i="2"/>
  <c r="F320" i="2"/>
  <c r="I320" i="2"/>
  <c r="E321" i="2"/>
  <c r="F321" i="2"/>
  <c r="I321" i="2"/>
  <c r="E322" i="2"/>
  <c r="F322" i="2"/>
  <c r="I322" i="2"/>
  <c r="E323" i="2"/>
  <c r="F323" i="2"/>
  <c r="I323" i="2"/>
  <c r="E324" i="2"/>
  <c r="F324" i="2"/>
  <c r="I324" i="2"/>
  <c r="E325" i="2"/>
  <c r="F325" i="2"/>
  <c r="I325" i="2"/>
  <c r="J325" i="2"/>
  <c r="E326" i="2"/>
  <c r="I326" i="2"/>
  <c r="J326" i="2"/>
  <c r="E327" i="2"/>
  <c r="F327" i="2"/>
  <c r="I327" i="2"/>
  <c r="E328" i="2"/>
  <c r="I328" i="2"/>
  <c r="J328" i="2"/>
  <c r="E329" i="2"/>
  <c r="F329" i="2"/>
  <c r="I329" i="2"/>
  <c r="J329" i="2"/>
  <c r="E330" i="2"/>
  <c r="F330" i="2"/>
  <c r="I330" i="2"/>
  <c r="J330" i="2"/>
  <c r="E331" i="2"/>
  <c r="F331" i="2"/>
  <c r="I331" i="2"/>
  <c r="J331" i="2"/>
  <c r="E332" i="2"/>
  <c r="F332" i="2"/>
  <c r="I332" i="2"/>
  <c r="J332" i="2"/>
  <c r="E333" i="2"/>
  <c r="F333" i="2"/>
  <c r="I333" i="2"/>
  <c r="J333" i="2"/>
  <c r="E334" i="2"/>
  <c r="I334" i="2"/>
  <c r="J334" i="2"/>
  <c r="E335" i="2"/>
  <c r="F335" i="2"/>
  <c r="I335" i="2"/>
  <c r="J335" i="2"/>
  <c r="E336" i="2"/>
  <c r="F336" i="2"/>
  <c r="I336" i="2"/>
  <c r="E337" i="2"/>
  <c r="F337" i="2"/>
  <c r="I337" i="2"/>
  <c r="E338" i="2"/>
  <c r="F338" i="2"/>
  <c r="I338" i="2"/>
  <c r="E339" i="2"/>
  <c r="F339" i="2"/>
  <c r="I339" i="2"/>
  <c r="J339" i="2"/>
  <c r="E340" i="2"/>
  <c r="I340" i="2"/>
  <c r="J340" i="2"/>
  <c r="E341" i="2"/>
  <c r="F341" i="2"/>
  <c r="I341" i="2"/>
  <c r="J341" i="2"/>
  <c r="E342" i="2"/>
  <c r="F342" i="2"/>
  <c r="I342" i="2"/>
  <c r="E343" i="2"/>
  <c r="F343" i="2"/>
  <c r="I343" i="2"/>
  <c r="J343" i="2"/>
  <c r="E344" i="2"/>
  <c r="F344" i="2"/>
  <c r="I344" i="2"/>
  <c r="J344" i="2"/>
  <c r="E345" i="2"/>
  <c r="F345" i="2"/>
  <c r="I345" i="2"/>
  <c r="J345" i="2"/>
  <c r="E346" i="2"/>
  <c r="F346" i="2"/>
  <c r="I346" i="2"/>
  <c r="E347" i="2"/>
  <c r="F347" i="2"/>
  <c r="I347" i="2"/>
  <c r="E348" i="2"/>
  <c r="F348" i="2"/>
  <c r="I348" i="2"/>
  <c r="E349" i="2"/>
  <c r="F349" i="2"/>
  <c r="I349" i="2"/>
  <c r="E350" i="2"/>
  <c r="F350" i="2"/>
  <c r="I350" i="2"/>
  <c r="E351" i="2"/>
  <c r="F351" i="2"/>
  <c r="I351" i="2"/>
  <c r="E352" i="2"/>
  <c r="F352" i="2"/>
  <c r="I352" i="2"/>
  <c r="E353" i="2"/>
  <c r="F353" i="2"/>
  <c r="I353" i="2"/>
  <c r="E354" i="2"/>
  <c r="F354" i="2"/>
  <c r="I354" i="2"/>
  <c r="E355" i="2"/>
  <c r="F355" i="2"/>
  <c r="I355" i="2"/>
  <c r="E356" i="2"/>
  <c r="F356" i="2"/>
  <c r="I356" i="2"/>
  <c r="E357" i="2"/>
  <c r="F357" i="2"/>
  <c r="I357" i="2"/>
  <c r="E358" i="2"/>
  <c r="F358" i="2"/>
  <c r="I358" i="2"/>
  <c r="E359" i="2"/>
  <c r="F359" i="2"/>
  <c r="I359" i="2"/>
  <c r="E360" i="2"/>
  <c r="F360" i="2"/>
  <c r="I360" i="2"/>
  <c r="E361" i="2"/>
  <c r="F361" i="2"/>
  <c r="I361" i="2"/>
  <c r="E362" i="2"/>
  <c r="F362" i="2"/>
  <c r="I362" i="2"/>
  <c r="E363" i="2"/>
  <c r="F363" i="2"/>
  <c r="I363" i="2"/>
  <c r="E364" i="2"/>
  <c r="F364" i="2"/>
  <c r="I364" i="2"/>
  <c r="E365" i="2"/>
  <c r="F365" i="2"/>
  <c r="I365" i="2"/>
  <c r="E366" i="2"/>
  <c r="F366" i="2"/>
  <c r="I366" i="2"/>
  <c r="E367" i="2"/>
  <c r="F367" i="2"/>
  <c r="I367" i="2"/>
  <c r="E368" i="2"/>
  <c r="F368" i="2"/>
  <c r="I368" i="2"/>
  <c r="E369" i="2"/>
  <c r="F369" i="2"/>
  <c r="I369" i="2"/>
  <c r="E370" i="2"/>
  <c r="F370" i="2"/>
  <c r="I370" i="2"/>
  <c r="E371" i="2"/>
  <c r="F371" i="2"/>
  <c r="I371" i="2"/>
  <c r="E372" i="2"/>
  <c r="F372" i="2"/>
  <c r="I372" i="2"/>
  <c r="E373" i="2"/>
  <c r="F373" i="2"/>
  <c r="I373" i="2"/>
  <c r="E374" i="2"/>
  <c r="F374" i="2"/>
  <c r="I374" i="2"/>
  <c r="E375" i="2"/>
  <c r="F375" i="2"/>
  <c r="I375" i="2"/>
  <c r="E376" i="2"/>
  <c r="F376" i="2"/>
  <c r="I376" i="2"/>
  <c r="E377" i="2"/>
  <c r="F377" i="2"/>
  <c r="I377" i="2"/>
  <c r="E378" i="2"/>
  <c r="F378" i="2"/>
  <c r="I378" i="2"/>
  <c r="J378" i="2"/>
  <c r="E379" i="2"/>
  <c r="F379" i="2"/>
  <c r="I379" i="2"/>
  <c r="J379" i="2"/>
  <c r="E380" i="2"/>
  <c r="I380" i="2"/>
  <c r="J380" i="2"/>
  <c r="E381" i="2"/>
  <c r="F381" i="2"/>
  <c r="I381" i="2"/>
  <c r="J381" i="2"/>
  <c r="E382" i="2"/>
  <c r="I382" i="2"/>
  <c r="J382" i="2"/>
  <c r="E383" i="2"/>
  <c r="F383" i="2"/>
  <c r="I383" i="2"/>
  <c r="E384" i="2"/>
  <c r="F384" i="2"/>
  <c r="I384" i="2"/>
  <c r="J384" i="2"/>
  <c r="E385" i="2"/>
  <c r="F385" i="2"/>
  <c r="I385" i="2"/>
  <c r="J385" i="2"/>
  <c r="E386" i="2"/>
  <c r="I386" i="2"/>
  <c r="J386" i="2"/>
  <c r="E387" i="2"/>
  <c r="I387" i="2"/>
  <c r="E388" i="2"/>
  <c r="I388" i="2"/>
  <c r="J388" i="2"/>
  <c r="E389" i="2"/>
  <c r="F389" i="2"/>
  <c r="I389" i="2"/>
  <c r="E390" i="2"/>
  <c r="I390" i="2"/>
  <c r="J390" i="2"/>
  <c r="E391" i="2"/>
  <c r="F391" i="2"/>
  <c r="I391" i="2"/>
  <c r="J391" i="2"/>
  <c r="E392" i="2"/>
  <c r="F392" i="2"/>
  <c r="I392" i="2"/>
  <c r="E393" i="2"/>
  <c r="F393" i="2"/>
  <c r="I393" i="2"/>
  <c r="E394" i="2"/>
  <c r="F394" i="2"/>
  <c r="I394" i="2"/>
  <c r="J394" i="2"/>
  <c r="E395" i="2"/>
  <c r="F395" i="2"/>
  <c r="I395" i="2"/>
  <c r="E396" i="2"/>
  <c r="F396" i="2"/>
  <c r="I396" i="2"/>
  <c r="E397" i="2"/>
  <c r="F397" i="2"/>
  <c r="I397" i="2"/>
  <c r="E398" i="2"/>
  <c r="F398" i="2"/>
  <c r="I398" i="2"/>
  <c r="E399" i="2"/>
  <c r="F399" i="2"/>
  <c r="I399" i="2"/>
  <c r="E400" i="2"/>
  <c r="F400" i="2"/>
  <c r="I400" i="2"/>
  <c r="E401" i="2"/>
  <c r="F401" i="2"/>
  <c r="I401" i="2"/>
  <c r="E402" i="2"/>
  <c r="I402" i="2"/>
  <c r="J402" i="2"/>
  <c r="E403" i="2"/>
  <c r="F403" i="2"/>
  <c r="I403" i="2"/>
  <c r="J403" i="2"/>
  <c r="E404" i="2"/>
  <c r="F404" i="2"/>
  <c r="I404" i="2"/>
  <c r="J404" i="2"/>
  <c r="E405" i="2"/>
  <c r="F405" i="2"/>
  <c r="I405" i="2"/>
  <c r="J405" i="2"/>
  <c r="E406" i="2"/>
  <c r="F406" i="2"/>
  <c r="I406" i="2"/>
  <c r="J406" i="2"/>
  <c r="E407" i="2"/>
  <c r="F407" i="2"/>
  <c r="I407" i="2"/>
  <c r="J407" i="2"/>
  <c r="E408" i="2"/>
  <c r="F408" i="2"/>
  <c r="I408" i="2"/>
  <c r="E409" i="2"/>
  <c r="I409" i="2"/>
  <c r="J409" i="2"/>
  <c r="E410" i="2"/>
  <c r="F410" i="2"/>
  <c r="I410" i="2"/>
  <c r="J410" i="2"/>
  <c r="E411" i="2"/>
  <c r="I411" i="2"/>
  <c r="J411" i="2"/>
  <c r="E412" i="2"/>
  <c r="I412" i="2"/>
  <c r="J412" i="2"/>
  <c r="E413" i="2"/>
  <c r="I413" i="2"/>
  <c r="J413" i="2"/>
  <c r="E414" i="2"/>
  <c r="F414" i="2"/>
  <c r="I414" i="2"/>
  <c r="J414" i="2"/>
  <c r="E415" i="2"/>
  <c r="F415" i="2"/>
  <c r="I415" i="2"/>
  <c r="J415" i="2"/>
  <c r="E416" i="2"/>
  <c r="I416" i="2"/>
  <c r="J416" i="2"/>
  <c r="E417" i="2"/>
  <c r="I417" i="2"/>
  <c r="J417" i="2"/>
  <c r="E418" i="2"/>
  <c r="I418" i="2"/>
  <c r="E419" i="2"/>
  <c r="F419" i="2"/>
  <c r="I419" i="2"/>
  <c r="E420" i="2"/>
  <c r="I420" i="2"/>
  <c r="J420" i="2"/>
  <c r="E421" i="2"/>
  <c r="I421" i="2"/>
  <c r="J421" i="2"/>
  <c r="E422" i="2"/>
  <c r="F422" i="2"/>
  <c r="I422" i="2"/>
  <c r="E423" i="2"/>
  <c r="F423" i="2"/>
  <c r="I423" i="2"/>
  <c r="E424" i="2"/>
  <c r="F424" i="2"/>
  <c r="I424" i="2"/>
  <c r="E425" i="2"/>
  <c r="F425" i="2"/>
  <c r="I425" i="2"/>
  <c r="E426" i="2"/>
  <c r="F426" i="2"/>
  <c r="I426" i="2"/>
  <c r="E427" i="2"/>
  <c r="F427" i="2"/>
  <c r="I427" i="2"/>
  <c r="E428" i="2"/>
  <c r="F428" i="2"/>
  <c r="I428" i="2"/>
  <c r="E429" i="2"/>
  <c r="I429" i="2"/>
  <c r="J429" i="2"/>
  <c r="E430" i="2"/>
  <c r="F430" i="2"/>
  <c r="I430" i="2"/>
  <c r="J430" i="2"/>
  <c r="E431" i="2"/>
  <c r="F431" i="2"/>
  <c r="I431" i="2"/>
  <c r="E432" i="2"/>
  <c r="F432" i="2"/>
  <c r="I432" i="2"/>
  <c r="J432" i="2"/>
  <c r="E433" i="2"/>
  <c r="F433" i="2"/>
  <c r="I433" i="2"/>
  <c r="E434" i="2"/>
  <c r="F434" i="2"/>
  <c r="I434" i="2"/>
  <c r="E435" i="2"/>
  <c r="F435" i="2"/>
  <c r="I435" i="2"/>
  <c r="E436" i="2"/>
  <c r="F436" i="2"/>
  <c r="I436" i="2"/>
  <c r="E437" i="2"/>
  <c r="F437" i="2"/>
  <c r="I437" i="2"/>
  <c r="J437" i="2"/>
  <c r="E438" i="2"/>
  <c r="I438" i="2"/>
  <c r="E439" i="2"/>
  <c r="I439" i="2"/>
  <c r="E440" i="2"/>
  <c r="F440" i="2"/>
  <c r="I440" i="2"/>
  <c r="J440" i="2"/>
  <c r="E441" i="2"/>
  <c r="F441" i="2"/>
  <c r="I441" i="2"/>
  <c r="E442" i="2"/>
  <c r="F442" i="2"/>
  <c r="I442" i="2"/>
  <c r="J442" i="2"/>
  <c r="E443" i="2"/>
  <c r="F443" i="2"/>
  <c r="I443" i="2"/>
  <c r="J443" i="2"/>
  <c r="E444" i="2"/>
  <c r="I444" i="2"/>
  <c r="J444" i="2"/>
  <c r="E445" i="2"/>
  <c r="F445" i="2"/>
  <c r="I445" i="2"/>
  <c r="J445" i="2"/>
  <c r="E446" i="2"/>
  <c r="F446" i="2"/>
  <c r="I446" i="2"/>
  <c r="J446" i="2"/>
  <c r="E447" i="2"/>
  <c r="F447" i="2"/>
  <c r="I447" i="2"/>
  <c r="J447" i="2"/>
  <c r="E448" i="2"/>
  <c r="F448" i="2"/>
  <c r="I448" i="2"/>
  <c r="J448" i="2"/>
  <c r="E449" i="2"/>
  <c r="F449" i="2"/>
  <c r="I449" i="2"/>
  <c r="J449" i="2"/>
  <c r="E450" i="2"/>
  <c r="F450" i="2"/>
  <c r="I450" i="2"/>
  <c r="J450" i="2"/>
  <c r="E451" i="2"/>
  <c r="F451" i="2"/>
  <c r="I451" i="2"/>
  <c r="J451" i="2"/>
  <c r="E452" i="2"/>
  <c r="I452" i="2"/>
  <c r="J452" i="2"/>
  <c r="E453" i="2"/>
  <c r="I453" i="2"/>
  <c r="E454" i="2"/>
  <c r="F454" i="2"/>
  <c r="I454" i="2"/>
  <c r="J454" i="2"/>
  <c r="E455" i="2"/>
  <c r="I455" i="2"/>
  <c r="J455" i="2"/>
  <c r="E456" i="2"/>
  <c r="F456" i="2"/>
  <c r="I456" i="2"/>
  <c r="J456" i="2"/>
  <c r="E457" i="2"/>
  <c r="I457" i="2"/>
  <c r="E458" i="2"/>
  <c r="I458" i="2"/>
  <c r="J458" i="2"/>
  <c r="E459" i="2"/>
  <c r="I459" i="2"/>
  <c r="J459" i="2"/>
  <c r="E460" i="2"/>
  <c r="I460" i="2"/>
  <c r="J460" i="2"/>
  <c r="E461" i="2"/>
  <c r="F461" i="2"/>
  <c r="I461" i="2"/>
  <c r="J461" i="2"/>
  <c r="E462" i="2"/>
  <c r="I462" i="2"/>
  <c r="E463" i="2"/>
  <c r="F463" i="2"/>
  <c r="I463" i="2"/>
  <c r="J463" i="2"/>
  <c r="E464" i="2"/>
  <c r="F464" i="2"/>
  <c r="I464" i="2"/>
  <c r="J464" i="2"/>
  <c r="E465" i="2"/>
  <c r="F465" i="2"/>
  <c r="I465" i="2"/>
  <c r="E466" i="2"/>
  <c r="F466" i="2"/>
  <c r="I466" i="2"/>
  <c r="E467" i="2"/>
  <c r="F467" i="2"/>
  <c r="I467" i="2"/>
  <c r="E468" i="2"/>
  <c r="F468" i="2"/>
  <c r="I468" i="2"/>
  <c r="E469" i="2"/>
  <c r="F469" i="2"/>
  <c r="I469" i="2"/>
  <c r="J469" i="2"/>
  <c r="E470" i="2"/>
  <c r="I470" i="2"/>
  <c r="J470" i="2"/>
  <c r="E471" i="2"/>
  <c r="F471" i="2"/>
  <c r="I471" i="2"/>
  <c r="J471" i="2"/>
  <c r="E472" i="2"/>
  <c r="F472" i="2"/>
  <c r="I472" i="2"/>
  <c r="J472" i="2"/>
  <c r="E473" i="2"/>
  <c r="F473" i="2"/>
  <c r="I473" i="2"/>
  <c r="J473" i="2"/>
  <c r="E474" i="2"/>
  <c r="I474" i="2"/>
  <c r="J474" i="2"/>
  <c r="E475" i="2"/>
  <c r="I475" i="2"/>
  <c r="J475" i="2"/>
  <c r="E476" i="2"/>
  <c r="F476" i="2"/>
  <c r="I476" i="2"/>
  <c r="E477" i="2"/>
  <c r="F477" i="2"/>
  <c r="I477" i="2"/>
  <c r="J477" i="2"/>
  <c r="E478" i="2"/>
  <c r="F478" i="2"/>
  <c r="I478" i="2"/>
  <c r="J478" i="2"/>
  <c r="E479" i="2"/>
  <c r="F479" i="2"/>
  <c r="I479" i="2"/>
  <c r="J479" i="2"/>
  <c r="E480" i="2"/>
  <c r="F480" i="2"/>
  <c r="I480" i="2"/>
  <c r="J480" i="2"/>
  <c r="E481" i="2"/>
  <c r="I481" i="2"/>
  <c r="E482" i="2"/>
  <c r="F482" i="2"/>
  <c r="I482" i="2"/>
  <c r="E483" i="2"/>
  <c r="F483" i="2"/>
  <c r="I483" i="2"/>
  <c r="J483" i="2"/>
  <c r="E484" i="2"/>
  <c r="I484" i="2"/>
  <c r="J484" i="2"/>
  <c r="E485" i="2"/>
  <c r="I485" i="2"/>
  <c r="J485" i="2"/>
  <c r="E486" i="2"/>
  <c r="I486" i="2"/>
  <c r="E487" i="2"/>
  <c r="I487" i="2"/>
  <c r="E488" i="2"/>
  <c r="I488" i="2"/>
  <c r="J488" i="2"/>
  <c r="E489" i="2"/>
  <c r="F489" i="2"/>
  <c r="I489" i="2"/>
  <c r="E490" i="2"/>
  <c r="I490" i="2"/>
  <c r="J490" i="2"/>
  <c r="E491" i="2"/>
  <c r="F491" i="2"/>
  <c r="I491" i="2"/>
  <c r="E492" i="2"/>
  <c r="F492" i="2"/>
  <c r="I492" i="2"/>
  <c r="E493" i="2"/>
  <c r="I493" i="2"/>
  <c r="J493" i="2"/>
  <c r="E494" i="2"/>
  <c r="F494" i="2"/>
  <c r="I494" i="2"/>
  <c r="E495" i="2"/>
  <c r="F495" i="2"/>
  <c r="I495" i="2"/>
  <c r="E496" i="2"/>
  <c r="F496" i="2"/>
  <c r="I496" i="2"/>
  <c r="E497" i="2"/>
  <c r="F497" i="2"/>
  <c r="I497" i="2"/>
  <c r="J497" i="2"/>
  <c r="E498" i="2"/>
  <c r="F498" i="2"/>
  <c r="I498" i="2"/>
  <c r="E499" i="2"/>
  <c r="F499" i="2"/>
  <c r="I499" i="2"/>
  <c r="E500" i="2"/>
  <c r="F500" i="2"/>
  <c r="I500" i="2"/>
  <c r="E501" i="2"/>
  <c r="F501" i="2"/>
  <c r="I501" i="2"/>
  <c r="E502" i="2"/>
  <c r="F502" i="2"/>
  <c r="I502" i="2"/>
  <c r="E503" i="2"/>
  <c r="F503" i="2"/>
  <c r="I503" i="2"/>
  <c r="J503" i="2"/>
  <c r="E504" i="2"/>
  <c r="I504" i="2"/>
  <c r="J504" i="2"/>
  <c r="E505" i="2"/>
  <c r="I505" i="2"/>
  <c r="J505" i="2"/>
  <c r="E506" i="2"/>
  <c r="I506" i="2"/>
  <c r="J506" i="2"/>
  <c r="E507" i="2"/>
  <c r="F507" i="2"/>
  <c r="I507" i="2"/>
  <c r="J507" i="2"/>
  <c r="E508" i="2"/>
  <c r="F508" i="2"/>
  <c r="I508" i="2"/>
  <c r="J508" i="2"/>
  <c r="E509" i="2"/>
  <c r="F509" i="2"/>
  <c r="I509" i="2"/>
  <c r="J509" i="2"/>
  <c r="E510" i="2"/>
  <c r="F510" i="2"/>
  <c r="I510" i="2"/>
  <c r="J510" i="2"/>
  <c r="E511" i="2"/>
  <c r="F511" i="2"/>
  <c r="I511" i="2"/>
  <c r="E512" i="2"/>
  <c r="F512" i="2"/>
  <c r="I512" i="2"/>
  <c r="E513" i="2"/>
  <c r="F513" i="2"/>
  <c r="I513" i="2"/>
  <c r="J513" i="2"/>
  <c r="E514" i="2"/>
  <c r="F514" i="2"/>
  <c r="I514" i="2"/>
  <c r="J514" i="2"/>
  <c r="E515" i="2"/>
  <c r="I515" i="2"/>
  <c r="J515" i="2"/>
  <c r="E516" i="2"/>
  <c r="I516" i="2"/>
  <c r="J516" i="2"/>
  <c r="E517" i="2"/>
  <c r="I517" i="2"/>
  <c r="J517" i="2"/>
  <c r="E518" i="2"/>
  <c r="I518" i="2"/>
  <c r="J518" i="2"/>
  <c r="E519" i="2"/>
  <c r="I519" i="2"/>
  <c r="J519" i="2"/>
  <c r="E520" i="2"/>
  <c r="F520" i="2"/>
  <c r="I520" i="2"/>
  <c r="E521" i="2"/>
  <c r="I521" i="2"/>
  <c r="J521" i="2"/>
  <c r="E522" i="2"/>
  <c r="F522" i="2"/>
  <c r="I522" i="2"/>
  <c r="E523" i="2"/>
  <c r="F523" i="2"/>
  <c r="I523" i="2"/>
  <c r="E524" i="2"/>
  <c r="F524" i="2"/>
  <c r="I524" i="2"/>
  <c r="E525" i="2"/>
  <c r="I525" i="2"/>
  <c r="J525" i="2"/>
  <c r="E526" i="2"/>
  <c r="F526" i="2"/>
  <c r="I526" i="2"/>
  <c r="J526" i="2"/>
  <c r="E527" i="2"/>
  <c r="F527" i="2"/>
  <c r="I527" i="2"/>
  <c r="J527" i="2"/>
  <c r="E528" i="2"/>
  <c r="F528" i="2"/>
  <c r="I528" i="2"/>
  <c r="J528" i="2"/>
  <c r="E529" i="2"/>
  <c r="F529" i="2"/>
  <c r="I529" i="2"/>
  <c r="J529" i="2"/>
  <c r="E530" i="2"/>
  <c r="I530" i="2"/>
  <c r="J530" i="2"/>
  <c r="E531" i="2"/>
  <c r="I531" i="2"/>
  <c r="J531" i="2"/>
  <c r="E532" i="2"/>
  <c r="F532" i="2"/>
  <c r="I532" i="2"/>
  <c r="J532" i="2"/>
  <c r="E533" i="2"/>
  <c r="I533" i="2"/>
  <c r="J533" i="2"/>
  <c r="E534" i="2"/>
  <c r="F534" i="2"/>
  <c r="I534" i="2"/>
  <c r="J534" i="2"/>
  <c r="E535" i="2"/>
  <c r="F535" i="2"/>
  <c r="I535" i="2"/>
  <c r="J535" i="2"/>
  <c r="E536" i="2"/>
  <c r="F536" i="2"/>
  <c r="I536" i="2"/>
  <c r="J536" i="2"/>
  <c r="E537" i="2"/>
  <c r="F537" i="2"/>
  <c r="I537" i="2"/>
  <c r="J537" i="2"/>
  <c r="E538" i="2"/>
  <c r="I538" i="2"/>
  <c r="J538" i="2"/>
  <c r="E539" i="2"/>
  <c r="I539" i="2"/>
  <c r="J539" i="2"/>
  <c r="E540" i="2"/>
  <c r="F540" i="2"/>
  <c r="I540" i="2"/>
  <c r="E541" i="2"/>
  <c r="I541" i="2"/>
  <c r="E542" i="2"/>
  <c r="I542" i="2"/>
  <c r="J542" i="2"/>
  <c r="E543" i="2"/>
  <c r="I543" i="2"/>
  <c r="J543" i="2"/>
  <c r="E544" i="2"/>
  <c r="I544" i="2"/>
  <c r="J544" i="2"/>
  <c r="E545" i="2"/>
  <c r="I545" i="2"/>
  <c r="E546" i="2"/>
  <c r="F546" i="2"/>
  <c r="I546" i="2"/>
  <c r="J546" i="2"/>
  <c r="E547" i="2"/>
  <c r="F547" i="2"/>
  <c r="I547" i="2"/>
  <c r="J547" i="2"/>
  <c r="E548" i="2"/>
  <c r="F548" i="2"/>
  <c r="I548" i="2"/>
  <c r="J548" i="2"/>
  <c r="E549" i="2"/>
  <c r="I549" i="2"/>
  <c r="J549" i="2"/>
  <c r="E550" i="2"/>
  <c r="F550" i="2"/>
  <c r="I550" i="2"/>
  <c r="E551" i="2"/>
  <c r="I551" i="2"/>
  <c r="J551" i="2"/>
  <c r="E552" i="2"/>
  <c r="I552" i="2"/>
  <c r="J552" i="2"/>
  <c r="E553" i="2"/>
  <c r="I553" i="2"/>
  <c r="J553" i="2"/>
  <c r="E554" i="2"/>
  <c r="F554" i="2"/>
  <c r="I554" i="2"/>
  <c r="E555" i="2"/>
  <c r="I555" i="2"/>
  <c r="J555" i="2"/>
  <c r="E556" i="2"/>
  <c r="F556" i="2"/>
  <c r="I556" i="2"/>
  <c r="E557" i="2"/>
  <c r="F557" i="2"/>
  <c r="I557" i="2"/>
  <c r="J557" i="2"/>
  <c r="E558" i="2"/>
  <c r="I558" i="2"/>
  <c r="J558" i="2"/>
  <c r="E559" i="2"/>
  <c r="I559" i="2"/>
  <c r="J559" i="2"/>
  <c r="E560" i="2"/>
  <c r="F560" i="2"/>
  <c r="I560" i="2"/>
  <c r="J560" i="2"/>
  <c r="E561" i="2"/>
  <c r="F561" i="2"/>
  <c r="I561" i="2"/>
  <c r="J561" i="2"/>
  <c r="E562" i="2"/>
  <c r="F562" i="2"/>
  <c r="I562" i="2"/>
  <c r="J562" i="2"/>
  <c r="E563" i="2"/>
  <c r="F563" i="2"/>
  <c r="I563" i="2"/>
  <c r="J563" i="2"/>
  <c r="E564" i="2"/>
  <c r="I564" i="2"/>
  <c r="E565" i="2"/>
  <c r="F565" i="2"/>
  <c r="I565" i="2"/>
  <c r="J565" i="2"/>
  <c r="E566" i="2"/>
  <c r="I566" i="2"/>
  <c r="J566" i="2"/>
  <c r="E567" i="2"/>
  <c r="I567" i="2"/>
  <c r="J567" i="2"/>
  <c r="E568" i="2"/>
  <c r="I568" i="2"/>
  <c r="J568" i="2"/>
  <c r="E569" i="2"/>
  <c r="I569" i="2"/>
  <c r="J569" i="2"/>
  <c r="E570" i="2"/>
  <c r="I570" i="2"/>
  <c r="J570" i="2"/>
  <c r="E571" i="2"/>
  <c r="F571" i="2"/>
  <c r="I571" i="2"/>
  <c r="J571" i="2"/>
  <c r="E572" i="2"/>
  <c r="F572" i="2"/>
  <c r="I572" i="2"/>
  <c r="J572" i="2"/>
  <c r="E573" i="2"/>
  <c r="I573" i="2"/>
  <c r="J573" i="2"/>
  <c r="E574" i="2"/>
  <c r="I574" i="2"/>
  <c r="J574" i="2"/>
  <c r="E575" i="2"/>
  <c r="I575" i="2"/>
  <c r="J575" i="2"/>
  <c r="E576" i="2"/>
  <c r="I576" i="2"/>
  <c r="J576" i="2"/>
  <c r="E577" i="2"/>
  <c r="F577" i="2"/>
  <c r="I577" i="2"/>
  <c r="J577" i="2"/>
  <c r="E578" i="2"/>
  <c r="F578" i="2"/>
  <c r="I578" i="2"/>
  <c r="J578" i="2"/>
  <c r="E579" i="2"/>
  <c r="F579" i="2"/>
  <c r="I579" i="2"/>
  <c r="E580" i="2"/>
  <c r="I580" i="2"/>
  <c r="E581" i="2"/>
  <c r="F581" i="2"/>
  <c r="I581" i="2"/>
  <c r="J581" i="2"/>
  <c r="E582" i="2"/>
  <c r="F582" i="2"/>
  <c r="I582" i="2"/>
  <c r="J582" i="2"/>
  <c r="E583" i="2"/>
  <c r="F583" i="2"/>
  <c r="I583" i="2"/>
  <c r="J583" i="2"/>
  <c r="E584" i="2"/>
  <c r="F584" i="2"/>
  <c r="I584" i="2"/>
  <c r="E585" i="2"/>
  <c r="F585" i="2"/>
  <c r="I585" i="2"/>
  <c r="E586" i="2"/>
  <c r="F586" i="2"/>
  <c r="I586" i="2"/>
  <c r="J586" i="2"/>
  <c r="E587" i="2"/>
  <c r="F587" i="2"/>
  <c r="I587" i="2"/>
  <c r="J587" i="2"/>
  <c r="E588" i="2"/>
  <c r="F588" i="2"/>
  <c r="I588" i="2"/>
  <c r="J588" i="2"/>
  <c r="E589" i="2"/>
  <c r="F589" i="2"/>
  <c r="I589" i="2"/>
  <c r="J589" i="2"/>
  <c r="E590" i="2"/>
  <c r="I590" i="2"/>
  <c r="J590" i="2"/>
  <c r="E591" i="2"/>
  <c r="F591" i="2"/>
  <c r="I591" i="2"/>
  <c r="J591" i="2"/>
  <c r="E592" i="2"/>
  <c r="F592" i="2"/>
  <c r="I592" i="2"/>
  <c r="J592" i="2"/>
  <c r="E593" i="2"/>
  <c r="I593" i="2"/>
  <c r="J593" i="2"/>
  <c r="E594" i="2"/>
  <c r="I594" i="2"/>
  <c r="J594" i="2"/>
  <c r="E595" i="2"/>
  <c r="F595" i="2"/>
  <c r="I595" i="2"/>
  <c r="J595" i="2"/>
  <c r="E596" i="2"/>
  <c r="I596" i="2"/>
  <c r="J596" i="2"/>
  <c r="E597" i="2"/>
  <c r="I597" i="2"/>
  <c r="E598" i="2"/>
  <c r="I598" i="2"/>
  <c r="J598" i="2"/>
  <c r="E599" i="2"/>
  <c r="I599" i="2"/>
  <c r="J599" i="2"/>
  <c r="E600" i="2"/>
  <c r="I600" i="2"/>
  <c r="E601" i="2"/>
  <c r="I601" i="2"/>
  <c r="J601" i="2"/>
  <c r="E602" i="2"/>
  <c r="F602" i="2"/>
  <c r="I602" i="2"/>
  <c r="J602" i="2"/>
  <c r="E603" i="2"/>
  <c r="F603" i="2"/>
  <c r="I603" i="2"/>
  <c r="J603" i="2"/>
  <c r="E604" i="2"/>
  <c r="F604" i="2"/>
  <c r="I604" i="2"/>
  <c r="J604" i="2"/>
  <c r="E605" i="2"/>
  <c r="F605" i="2"/>
  <c r="I605" i="2"/>
  <c r="J605" i="2"/>
  <c r="E606" i="2"/>
  <c r="F606" i="2"/>
  <c r="I606" i="2"/>
  <c r="J606" i="2"/>
  <c r="E607" i="2"/>
  <c r="F607" i="2"/>
  <c r="I607" i="2"/>
  <c r="J607" i="2"/>
  <c r="E608" i="2"/>
  <c r="F608" i="2"/>
  <c r="I608" i="2"/>
  <c r="J608" i="2"/>
  <c r="E609" i="2"/>
  <c r="F609" i="2"/>
  <c r="I609" i="2"/>
  <c r="J609" i="2"/>
  <c r="E610" i="2"/>
  <c r="F610" i="2"/>
  <c r="I610" i="2"/>
  <c r="J610" i="2"/>
  <c r="E611" i="2"/>
  <c r="F611" i="2"/>
  <c r="I611" i="2"/>
  <c r="J611" i="2"/>
  <c r="E612" i="2"/>
  <c r="F612" i="2"/>
  <c r="I612" i="2"/>
  <c r="J612" i="2"/>
  <c r="E613" i="2"/>
  <c r="F613" i="2"/>
  <c r="I613" i="2"/>
  <c r="J613" i="2"/>
  <c r="E614" i="2"/>
  <c r="F614" i="2"/>
  <c r="I614" i="2"/>
  <c r="J614" i="2"/>
  <c r="E615" i="2"/>
  <c r="F615" i="2"/>
  <c r="I615" i="2"/>
  <c r="J615" i="2"/>
  <c r="E616" i="2"/>
  <c r="F616" i="2"/>
  <c r="I616" i="2"/>
  <c r="J616" i="2"/>
  <c r="E617" i="2"/>
  <c r="F617" i="2"/>
  <c r="I617" i="2"/>
  <c r="J617" i="2"/>
  <c r="E618" i="2"/>
  <c r="F618" i="2"/>
  <c r="I618" i="2"/>
  <c r="J618" i="2"/>
  <c r="E619" i="2"/>
  <c r="F619" i="2"/>
  <c r="I619" i="2"/>
  <c r="J619" i="2"/>
  <c r="E620" i="2"/>
  <c r="F620" i="2"/>
  <c r="I620" i="2"/>
  <c r="J620" i="2"/>
  <c r="E621" i="2"/>
  <c r="F621" i="2"/>
  <c r="I621" i="2"/>
  <c r="E622" i="2"/>
  <c r="I622" i="2"/>
  <c r="E623" i="2"/>
  <c r="I623" i="2"/>
  <c r="J623" i="2"/>
  <c r="E624" i="2"/>
  <c r="I624" i="2"/>
  <c r="J624" i="2"/>
  <c r="E625" i="2"/>
  <c r="F625" i="2"/>
  <c r="I625" i="2"/>
  <c r="J625" i="2"/>
  <c r="E626" i="2"/>
  <c r="F626" i="2"/>
  <c r="I626" i="2"/>
  <c r="J626" i="2"/>
  <c r="E627" i="2"/>
  <c r="I627" i="2"/>
  <c r="J627" i="2"/>
  <c r="E628" i="2"/>
  <c r="I628" i="2"/>
  <c r="J628" i="2"/>
  <c r="E629" i="2"/>
  <c r="I629" i="2"/>
  <c r="J629" i="2"/>
  <c r="E630" i="2"/>
  <c r="I630" i="2"/>
  <c r="J630" i="2"/>
  <c r="E631" i="2"/>
  <c r="F631" i="2"/>
  <c r="I631" i="2"/>
  <c r="J631" i="2"/>
  <c r="E632" i="2"/>
  <c r="F632" i="2"/>
  <c r="I632" i="2"/>
  <c r="E633" i="2"/>
  <c r="F633" i="2"/>
  <c r="I633" i="2"/>
  <c r="E634" i="2"/>
  <c r="F634" i="2"/>
  <c r="I634" i="2"/>
  <c r="E635" i="2"/>
  <c r="F635" i="2"/>
  <c r="I635" i="2"/>
  <c r="J635" i="2"/>
  <c r="E636" i="2"/>
  <c r="F636" i="2"/>
  <c r="I636" i="2"/>
  <c r="J636" i="2"/>
  <c r="E637" i="2"/>
  <c r="F637" i="2"/>
  <c r="I637" i="2"/>
  <c r="E638" i="2"/>
  <c r="F638" i="2"/>
  <c r="I638" i="2"/>
  <c r="J638" i="2"/>
  <c r="E639" i="2"/>
  <c r="F639" i="2"/>
  <c r="I639" i="2"/>
  <c r="J639" i="2"/>
  <c r="E640" i="2"/>
  <c r="F640" i="2"/>
  <c r="I640" i="2"/>
  <c r="E641" i="2"/>
  <c r="F641" i="2"/>
  <c r="I641" i="2"/>
  <c r="E642" i="2"/>
  <c r="I642" i="2"/>
  <c r="J642" i="2"/>
  <c r="E643" i="2"/>
  <c r="F643" i="2"/>
  <c r="I643" i="2"/>
  <c r="E644" i="2"/>
  <c r="F644" i="2"/>
  <c r="I644" i="2"/>
  <c r="E645" i="2"/>
  <c r="F645" i="2"/>
  <c r="I645" i="2"/>
  <c r="E646" i="2"/>
  <c r="F646" i="2"/>
  <c r="I646" i="2"/>
  <c r="J646" i="2"/>
  <c r="E647" i="2"/>
  <c r="F647" i="2"/>
  <c r="I647" i="2"/>
  <c r="J647" i="2"/>
  <c r="E648" i="2"/>
  <c r="F648" i="2"/>
  <c r="I648" i="2"/>
  <c r="J648" i="2"/>
  <c r="E649" i="2"/>
  <c r="F649" i="2"/>
  <c r="I649" i="2"/>
  <c r="J649" i="2"/>
  <c r="E650" i="2"/>
  <c r="F650" i="2"/>
  <c r="I650" i="2"/>
  <c r="J650" i="2"/>
  <c r="E651" i="2"/>
  <c r="F651" i="2"/>
  <c r="I651" i="2"/>
  <c r="J651" i="2"/>
  <c r="E652" i="2"/>
  <c r="F652" i="2"/>
  <c r="I652" i="2"/>
  <c r="E653" i="2"/>
  <c r="F653" i="2"/>
  <c r="I653" i="2"/>
  <c r="E654" i="2"/>
  <c r="F654" i="2"/>
  <c r="I654" i="2"/>
  <c r="E655" i="2"/>
  <c r="F655" i="2"/>
  <c r="I655" i="2"/>
  <c r="E656" i="2"/>
  <c r="F656" i="2"/>
  <c r="I656" i="2"/>
  <c r="E657" i="2"/>
  <c r="F657" i="2"/>
  <c r="I657" i="2"/>
  <c r="E658" i="2"/>
  <c r="F658" i="2"/>
  <c r="I658" i="2"/>
  <c r="J658" i="2"/>
  <c r="E659" i="2"/>
  <c r="I659" i="2"/>
  <c r="E660" i="2"/>
  <c r="F660" i="2"/>
  <c r="I660" i="2"/>
  <c r="J660" i="2"/>
  <c r="E661" i="2"/>
  <c r="F661" i="2"/>
  <c r="I661" i="2"/>
  <c r="E662" i="2"/>
  <c r="I662" i="2"/>
  <c r="J662" i="2"/>
  <c r="E663" i="2"/>
  <c r="F663" i="2"/>
  <c r="I663" i="2"/>
  <c r="J663" i="2"/>
  <c r="E664" i="2"/>
  <c r="F664" i="2"/>
  <c r="I664" i="2"/>
  <c r="J664" i="2"/>
  <c r="E665" i="2"/>
  <c r="F665" i="2"/>
  <c r="I665" i="2"/>
  <c r="E666" i="2"/>
  <c r="F666" i="2"/>
  <c r="I666" i="2"/>
  <c r="J666" i="2"/>
  <c r="E667" i="2"/>
  <c r="F667" i="2"/>
  <c r="I667" i="2"/>
  <c r="J667" i="2"/>
  <c r="E668" i="2"/>
  <c r="F668" i="2"/>
  <c r="I668" i="2"/>
  <c r="J668" i="2"/>
  <c r="E669" i="2"/>
  <c r="F669" i="2"/>
  <c r="I669" i="2"/>
  <c r="J669" i="2"/>
  <c r="E670" i="2"/>
  <c r="F670" i="2"/>
  <c r="I670" i="2"/>
  <c r="J670" i="2"/>
  <c r="E671" i="2"/>
  <c r="I671" i="2"/>
  <c r="J671" i="2"/>
  <c r="E672" i="2"/>
  <c r="I672" i="2"/>
  <c r="J672" i="2"/>
  <c r="E673" i="2"/>
  <c r="F673" i="2"/>
  <c r="I673" i="2"/>
  <c r="J673" i="2"/>
  <c r="E674" i="2"/>
  <c r="F674" i="2"/>
  <c r="I674" i="2"/>
  <c r="J674" i="2"/>
  <c r="E675" i="2"/>
  <c r="F675" i="2"/>
  <c r="I675" i="2"/>
  <c r="J675" i="2"/>
  <c r="E676" i="2"/>
  <c r="I676" i="2"/>
  <c r="J676" i="2"/>
  <c r="E677" i="2"/>
  <c r="F677" i="2"/>
  <c r="I677" i="2"/>
  <c r="J677" i="2"/>
  <c r="E678" i="2"/>
  <c r="I678" i="2"/>
  <c r="J678" i="2"/>
  <c r="E679" i="2"/>
  <c r="I679" i="2"/>
  <c r="J679" i="2"/>
  <c r="E680" i="2"/>
  <c r="F680" i="2"/>
  <c r="I680" i="2"/>
  <c r="J680" i="2"/>
  <c r="E681" i="2"/>
  <c r="F681" i="2"/>
  <c r="I681" i="2"/>
  <c r="J681" i="2"/>
  <c r="E682" i="2"/>
  <c r="I682" i="2"/>
  <c r="J682" i="2"/>
  <c r="E683" i="2"/>
  <c r="F683" i="2"/>
  <c r="I683" i="2"/>
  <c r="J683" i="2"/>
  <c r="E684" i="2"/>
  <c r="F684" i="2"/>
  <c r="I684" i="2"/>
  <c r="J684" i="2"/>
  <c r="E685" i="2"/>
  <c r="F685" i="2"/>
  <c r="I685" i="2"/>
  <c r="J685" i="2"/>
  <c r="E686" i="2"/>
  <c r="I686" i="2"/>
  <c r="J686" i="2"/>
  <c r="E687" i="2"/>
  <c r="I687" i="2"/>
  <c r="J687" i="2"/>
  <c r="E688" i="2"/>
  <c r="I688" i="2"/>
  <c r="J688" i="2"/>
  <c r="E689" i="2"/>
  <c r="I689" i="2"/>
  <c r="J689" i="2"/>
  <c r="E690" i="2"/>
  <c r="I690" i="2"/>
  <c r="J690" i="2"/>
  <c r="E691" i="2"/>
  <c r="I691" i="2"/>
  <c r="J691" i="2"/>
  <c r="E692" i="2"/>
  <c r="I692" i="2"/>
  <c r="J692" i="2"/>
  <c r="E693" i="2"/>
  <c r="I693" i="2"/>
  <c r="E694" i="2"/>
  <c r="I694" i="2"/>
  <c r="J694" i="2"/>
  <c r="E695" i="2"/>
  <c r="F695" i="2"/>
  <c r="I695" i="2"/>
  <c r="J695" i="2"/>
  <c r="E696" i="2"/>
  <c r="I696" i="2"/>
  <c r="J696" i="2"/>
  <c r="E697" i="2"/>
  <c r="I697" i="2"/>
  <c r="E698" i="2"/>
  <c r="F698" i="2"/>
  <c r="I698" i="2"/>
  <c r="J698" i="2"/>
  <c r="E699" i="2"/>
  <c r="F699" i="2"/>
  <c r="I699" i="2"/>
  <c r="J699" i="2"/>
  <c r="E700" i="2"/>
  <c r="F700" i="2"/>
  <c r="I700" i="2"/>
  <c r="J700" i="2"/>
  <c r="E701" i="2"/>
  <c r="F701" i="2"/>
  <c r="I701" i="2"/>
  <c r="J701" i="2"/>
  <c r="E702" i="2"/>
  <c r="I702" i="2"/>
  <c r="E703" i="2"/>
  <c r="F703" i="2"/>
  <c r="I703" i="2"/>
  <c r="J703" i="2"/>
  <c r="E704" i="2"/>
  <c r="F704" i="2"/>
  <c r="I704" i="2"/>
  <c r="E705" i="2"/>
  <c r="I705" i="2"/>
  <c r="J705" i="2"/>
  <c r="E706" i="2"/>
  <c r="F706" i="2"/>
  <c r="I706" i="2"/>
  <c r="E707" i="2"/>
  <c r="F707" i="2"/>
  <c r="I707" i="2"/>
  <c r="E708" i="2"/>
  <c r="F708" i="2"/>
  <c r="I708" i="2"/>
  <c r="J708" i="2"/>
  <c r="E709" i="2"/>
  <c r="F709" i="2"/>
  <c r="I709" i="2"/>
  <c r="J709" i="2"/>
  <c r="E710" i="2"/>
  <c r="F710" i="2"/>
  <c r="I710" i="2"/>
  <c r="J710" i="2"/>
  <c r="E711" i="2"/>
  <c r="F711" i="2"/>
  <c r="I711" i="2"/>
  <c r="E712" i="2"/>
  <c r="F712" i="2"/>
  <c r="I712" i="2"/>
  <c r="J712" i="2"/>
  <c r="E713" i="2"/>
  <c r="F713" i="2"/>
  <c r="I713" i="2"/>
  <c r="E714" i="2"/>
  <c r="F714" i="2"/>
  <c r="I714" i="2"/>
  <c r="E715" i="2"/>
  <c r="F715" i="2"/>
  <c r="I715" i="2"/>
  <c r="J715" i="2"/>
  <c r="E716" i="2"/>
  <c r="F716" i="2"/>
  <c r="I716" i="2"/>
  <c r="J716" i="2"/>
  <c r="E717" i="2"/>
  <c r="I717" i="2"/>
  <c r="J717" i="2"/>
  <c r="E718" i="2"/>
  <c r="F718" i="2"/>
  <c r="I718" i="2"/>
  <c r="J718" i="2"/>
  <c r="E719" i="2"/>
  <c r="I719" i="2"/>
  <c r="E720" i="2"/>
  <c r="F720" i="2"/>
  <c r="I720" i="2"/>
  <c r="J720" i="2"/>
  <c r="E721" i="2"/>
  <c r="F721" i="2"/>
  <c r="I721" i="2"/>
  <c r="J721" i="2"/>
  <c r="E722" i="2"/>
  <c r="F722" i="2"/>
  <c r="I722" i="2"/>
  <c r="J722" i="2"/>
  <c r="E723" i="2"/>
  <c r="I723" i="2"/>
  <c r="E724" i="2"/>
  <c r="F724" i="2"/>
  <c r="I724" i="2"/>
  <c r="J724" i="2"/>
  <c r="E725" i="2"/>
  <c r="I725" i="2"/>
  <c r="J725" i="2"/>
  <c r="E726" i="2"/>
  <c r="I726" i="2"/>
  <c r="J726" i="2"/>
  <c r="E727" i="2"/>
  <c r="I727" i="2"/>
  <c r="J727" i="2"/>
  <c r="E728" i="2"/>
  <c r="I728" i="2"/>
  <c r="J728" i="2"/>
  <c r="E729" i="2"/>
  <c r="F729" i="2"/>
  <c r="I729" i="2"/>
  <c r="J729" i="2"/>
  <c r="E730" i="2"/>
  <c r="F730" i="2"/>
  <c r="I730" i="2"/>
  <c r="J730" i="2"/>
  <c r="E731" i="2"/>
  <c r="I731" i="2"/>
  <c r="J731" i="2"/>
  <c r="E732" i="2"/>
  <c r="I732" i="2"/>
  <c r="J732" i="2"/>
  <c r="E733" i="2"/>
  <c r="I733" i="2"/>
  <c r="J733" i="2"/>
  <c r="E734" i="2"/>
  <c r="I734" i="2"/>
  <c r="J734" i="2"/>
  <c r="E735" i="2"/>
  <c r="I735" i="2"/>
  <c r="J735" i="2"/>
  <c r="E736" i="2"/>
  <c r="I736" i="2"/>
  <c r="E737" i="2"/>
  <c r="I737" i="2"/>
  <c r="E738" i="2"/>
  <c r="F738" i="2"/>
  <c r="I738" i="2"/>
  <c r="J738" i="2"/>
  <c r="E739" i="2"/>
  <c r="F739" i="2"/>
  <c r="I739" i="2"/>
  <c r="E740" i="2"/>
  <c r="F740" i="2"/>
  <c r="I740" i="2"/>
  <c r="E741" i="2"/>
  <c r="F741" i="2"/>
  <c r="I741" i="2"/>
  <c r="E742" i="2"/>
  <c r="F742" i="2"/>
  <c r="I742" i="2"/>
  <c r="J742" i="2"/>
  <c r="E743" i="2"/>
  <c r="I743" i="2"/>
  <c r="J743" i="2"/>
  <c r="E744" i="2"/>
  <c r="F744" i="2"/>
  <c r="I744" i="2"/>
  <c r="E745" i="2"/>
  <c r="F745" i="2"/>
  <c r="I745" i="2"/>
  <c r="J745" i="2"/>
  <c r="E746" i="2"/>
  <c r="I746" i="2"/>
  <c r="J746" i="2"/>
  <c r="E747" i="2"/>
  <c r="I747" i="2"/>
  <c r="J747" i="2"/>
  <c r="E748" i="2"/>
  <c r="I748" i="2"/>
  <c r="J748" i="2"/>
  <c r="E749" i="2"/>
  <c r="I749" i="2"/>
  <c r="J749" i="2"/>
  <c r="E750" i="2"/>
  <c r="F750" i="2"/>
  <c r="I750" i="2"/>
  <c r="J750" i="2"/>
  <c r="E751" i="2"/>
  <c r="F751" i="2"/>
  <c r="I751" i="2"/>
  <c r="J751" i="2"/>
  <c r="E752" i="2"/>
  <c r="F752" i="2"/>
  <c r="I752" i="2"/>
  <c r="J752" i="2"/>
  <c r="E753" i="2"/>
  <c r="F753" i="2"/>
  <c r="I753" i="2"/>
  <c r="J753" i="2"/>
  <c r="E754" i="2"/>
  <c r="F754" i="2"/>
  <c r="I754" i="2"/>
  <c r="E755" i="2"/>
  <c r="F755" i="2"/>
  <c r="I755" i="2"/>
  <c r="E756" i="2"/>
  <c r="F756" i="2"/>
  <c r="I756" i="2"/>
  <c r="E757" i="2"/>
  <c r="F757" i="2"/>
  <c r="I757" i="2"/>
  <c r="E758" i="2"/>
  <c r="I758" i="2"/>
  <c r="J758" i="2"/>
  <c r="E759" i="2"/>
  <c r="I759" i="2"/>
  <c r="J759" i="2"/>
  <c r="E760" i="2"/>
  <c r="I760" i="2"/>
  <c r="J760" i="2"/>
  <c r="E761" i="2"/>
  <c r="I761" i="2"/>
  <c r="J761" i="2"/>
  <c r="E762" i="2"/>
  <c r="I762" i="2"/>
  <c r="J762" i="2"/>
  <c r="E763" i="2"/>
  <c r="I763" i="2"/>
  <c r="J763" i="2"/>
  <c r="E764" i="2"/>
  <c r="I764" i="2"/>
  <c r="J764" i="2"/>
  <c r="E765" i="2"/>
  <c r="I765" i="2"/>
  <c r="J765" i="2"/>
  <c r="E766" i="2"/>
  <c r="F766" i="2"/>
  <c r="I766" i="2"/>
  <c r="E767" i="2"/>
  <c r="F767" i="2"/>
  <c r="I767" i="2"/>
  <c r="J767" i="2"/>
  <c r="E768" i="2"/>
  <c r="F768" i="2"/>
  <c r="I768" i="2"/>
  <c r="E769" i="2"/>
  <c r="I769" i="2"/>
  <c r="J769" i="2"/>
  <c r="E770" i="2"/>
  <c r="I770" i="2"/>
  <c r="E771" i="2"/>
  <c r="F771" i="2"/>
  <c r="I771" i="2"/>
  <c r="J771" i="2"/>
  <c r="E772" i="2"/>
  <c r="F772" i="2"/>
  <c r="I772" i="2"/>
  <c r="J772" i="2"/>
  <c r="E773" i="2"/>
  <c r="I773" i="2"/>
  <c r="J773" i="2"/>
  <c r="E774" i="2"/>
  <c r="I774" i="2"/>
  <c r="J774" i="2"/>
  <c r="E775" i="2"/>
  <c r="I775" i="2"/>
  <c r="J775" i="2"/>
  <c r="E776" i="2"/>
  <c r="F776" i="2"/>
  <c r="I776" i="2"/>
  <c r="J776" i="2"/>
  <c r="E777" i="2"/>
  <c r="F777" i="2"/>
  <c r="I777" i="2"/>
  <c r="J777" i="2"/>
  <c r="E778" i="2"/>
  <c r="F778" i="2"/>
  <c r="I778" i="2"/>
  <c r="J778" i="2"/>
  <c r="E779" i="2"/>
  <c r="F779" i="2"/>
  <c r="I779" i="2"/>
  <c r="J779" i="2"/>
  <c r="E780" i="2"/>
  <c r="F780" i="2"/>
  <c r="I780" i="2"/>
  <c r="J780" i="2"/>
  <c r="E781" i="2"/>
  <c r="F781" i="2"/>
  <c r="I781" i="2"/>
  <c r="J781" i="2"/>
  <c r="E782" i="2"/>
  <c r="F782" i="2"/>
  <c r="I782" i="2"/>
  <c r="J782" i="2"/>
  <c r="E783" i="2"/>
  <c r="F783" i="2"/>
  <c r="I783" i="2"/>
  <c r="J783" i="2"/>
  <c r="E784" i="2"/>
  <c r="I784" i="2"/>
  <c r="J784" i="2"/>
  <c r="E785" i="2"/>
  <c r="F785" i="2"/>
  <c r="I785" i="2"/>
  <c r="E786" i="2"/>
  <c r="F786" i="2"/>
  <c r="I786" i="2"/>
  <c r="E787" i="2"/>
  <c r="F787" i="2"/>
  <c r="I787" i="2"/>
  <c r="E788" i="2"/>
  <c r="F788" i="2"/>
  <c r="I788" i="2"/>
  <c r="J788" i="2"/>
  <c r="E789" i="2"/>
  <c r="F789" i="2"/>
  <c r="I789" i="2"/>
  <c r="J789" i="2"/>
  <c r="E790" i="2"/>
  <c r="F790" i="2"/>
  <c r="I790" i="2"/>
  <c r="J790" i="2"/>
  <c r="E791" i="2"/>
  <c r="I791" i="2"/>
  <c r="E792" i="2"/>
  <c r="I792" i="2"/>
  <c r="E793" i="2"/>
  <c r="F793" i="2"/>
  <c r="I793" i="2"/>
  <c r="J793" i="2"/>
  <c r="E794" i="2"/>
  <c r="I794" i="2"/>
  <c r="J794" i="2"/>
  <c r="E795" i="2"/>
  <c r="I795" i="2"/>
  <c r="J795" i="2"/>
  <c r="E796" i="2"/>
  <c r="I796" i="2"/>
  <c r="J796" i="2"/>
  <c r="E797" i="2"/>
  <c r="I797" i="2"/>
  <c r="J797" i="2"/>
  <c r="E798" i="2"/>
  <c r="I798" i="2"/>
  <c r="J798" i="2"/>
  <c r="E799" i="2"/>
  <c r="I799" i="2"/>
  <c r="E800" i="2"/>
  <c r="I800" i="2"/>
  <c r="J800" i="2"/>
  <c r="E801" i="2"/>
  <c r="F801" i="2"/>
  <c r="I801" i="2"/>
  <c r="J801" i="2"/>
  <c r="E802" i="2"/>
  <c r="F802" i="2"/>
  <c r="I802" i="2"/>
  <c r="J802" i="2"/>
  <c r="E803" i="2"/>
  <c r="F803" i="2"/>
  <c r="I803" i="2"/>
  <c r="E804" i="2"/>
  <c r="F804" i="2"/>
  <c r="I804" i="2"/>
  <c r="E805" i="2"/>
  <c r="F805" i="2"/>
  <c r="I805" i="2"/>
  <c r="E806" i="2"/>
  <c r="F806" i="2"/>
  <c r="I806" i="2"/>
  <c r="E807" i="2"/>
  <c r="F807" i="2"/>
  <c r="I807" i="2"/>
  <c r="E808" i="2"/>
  <c r="I808" i="2"/>
  <c r="J808" i="2"/>
  <c r="E809" i="2"/>
  <c r="I809" i="2"/>
  <c r="J809" i="2"/>
  <c r="E810" i="2"/>
  <c r="I810" i="2"/>
  <c r="E811" i="2"/>
  <c r="I811" i="2"/>
  <c r="J811" i="2"/>
  <c r="E812" i="2"/>
  <c r="F812" i="2"/>
  <c r="I812" i="2"/>
  <c r="J812" i="2"/>
  <c r="E813" i="2"/>
  <c r="F813" i="2"/>
  <c r="I813" i="2"/>
  <c r="J813" i="2"/>
  <c r="E814" i="2"/>
  <c r="F814" i="2"/>
  <c r="I814" i="2"/>
  <c r="J814" i="2"/>
  <c r="E815" i="2"/>
  <c r="F815" i="2"/>
  <c r="I815" i="2"/>
  <c r="E816" i="2"/>
  <c r="I816" i="2"/>
  <c r="J816" i="2"/>
  <c r="E817" i="2"/>
  <c r="F817" i="2"/>
  <c r="I817" i="2"/>
  <c r="E818" i="2"/>
  <c r="F818" i="2"/>
  <c r="I818" i="2"/>
  <c r="E819" i="2"/>
  <c r="F819" i="2"/>
  <c r="I819" i="2"/>
  <c r="E820" i="2"/>
  <c r="I820" i="2"/>
  <c r="E821" i="2"/>
  <c r="I821" i="2"/>
  <c r="J821" i="2"/>
  <c r="E822" i="2"/>
  <c r="I822" i="2"/>
  <c r="E823" i="2"/>
  <c r="I823" i="2"/>
  <c r="J823" i="2"/>
  <c r="E824" i="2"/>
  <c r="F824" i="2"/>
  <c r="I824" i="2"/>
  <c r="J824" i="2"/>
  <c r="E825" i="2"/>
  <c r="I825" i="2"/>
  <c r="J825" i="2"/>
  <c r="E826" i="2"/>
  <c r="F826" i="2"/>
  <c r="I826" i="2"/>
  <c r="E827" i="2"/>
  <c r="F827" i="2"/>
  <c r="I827" i="2"/>
  <c r="J827" i="2"/>
  <c r="E828" i="2"/>
  <c r="F828" i="2"/>
  <c r="I828" i="2"/>
  <c r="E829" i="2"/>
  <c r="I829" i="2"/>
  <c r="J829" i="2"/>
  <c r="E830" i="2"/>
  <c r="I830" i="2"/>
  <c r="J830" i="2"/>
  <c r="E831" i="2"/>
  <c r="F831" i="2"/>
  <c r="I831" i="2"/>
  <c r="J831" i="2"/>
  <c r="E832" i="2"/>
  <c r="F832" i="2"/>
  <c r="I832" i="2"/>
  <c r="J832" i="2"/>
  <c r="E833" i="2"/>
  <c r="F833" i="2"/>
  <c r="I833" i="2"/>
  <c r="J833" i="2"/>
  <c r="E834" i="2"/>
  <c r="I834" i="2"/>
  <c r="J834" i="2"/>
  <c r="E835" i="2"/>
  <c r="F835" i="2"/>
  <c r="I835" i="2"/>
  <c r="E836" i="2"/>
  <c r="F836" i="2"/>
  <c r="I836" i="2"/>
  <c r="E837" i="2"/>
  <c r="F837" i="2"/>
  <c r="I837" i="2"/>
  <c r="J837" i="2"/>
  <c r="E838" i="2"/>
  <c r="F838" i="2"/>
  <c r="I838" i="2"/>
  <c r="J838" i="2"/>
  <c r="E839" i="2"/>
  <c r="F839" i="2"/>
  <c r="I839" i="2"/>
  <c r="J839" i="2"/>
  <c r="E840" i="2"/>
  <c r="F840" i="2"/>
  <c r="I840" i="2"/>
  <c r="J840" i="2"/>
  <c r="E841" i="2"/>
  <c r="F841" i="2"/>
  <c r="I841" i="2"/>
  <c r="E842" i="2"/>
  <c r="F842" i="2"/>
  <c r="I842" i="2"/>
  <c r="J842" i="2"/>
  <c r="E843" i="2"/>
  <c r="F843" i="2"/>
  <c r="I843" i="2"/>
  <c r="E844" i="2"/>
  <c r="F844" i="2"/>
  <c r="I844" i="2"/>
  <c r="E845" i="2"/>
  <c r="I845" i="2"/>
  <c r="J845" i="2"/>
  <c r="E846" i="2"/>
  <c r="F846" i="2"/>
  <c r="I846" i="2"/>
  <c r="E847" i="2"/>
  <c r="F847" i="2"/>
  <c r="I847" i="2"/>
  <c r="J847" i="2"/>
  <c r="E848" i="2"/>
  <c r="I848" i="2"/>
  <c r="J848" i="2"/>
  <c r="E849" i="2"/>
  <c r="F849" i="2"/>
  <c r="I849" i="2"/>
  <c r="J849" i="2"/>
  <c r="E850" i="2"/>
  <c r="I850" i="2"/>
  <c r="J850" i="2"/>
  <c r="E851" i="2"/>
  <c r="F851" i="2"/>
  <c r="I851" i="2"/>
  <c r="J851" i="2"/>
  <c r="E852" i="2"/>
  <c r="I852" i="2"/>
  <c r="E853" i="2"/>
  <c r="I853" i="2"/>
  <c r="J853" i="2"/>
  <c r="E854" i="2"/>
  <c r="F854" i="2"/>
  <c r="I854" i="2"/>
  <c r="J854" i="2"/>
  <c r="E855" i="2"/>
  <c r="F855" i="2"/>
  <c r="I855" i="2"/>
  <c r="J855" i="2"/>
  <c r="E856" i="2"/>
  <c r="F856" i="2"/>
  <c r="I856" i="2"/>
  <c r="J856" i="2"/>
  <c r="E857" i="2"/>
  <c r="F857" i="2"/>
  <c r="I857" i="2"/>
  <c r="J857" i="2"/>
  <c r="E858" i="2"/>
  <c r="F858" i="2"/>
  <c r="I858" i="2"/>
  <c r="J858" i="2"/>
  <c r="E859" i="2"/>
  <c r="I859" i="2"/>
  <c r="J859" i="2"/>
  <c r="E860" i="2"/>
  <c r="I860" i="2"/>
  <c r="J860" i="2"/>
  <c r="E861" i="2"/>
  <c r="I861" i="2"/>
  <c r="J861" i="2"/>
  <c r="E862" i="2"/>
  <c r="I862" i="2"/>
  <c r="J862" i="2"/>
  <c r="E863" i="2"/>
  <c r="F863" i="2"/>
  <c r="I863" i="2"/>
  <c r="E864" i="2"/>
  <c r="F864" i="2"/>
  <c r="I864" i="2"/>
  <c r="E865" i="2"/>
  <c r="I865" i="2"/>
  <c r="J865" i="2"/>
  <c r="E866" i="2"/>
  <c r="F866" i="2"/>
  <c r="I866" i="2"/>
  <c r="J866" i="2"/>
  <c r="E867" i="2"/>
  <c r="F867" i="2"/>
  <c r="I867" i="2"/>
  <c r="J867" i="2"/>
  <c r="E868" i="2"/>
  <c r="F868" i="2"/>
  <c r="I868" i="2"/>
  <c r="J868" i="2"/>
  <c r="E869" i="2"/>
  <c r="F869" i="2"/>
  <c r="I869" i="2"/>
  <c r="J869" i="2"/>
  <c r="E870" i="2"/>
  <c r="F870" i="2"/>
  <c r="I870" i="2"/>
  <c r="J870" i="2"/>
  <c r="E871" i="2"/>
  <c r="F871" i="2"/>
  <c r="I871" i="2"/>
  <c r="J871" i="2"/>
  <c r="E872" i="2"/>
  <c r="F872" i="2"/>
  <c r="I872" i="2"/>
  <c r="J872" i="2"/>
  <c r="E873" i="2"/>
  <c r="I873" i="2"/>
  <c r="J873" i="2"/>
  <c r="E874" i="2"/>
  <c r="F874" i="2"/>
  <c r="I874" i="2"/>
  <c r="J874" i="2"/>
  <c r="E875" i="2"/>
  <c r="F875" i="2"/>
  <c r="I875" i="2"/>
  <c r="J875" i="2"/>
  <c r="E876" i="2"/>
  <c r="F876" i="2"/>
  <c r="I876" i="2"/>
  <c r="J876" i="2"/>
  <c r="E877" i="2"/>
  <c r="F877" i="2"/>
  <c r="I877" i="2"/>
  <c r="J877" i="2"/>
  <c r="E878" i="2"/>
  <c r="F878" i="2"/>
  <c r="I878" i="2"/>
  <c r="J878" i="2"/>
  <c r="E879" i="2"/>
  <c r="F879" i="2"/>
  <c r="I879" i="2"/>
  <c r="J879" i="2"/>
  <c r="E880" i="2"/>
  <c r="F880" i="2"/>
  <c r="I880" i="2"/>
  <c r="J880" i="2"/>
  <c r="E881" i="2"/>
  <c r="F881" i="2"/>
  <c r="I881" i="2"/>
  <c r="J881" i="2"/>
  <c r="E882" i="2"/>
  <c r="F882" i="2"/>
  <c r="I882" i="2"/>
  <c r="E883" i="2"/>
  <c r="F883" i="2"/>
  <c r="I883" i="2"/>
  <c r="J883" i="2"/>
  <c r="E884" i="2"/>
  <c r="I884" i="2"/>
  <c r="E885" i="2"/>
  <c r="F885" i="2"/>
  <c r="I885" i="2"/>
  <c r="J885" i="2"/>
  <c r="E886" i="2"/>
  <c r="F886" i="2"/>
  <c r="I886" i="2"/>
  <c r="J886" i="2"/>
  <c r="E887" i="2"/>
  <c r="F887" i="2"/>
  <c r="I887" i="2"/>
  <c r="J887" i="2"/>
  <c r="E888" i="2"/>
  <c r="F888" i="2"/>
  <c r="I888" i="2"/>
  <c r="J888" i="2"/>
  <c r="E889" i="2"/>
  <c r="F889" i="2"/>
  <c r="I889" i="2"/>
  <c r="J889" i="2"/>
  <c r="E890" i="2"/>
  <c r="F890" i="2"/>
  <c r="I890" i="2"/>
  <c r="J890" i="2"/>
  <c r="E891" i="2"/>
  <c r="F891" i="2"/>
  <c r="I891" i="2"/>
  <c r="J891" i="2"/>
  <c r="E892" i="2"/>
  <c r="I892" i="2"/>
  <c r="J892" i="2"/>
  <c r="E893" i="2"/>
  <c r="I893" i="2"/>
  <c r="J893" i="2"/>
  <c r="E894" i="2"/>
  <c r="I894" i="2"/>
  <c r="J894" i="2"/>
  <c r="E895" i="2"/>
  <c r="I895" i="2"/>
  <c r="J895" i="2"/>
  <c r="E896" i="2"/>
  <c r="I896" i="2"/>
  <c r="J896" i="2"/>
  <c r="E897" i="2"/>
  <c r="I897" i="2"/>
  <c r="J897" i="2"/>
  <c r="E898" i="2"/>
  <c r="I898" i="2"/>
  <c r="J898" i="2"/>
  <c r="E899" i="2"/>
  <c r="F899" i="2"/>
  <c r="I899" i="2"/>
  <c r="E900" i="2"/>
  <c r="F900" i="2"/>
  <c r="I900" i="2"/>
  <c r="J900" i="2"/>
  <c r="E901" i="2"/>
  <c r="I901" i="2"/>
  <c r="J901" i="2"/>
  <c r="E902" i="2"/>
  <c r="I902" i="2"/>
  <c r="J902" i="2"/>
  <c r="E903" i="2"/>
  <c r="I903" i="2"/>
  <c r="E904" i="2"/>
  <c r="I904" i="2"/>
  <c r="J904" i="2"/>
  <c r="E905" i="2"/>
  <c r="F905" i="2"/>
  <c r="I905" i="2"/>
  <c r="J905" i="2"/>
  <c r="E906" i="2"/>
  <c r="I906" i="2"/>
  <c r="J906" i="2"/>
  <c r="E907" i="2"/>
  <c r="I907" i="2"/>
  <c r="J907" i="2"/>
  <c r="E908" i="2"/>
  <c r="F908" i="2"/>
  <c r="I908" i="2"/>
  <c r="J908" i="2"/>
  <c r="E909" i="2"/>
  <c r="F909" i="2"/>
  <c r="I909" i="2"/>
  <c r="E910" i="2"/>
  <c r="F910" i="2"/>
  <c r="I910" i="2"/>
  <c r="J910" i="2"/>
  <c r="E911" i="2"/>
  <c r="F911" i="2"/>
  <c r="I911" i="2"/>
  <c r="E912" i="2"/>
  <c r="F912" i="2"/>
  <c r="I912" i="2"/>
  <c r="E913" i="2"/>
  <c r="F913" i="2"/>
  <c r="I913" i="2"/>
  <c r="J913" i="2"/>
  <c r="E914" i="2"/>
  <c r="F914" i="2"/>
  <c r="I914" i="2"/>
  <c r="E915" i="2"/>
  <c r="I915" i="2"/>
  <c r="J915" i="2"/>
  <c r="E916" i="2"/>
  <c r="F916" i="2"/>
  <c r="I916" i="2"/>
  <c r="E917" i="2"/>
  <c r="I917" i="2"/>
  <c r="J917" i="2"/>
  <c r="E918" i="2"/>
  <c r="F918" i="2"/>
  <c r="I918" i="2"/>
  <c r="J918" i="2"/>
  <c r="E919" i="2"/>
  <c r="F919" i="2"/>
  <c r="I919" i="2"/>
  <c r="J919" i="2"/>
  <c r="E920" i="2"/>
  <c r="F920" i="2"/>
  <c r="I920" i="2"/>
  <c r="J920" i="2"/>
  <c r="E921" i="2"/>
  <c r="F921" i="2"/>
  <c r="I921" i="2"/>
  <c r="J921" i="2"/>
  <c r="E922" i="2"/>
  <c r="F922" i="2"/>
  <c r="I922" i="2"/>
  <c r="J922" i="2"/>
  <c r="E923" i="2"/>
  <c r="I923" i="2"/>
  <c r="J923" i="2"/>
  <c r="E924" i="2"/>
  <c r="F924" i="2"/>
  <c r="I924" i="2"/>
  <c r="E925" i="2"/>
  <c r="I925" i="2"/>
  <c r="J925" i="2"/>
  <c r="E926" i="2"/>
  <c r="I926" i="2"/>
  <c r="J926" i="2"/>
  <c r="E927" i="2"/>
  <c r="F927" i="2"/>
  <c r="I927" i="2"/>
  <c r="J927" i="2"/>
  <c r="E928" i="2"/>
  <c r="I928" i="2"/>
  <c r="J928" i="2"/>
  <c r="E929" i="2"/>
  <c r="I929" i="2"/>
  <c r="J929" i="2"/>
  <c r="E930" i="2"/>
  <c r="I930" i="2"/>
  <c r="J930" i="2"/>
  <c r="E931" i="2"/>
  <c r="F931" i="2"/>
  <c r="I931" i="2"/>
  <c r="E932" i="2"/>
  <c r="F932" i="2"/>
  <c r="I932" i="2"/>
  <c r="J932" i="2"/>
  <c r="E933" i="2"/>
  <c r="I933" i="2"/>
  <c r="E934" i="2"/>
  <c r="I934" i="2"/>
  <c r="J934" i="2"/>
  <c r="E935" i="2"/>
  <c r="I935" i="2"/>
  <c r="E936" i="2"/>
  <c r="F936" i="2"/>
  <c r="I936" i="2"/>
  <c r="J936" i="2"/>
  <c r="E937" i="2"/>
  <c r="F937" i="2"/>
  <c r="I937" i="2"/>
  <c r="J937" i="2"/>
  <c r="E938" i="2"/>
  <c r="F938" i="2"/>
  <c r="I938" i="2"/>
  <c r="J938" i="2"/>
  <c r="E939" i="2"/>
  <c r="F939" i="2"/>
  <c r="I939" i="2"/>
  <c r="J939" i="2"/>
  <c r="E940" i="2"/>
  <c r="F940" i="2"/>
  <c r="I940" i="2"/>
  <c r="E941" i="2"/>
  <c r="F941" i="2"/>
  <c r="I941" i="2"/>
  <c r="E942" i="2"/>
  <c r="F942" i="2"/>
  <c r="I942" i="2"/>
  <c r="J942" i="2"/>
  <c r="E943" i="2"/>
  <c r="I943" i="2"/>
  <c r="J943" i="2"/>
  <c r="E944" i="2"/>
  <c r="F944" i="2"/>
  <c r="I944" i="2"/>
  <c r="J944" i="2"/>
  <c r="E945" i="2"/>
  <c r="I945" i="2"/>
  <c r="J945" i="2"/>
  <c r="E946" i="2"/>
  <c r="F946" i="2"/>
  <c r="I946" i="2"/>
  <c r="J946" i="2"/>
  <c r="E947" i="2"/>
  <c r="F947" i="2"/>
  <c r="I947" i="2"/>
  <c r="J947" i="2"/>
  <c r="E948" i="2"/>
  <c r="F948" i="2"/>
  <c r="I948" i="2"/>
  <c r="J948" i="2"/>
  <c r="E949" i="2"/>
  <c r="F949" i="2"/>
  <c r="I949" i="2"/>
  <c r="J949" i="2"/>
  <c r="E950" i="2"/>
  <c r="F950" i="2"/>
  <c r="I950" i="2"/>
  <c r="J950" i="2"/>
  <c r="E951" i="2"/>
  <c r="F951" i="2"/>
  <c r="I951" i="2"/>
  <c r="J951" i="2"/>
  <c r="E952" i="2"/>
  <c r="F952" i="2"/>
  <c r="I952" i="2"/>
  <c r="J952" i="2"/>
  <c r="E953" i="2"/>
  <c r="F953" i="2"/>
  <c r="I953" i="2"/>
  <c r="J953" i="2"/>
  <c r="E954" i="2"/>
  <c r="F954" i="2"/>
  <c r="I954" i="2"/>
  <c r="J954" i="2"/>
  <c r="E955" i="2"/>
  <c r="F955" i="2"/>
  <c r="I955" i="2"/>
  <c r="E956" i="2"/>
  <c r="I956" i="2"/>
  <c r="J956" i="2"/>
  <c r="E957" i="2"/>
  <c r="I957" i="2"/>
  <c r="J957" i="2"/>
  <c r="E958" i="2"/>
  <c r="I958" i="2"/>
  <c r="J958" i="2"/>
  <c r="E959" i="2"/>
  <c r="F959" i="2"/>
  <c r="I959" i="2"/>
  <c r="J959" i="2"/>
  <c r="E960" i="2"/>
  <c r="F960" i="2"/>
  <c r="I960" i="2"/>
  <c r="J960" i="2"/>
  <c r="E961" i="2"/>
  <c r="F961" i="2"/>
  <c r="I961" i="2"/>
  <c r="E962" i="2"/>
  <c r="I962" i="2"/>
  <c r="J962" i="2"/>
  <c r="E963" i="2"/>
  <c r="F963" i="2"/>
  <c r="I963" i="2"/>
  <c r="J963" i="2"/>
  <c r="E964" i="2"/>
  <c r="F964" i="2"/>
  <c r="I964" i="2"/>
  <c r="E965" i="2"/>
  <c r="F965" i="2"/>
  <c r="I965" i="2"/>
  <c r="E966" i="2"/>
  <c r="F966" i="2"/>
  <c r="I966" i="2"/>
  <c r="E967" i="2"/>
  <c r="F967" i="2"/>
  <c r="I967" i="2"/>
  <c r="J967" i="2"/>
  <c r="E968" i="2"/>
  <c r="F968" i="2"/>
  <c r="I968" i="2"/>
  <c r="J968" i="2"/>
  <c r="E969" i="2"/>
  <c r="F969" i="2"/>
  <c r="I969" i="2"/>
  <c r="J969" i="2"/>
  <c r="E970" i="2"/>
  <c r="F970" i="2"/>
  <c r="I970" i="2"/>
  <c r="J970" i="2"/>
  <c r="E971" i="2"/>
  <c r="F971" i="2"/>
  <c r="I971" i="2"/>
  <c r="J971" i="2"/>
  <c r="E972" i="2"/>
  <c r="I972" i="2"/>
  <c r="J972" i="2"/>
  <c r="E973" i="2"/>
  <c r="F973" i="2"/>
  <c r="I973" i="2"/>
  <c r="E974" i="2"/>
  <c r="I974" i="2"/>
  <c r="J974" i="2"/>
  <c r="E975" i="2"/>
  <c r="F975" i="2"/>
  <c r="I975" i="2"/>
  <c r="J975" i="2"/>
  <c r="E976" i="2"/>
  <c r="F976" i="2"/>
  <c r="I976" i="2"/>
  <c r="J976" i="2"/>
  <c r="E977" i="2"/>
  <c r="I977" i="2"/>
  <c r="E978" i="2"/>
  <c r="I978" i="2"/>
  <c r="J978" i="2"/>
  <c r="E979" i="2"/>
  <c r="F979" i="2"/>
  <c r="I979" i="2"/>
  <c r="J979" i="2"/>
  <c r="E980" i="2"/>
  <c r="F980" i="2"/>
  <c r="I980" i="2"/>
  <c r="E981" i="2"/>
  <c r="F981" i="2"/>
  <c r="I981" i="2"/>
  <c r="E982" i="2"/>
  <c r="F982" i="2"/>
  <c r="I982" i="2"/>
  <c r="E983" i="2"/>
  <c r="F983" i="2"/>
  <c r="I983" i="2"/>
  <c r="J983" i="2"/>
  <c r="E984" i="2"/>
  <c r="F984" i="2"/>
  <c r="I984" i="2"/>
  <c r="E985" i="2"/>
  <c r="F985" i="2"/>
  <c r="I985" i="2"/>
  <c r="E986" i="2"/>
  <c r="I986" i="2"/>
  <c r="E987" i="2"/>
  <c r="F987" i="2"/>
  <c r="I987" i="2"/>
  <c r="E988" i="2"/>
  <c r="F988" i="2"/>
  <c r="I988" i="2"/>
  <c r="J988" i="2"/>
  <c r="E989" i="2"/>
  <c r="I989" i="2"/>
  <c r="J989" i="2"/>
  <c r="E990" i="2"/>
  <c r="I990" i="2"/>
  <c r="J990" i="2"/>
  <c r="E991" i="2"/>
  <c r="I991" i="2"/>
  <c r="J991" i="2"/>
  <c r="E992" i="2"/>
  <c r="I992" i="2"/>
  <c r="E993" i="2"/>
  <c r="F993" i="2"/>
  <c r="I993" i="2"/>
  <c r="E994" i="2"/>
  <c r="F994" i="2"/>
  <c r="I994" i="2"/>
  <c r="J994" i="2"/>
  <c r="E995" i="2"/>
  <c r="F995" i="2"/>
  <c r="I995" i="2"/>
  <c r="J995" i="2"/>
  <c r="E996" i="2"/>
  <c r="I996" i="2"/>
  <c r="J996" i="2"/>
  <c r="E997" i="2"/>
  <c r="F997" i="2"/>
  <c r="I997" i="2"/>
  <c r="E998" i="2"/>
  <c r="I998" i="2"/>
  <c r="E999" i="2"/>
  <c r="I999" i="2"/>
  <c r="E1000" i="2"/>
  <c r="F1000" i="2"/>
  <c r="I1000" i="2"/>
  <c r="J1000" i="2"/>
  <c r="E1001" i="2"/>
  <c r="F1001" i="2"/>
  <c r="I1001" i="2"/>
  <c r="J1001" i="2"/>
  <c r="E1002" i="2"/>
  <c r="I1002" i="2"/>
  <c r="J1002" i="2"/>
  <c r="E1003" i="2"/>
  <c r="I1003" i="2"/>
  <c r="E1004" i="2"/>
  <c r="F1004" i="2"/>
  <c r="I1004" i="2"/>
  <c r="E1005" i="2"/>
  <c r="F1005" i="2"/>
  <c r="I1005" i="2"/>
  <c r="J1005" i="2"/>
  <c r="E1006" i="2"/>
  <c r="F1006" i="2"/>
  <c r="I1006" i="2"/>
  <c r="E1007" i="2"/>
  <c r="F1007" i="2"/>
  <c r="I1007" i="2"/>
  <c r="J1007" i="2"/>
  <c r="E1008" i="2"/>
  <c r="I1008" i="2"/>
  <c r="J1008" i="2"/>
  <c r="E1009" i="2"/>
  <c r="I1009" i="2"/>
  <c r="E1010" i="2"/>
  <c r="F1010" i="2"/>
  <c r="I1010" i="2"/>
  <c r="E1011" i="2"/>
  <c r="F1011" i="2"/>
  <c r="I1011" i="2"/>
  <c r="E1012" i="2"/>
  <c r="I1012" i="2"/>
  <c r="E1013" i="2"/>
  <c r="F1013" i="2"/>
  <c r="I1013" i="2"/>
  <c r="E1014" i="2"/>
  <c r="F1014" i="2"/>
  <c r="I1014" i="2"/>
  <c r="J1014" i="2"/>
  <c r="E1015" i="2"/>
  <c r="I1015" i="2"/>
  <c r="J1015" i="2"/>
  <c r="E1016" i="2"/>
  <c r="F1016" i="2"/>
  <c r="I1016" i="2"/>
  <c r="E1017" i="2"/>
  <c r="F1017" i="2"/>
  <c r="I1017" i="2"/>
  <c r="J1017" i="2"/>
  <c r="E1018" i="2"/>
  <c r="F1018" i="2"/>
  <c r="I1018" i="2"/>
  <c r="J1018" i="2"/>
  <c r="E1019" i="2"/>
  <c r="F1019" i="2"/>
  <c r="I1019" i="2"/>
  <c r="E1020" i="2"/>
  <c r="F1020" i="2"/>
  <c r="I1020" i="2"/>
  <c r="J1020" i="2"/>
  <c r="E1021" i="2"/>
  <c r="I1021" i="2"/>
  <c r="J1021" i="2"/>
  <c r="E1022" i="2"/>
  <c r="I1022" i="2"/>
  <c r="E1023" i="2"/>
  <c r="I1023" i="2"/>
  <c r="J1023" i="2"/>
  <c r="E1024" i="2"/>
  <c r="I1024" i="2"/>
  <c r="E1025" i="2"/>
  <c r="F1025" i="2"/>
  <c r="I1025" i="2"/>
  <c r="E1026" i="2"/>
  <c r="F1026" i="2"/>
  <c r="I1026" i="2"/>
  <c r="E1027" i="2"/>
  <c r="F1027" i="2"/>
  <c r="I1027" i="2"/>
  <c r="E1028" i="2"/>
  <c r="F1028" i="2"/>
  <c r="I1028" i="2"/>
  <c r="E1029" i="2"/>
  <c r="F1029" i="2"/>
  <c r="I1029" i="2"/>
  <c r="J1029" i="2"/>
  <c r="E1030" i="2"/>
  <c r="F1030" i="2"/>
  <c r="I1030" i="2"/>
  <c r="J1030" i="2"/>
  <c r="E1031" i="2"/>
  <c r="F1031" i="2"/>
  <c r="I1031" i="2"/>
  <c r="J1031" i="2"/>
  <c r="E1032" i="2"/>
  <c r="I1032" i="2"/>
  <c r="E1033" i="2"/>
  <c r="F1033" i="2"/>
  <c r="I1033" i="2"/>
  <c r="J1033" i="2"/>
  <c r="E1034" i="2"/>
  <c r="F1034" i="2"/>
  <c r="I1034" i="2"/>
  <c r="J1034" i="2"/>
  <c r="E1035" i="2"/>
  <c r="F1035" i="2"/>
  <c r="I1035" i="2"/>
  <c r="J1035" i="2"/>
  <c r="E1036" i="2"/>
  <c r="I1036" i="2"/>
  <c r="E1037" i="2"/>
  <c r="F1037" i="2"/>
  <c r="I1037" i="2"/>
  <c r="J1037" i="2"/>
  <c r="E1038" i="2"/>
  <c r="F1038" i="2"/>
  <c r="I1038" i="2"/>
  <c r="J1038" i="2"/>
  <c r="E1039" i="2"/>
  <c r="F1039" i="2"/>
  <c r="I1039" i="2"/>
  <c r="J1039" i="2"/>
  <c r="E1040" i="2"/>
  <c r="F1040" i="2"/>
  <c r="I1040" i="2"/>
  <c r="J1040" i="2"/>
  <c r="E1041" i="2"/>
  <c r="F1041" i="2"/>
  <c r="I1041" i="2"/>
  <c r="E1042" i="2"/>
  <c r="F1042" i="2"/>
  <c r="I1042" i="2"/>
  <c r="J1042" i="2"/>
  <c r="E1043" i="2"/>
  <c r="F1043" i="2"/>
  <c r="I1043" i="2"/>
  <c r="J1043" i="2"/>
  <c r="E1044" i="2"/>
  <c r="I1044" i="2"/>
  <c r="J1044" i="2"/>
  <c r="E1045" i="2"/>
  <c r="I1045" i="2"/>
  <c r="J1045" i="2"/>
  <c r="E1046" i="2"/>
  <c r="F1046" i="2"/>
  <c r="I1046" i="2"/>
  <c r="E1047" i="2"/>
  <c r="F1047" i="2"/>
  <c r="I1047" i="2"/>
  <c r="J1047" i="2"/>
  <c r="E1048" i="2"/>
  <c r="F1048" i="2"/>
  <c r="I1048" i="2"/>
  <c r="J1048" i="2"/>
  <c r="E1049" i="2"/>
  <c r="F1049" i="2"/>
  <c r="I1049" i="2"/>
  <c r="E1050" i="2"/>
  <c r="I1050" i="2"/>
  <c r="J1050" i="2"/>
  <c r="E1051" i="2"/>
  <c r="F1051" i="2"/>
  <c r="I1051" i="2"/>
  <c r="J1051" i="2"/>
  <c r="E1052" i="2"/>
  <c r="F1052" i="2"/>
  <c r="I1052" i="2"/>
  <c r="J1052" i="2"/>
  <c r="E1053" i="2"/>
  <c r="I1053" i="2"/>
  <c r="E1054" i="2"/>
  <c r="I1054" i="2"/>
  <c r="J1054" i="2"/>
  <c r="E1055" i="2"/>
  <c r="I1055" i="2"/>
  <c r="J1055" i="2"/>
  <c r="E1056" i="2"/>
  <c r="I1056" i="2"/>
  <c r="E1057" i="2"/>
  <c r="I1057" i="2"/>
  <c r="J1057" i="2"/>
  <c r="E1058" i="2"/>
  <c r="F1058" i="2"/>
  <c r="I1058" i="2"/>
  <c r="J1058" i="2"/>
  <c r="E1059" i="2"/>
  <c r="F1059" i="2"/>
  <c r="I1059" i="2"/>
  <c r="E1060" i="2"/>
  <c r="F1060" i="2"/>
  <c r="I1060" i="2"/>
  <c r="J1060" i="2"/>
  <c r="E1061" i="2"/>
  <c r="I1061" i="2"/>
  <c r="J1061" i="2"/>
  <c r="E1062" i="2"/>
  <c r="F1062" i="2"/>
  <c r="I1062" i="2"/>
  <c r="J1062" i="2"/>
  <c r="E1063" i="2"/>
  <c r="F1063" i="2"/>
  <c r="I1063" i="2"/>
  <c r="J1063" i="2"/>
  <c r="E1064" i="2"/>
  <c r="F1064" i="2"/>
  <c r="I1064" i="2"/>
  <c r="J1064" i="2"/>
  <c r="E1065" i="2"/>
  <c r="F1065" i="2"/>
  <c r="I1065" i="2"/>
  <c r="E1066" i="2"/>
  <c r="F1066" i="2"/>
  <c r="I1066" i="2"/>
  <c r="J1066" i="2"/>
  <c r="E1067" i="2"/>
  <c r="F1067" i="2"/>
  <c r="I1067" i="2"/>
  <c r="J1067" i="2"/>
  <c r="E1068" i="2"/>
  <c r="F1068" i="2"/>
  <c r="I1068" i="2"/>
  <c r="J1068" i="2"/>
  <c r="E1069" i="2"/>
  <c r="F1069" i="2"/>
  <c r="I1069" i="2"/>
  <c r="J1069" i="2"/>
  <c r="E1070" i="2"/>
  <c r="F1070" i="2"/>
  <c r="I1070" i="2"/>
  <c r="J1070" i="2"/>
  <c r="E1071" i="2"/>
  <c r="F1071" i="2"/>
  <c r="I1071" i="2"/>
  <c r="J1071" i="2"/>
  <c r="E1072" i="2"/>
  <c r="F1072" i="2"/>
  <c r="I1072" i="2"/>
  <c r="J1072" i="2"/>
  <c r="E1073" i="2"/>
  <c r="F1073" i="2"/>
  <c r="I1073" i="2"/>
  <c r="J1073" i="2"/>
  <c r="E1074" i="2"/>
  <c r="F1074" i="2"/>
  <c r="I1074" i="2"/>
  <c r="J1074" i="2"/>
  <c r="E1075" i="2"/>
  <c r="F1075" i="2"/>
  <c r="I1075" i="2"/>
  <c r="J1075" i="2"/>
  <c r="E1076" i="2"/>
  <c r="F1076" i="2"/>
  <c r="I1076" i="2"/>
  <c r="J1076" i="2"/>
  <c r="E1077" i="2"/>
  <c r="F1077" i="2"/>
  <c r="I1077" i="2"/>
  <c r="J1077" i="2"/>
  <c r="E1078" i="2"/>
  <c r="F1078" i="2"/>
  <c r="I1078" i="2"/>
  <c r="J1078" i="2"/>
  <c r="E1079" i="2"/>
  <c r="F1079" i="2"/>
  <c r="I1079" i="2"/>
  <c r="J1079" i="2"/>
  <c r="E1080" i="2"/>
  <c r="I1080" i="2"/>
  <c r="J1080" i="2"/>
  <c r="E1081" i="2"/>
  <c r="I1081" i="2"/>
  <c r="E1082" i="2"/>
  <c r="I1082" i="2"/>
  <c r="J1082" i="2"/>
  <c r="E1083" i="2"/>
  <c r="I1083" i="2"/>
  <c r="E1084" i="2"/>
  <c r="I1084" i="2"/>
  <c r="J1084" i="2"/>
  <c r="E1085" i="2"/>
  <c r="F1085" i="2"/>
  <c r="I1085" i="2"/>
  <c r="J1085" i="2"/>
  <c r="E1086" i="2"/>
  <c r="F1086" i="2"/>
  <c r="I1086" i="2"/>
  <c r="E1087" i="2"/>
  <c r="F1087" i="2"/>
  <c r="I1087" i="2"/>
  <c r="E1088" i="2"/>
  <c r="I1088" i="2"/>
  <c r="J1088" i="2"/>
  <c r="E1089" i="2"/>
  <c r="I1089" i="2"/>
  <c r="J1089" i="2"/>
  <c r="E1090" i="2"/>
  <c r="I1090" i="2"/>
  <c r="E1091" i="2"/>
  <c r="F1091" i="2"/>
  <c r="I1091" i="2"/>
  <c r="J1091" i="2"/>
  <c r="E1092" i="2"/>
  <c r="I1092" i="2"/>
  <c r="J1092" i="2"/>
  <c r="E1093" i="2"/>
  <c r="I1093" i="2"/>
  <c r="J1093" i="2"/>
  <c r="E1094" i="2"/>
  <c r="F1094" i="2"/>
  <c r="I1094" i="2"/>
  <c r="E1095" i="2"/>
  <c r="I1095" i="2"/>
  <c r="J1095" i="2"/>
  <c r="E1096" i="2"/>
  <c r="F1096" i="2"/>
  <c r="I1096" i="2"/>
  <c r="E1097" i="2"/>
  <c r="F1097" i="2"/>
  <c r="I1097" i="2"/>
  <c r="E1098" i="2"/>
  <c r="I1098" i="2"/>
  <c r="E1099" i="2"/>
  <c r="F1099" i="2"/>
  <c r="I1099" i="2"/>
  <c r="E1100" i="2"/>
  <c r="I1100" i="2"/>
  <c r="J1100" i="2"/>
  <c r="E1101" i="2"/>
  <c r="F1101" i="2"/>
  <c r="I1101" i="2"/>
  <c r="E1102" i="2"/>
  <c r="F1102" i="2"/>
  <c r="I1102" i="2"/>
  <c r="E1103" i="2"/>
  <c r="F1103" i="2"/>
  <c r="I1103" i="2"/>
  <c r="E1104" i="2"/>
  <c r="I1104" i="2"/>
  <c r="J1104" i="2"/>
  <c r="E1105" i="2"/>
  <c r="F1105" i="2"/>
  <c r="I1105" i="2"/>
  <c r="E1106" i="2"/>
  <c r="I1106" i="2"/>
  <c r="E1107" i="2"/>
  <c r="I1107" i="2"/>
  <c r="J1107" i="2"/>
  <c r="E1108" i="2"/>
  <c r="I1108" i="2"/>
  <c r="J1108" i="2"/>
  <c r="E1109" i="2"/>
  <c r="I1109" i="2"/>
  <c r="J1109" i="2"/>
  <c r="E1110" i="2"/>
  <c r="I1110" i="2"/>
  <c r="J1110" i="2"/>
  <c r="E1111" i="2"/>
  <c r="I1111" i="2"/>
  <c r="J1111" i="2"/>
  <c r="E1112" i="2"/>
  <c r="I1112" i="2"/>
  <c r="J1112" i="2"/>
  <c r="E1113" i="2"/>
  <c r="I1113" i="2"/>
  <c r="J1113" i="2"/>
  <c r="E1114" i="2"/>
  <c r="F1114" i="2"/>
  <c r="I1114" i="2"/>
  <c r="E1115" i="2"/>
  <c r="F1115" i="2"/>
  <c r="I1115" i="2"/>
  <c r="E1116" i="2"/>
  <c r="I1116" i="2"/>
  <c r="J1116" i="2"/>
  <c r="E1117" i="2"/>
  <c r="I1117" i="2"/>
  <c r="E1118" i="2"/>
  <c r="I1118" i="2"/>
  <c r="J1118" i="2"/>
  <c r="E1119" i="2"/>
  <c r="I1119" i="2"/>
  <c r="J1119" i="2"/>
  <c r="E1120" i="2"/>
  <c r="I1120" i="2"/>
  <c r="J1120" i="2"/>
  <c r="E1121" i="2"/>
  <c r="I1121" i="2"/>
  <c r="J1121" i="2"/>
  <c r="E1122" i="2"/>
  <c r="F1122" i="2"/>
  <c r="I1122" i="2"/>
  <c r="J1122" i="2"/>
  <c r="E1123" i="2"/>
  <c r="F1123" i="2"/>
  <c r="I1123" i="2"/>
  <c r="J1123" i="2"/>
  <c r="E1124" i="2"/>
  <c r="F1124" i="2"/>
  <c r="I1124" i="2"/>
  <c r="J1124" i="2"/>
  <c r="E1125" i="2"/>
  <c r="F1125" i="2"/>
  <c r="I1125" i="2"/>
  <c r="E1126" i="2"/>
  <c r="I1126" i="2"/>
  <c r="E1127" i="2"/>
  <c r="I1127" i="2"/>
  <c r="J1127" i="2"/>
  <c r="E1128" i="2"/>
  <c r="I1128" i="2"/>
  <c r="J1128" i="2"/>
  <c r="E1129" i="2"/>
  <c r="F1129" i="2"/>
  <c r="I1129" i="2"/>
  <c r="E1130" i="2"/>
  <c r="I1130" i="2"/>
  <c r="J1130" i="2"/>
  <c r="E1131" i="2"/>
  <c r="I1131" i="2"/>
  <c r="J1131" i="2"/>
  <c r="E1132" i="2"/>
  <c r="F1132" i="2"/>
  <c r="I1132" i="2"/>
  <c r="E1133" i="2"/>
  <c r="I1133" i="2"/>
  <c r="E1134" i="2"/>
  <c r="I1134" i="2"/>
  <c r="J1134" i="2"/>
  <c r="E1135" i="2"/>
  <c r="I1135" i="2"/>
  <c r="E1136" i="2"/>
  <c r="I1136" i="2"/>
  <c r="J1136" i="2"/>
  <c r="E1137" i="2"/>
  <c r="I1137" i="2"/>
  <c r="J1137" i="2"/>
  <c r="E1138" i="2"/>
  <c r="I1138" i="2"/>
  <c r="J1138" i="2"/>
  <c r="E1139" i="2"/>
  <c r="I1139" i="2"/>
  <c r="J1139" i="2"/>
  <c r="E1140" i="2"/>
  <c r="I1140" i="2"/>
  <c r="J1140" i="2"/>
  <c r="E1141" i="2"/>
  <c r="F1141" i="2"/>
  <c r="I1141" i="2"/>
  <c r="J1141" i="2"/>
  <c r="E1142" i="2"/>
  <c r="F1142" i="2"/>
  <c r="I1142" i="2"/>
  <c r="J1142" i="2"/>
  <c r="E1143" i="2"/>
  <c r="F1143" i="2"/>
  <c r="I1143" i="2"/>
  <c r="J1143" i="2"/>
  <c r="E1144" i="2"/>
  <c r="F1144" i="2"/>
  <c r="I1144" i="2"/>
  <c r="J1144" i="2"/>
  <c r="E1145" i="2"/>
  <c r="F1145" i="2"/>
  <c r="I1145" i="2"/>
  <c r="E1146" i="2"/>
  <c r="I1146" i="2"/>
  <c r="E1147" i="2"/>
  <c r="I1147" i="2"/>
  <c r="J1147" i="2"/>
  <c r="E1148" i="2"/>
  <c r="F1148" i="2"/>
  <c r="I1148" i="2"/>
  <c r="E1149" i="2"/>
  <c r="F1149" i="2"/>
  <c r="I1149" i="2"/>
  <c r="E1150" i="2"/>
  <c r="F1150" i="2"/>
  <c r="I1150" i="2"/>
  <c r="E1151" i="2"/>
  <c r="F1151" i="2"/>
  <c r="I1151" i="2"/>
  <c r="E1152" i="2"/>
  <c r="F1152" i="2"/>
  <c r="I1152" i="2"/>
  <c r="E1153" i="2"/>
  <c r="I1153" i="2"/>
  <c r="J1153" i="2"/>
  <c r="E1154" i="2"/>
  <c r="I1154" i="2"/>
  <c r="J1154" i="2"/>
  <c r="E1155" i="2"/>
  <c r="F1155" i="2"/>
  <c r="I1155" i="2"/>
  <c r="E1156" i="2"/>
  <c r="I1156" i="2"/>
  <c r="J1156" i="2"/>
  <c r="E1157" i="2"/>
  <c r="F1157" i="2"/>
  <c r="I1157" i="2"/>
  <c r="E1158" i="2"/>
  <c r="F1158" i="2"/>
  <c r="I1158" i="2"/>
  <c r="E1159" i="2"/>
  <c r="F1159" i="2"/>
  <c r="I1159" i="2"/>
  <c r="E1160" i="2"/>
  <c r="F1160" i="2"/>
  <c r="I1160" i="2"/>
  <c r="E1161" i="2"/>
  <c r="I1161" i="2"/>
  <c r="J1161" i="2"/>
  <c r="E1162" i="2"/>
  <c r="I1162" i="2"/>
  <c r="J1162" i="2"/>
  <c r="E1163" i="2"/>
  <c r="I1163" i="2"/>
  <c r="J1163" i="2"/>
  <c r="E1164" i="2"/>
  <c r="I1164" i="2"/>
  <c r="J1164" i="2"/>
  <c r="E1165" i="2"/>
  <c r="I1165" i="2"/>
  <c r="J1165" i="2"/>
  <c r="E1166" i="2"/>
  <c r="I1166" i="2"/>
  <c r="J1166" i="2"/>
  <c r="E1167" i="2"/>
  <c r="I1167" i="2"/>
  <c r="J1167" i="2"/>
  <c r="E1168" i="2"/>
  <c r="F1168" i="2"/>
  <c r="I1168" i="2"/>
  <c r="E1169" i="2"/>
  <c r="F1169" i="2"/>
  <c r="I1169" i="2"/>
  <c r="E1170" i="2"/>
  <c r="F1170" i="2"/>
  <c r="I1170" i="2"/>
  <c r="E1171" i="2"/>
  <c r="F1171" i="2"/>
  <c r="I1171" i="2"/>
  <c r="E1172" i="2"/>
  <c r="F1172" i="2"/>
  <c r="I1172" i="2"/>
  <c r="E1173" i="2"/>
  <c r="F1173" i="2"/>
  <c r="I1173" i="2"/>
  <c r="E1174" i="2"/>
  <c r="F1174" i="2"/>
  <c r="I1174" i="2"/>
  <c r="E1175" i="2"/>
  <c r="F1175" i="2"/>
  <c r="I1175" i="2"/>
  <c r="E1176" i="2"/>
  <c r="F1176" i="2"/>
  <c r="I1176" i="2"/>
  <c r="E1177" i="2"/>
  <c r="F1177" i="2"/>
  <c r="I1177" i="2"/>
  <c r="E1178" i="2"/>
  <c r="F1178" i="2"/>
  <c r="I1178" i="2"/>
  <c r="E1179" i="2"/>
  <c r="F1179" i="2"/>
  <c r="I1179" i="2"/>
  <c r="E1180" i="2"/>
  <c r="F1180" i="2"/>
  <c r="I1180" i="2"/>
  <c r="E1181" i="2"/>
  <c r="F1181" i="2"/>
  <c r="I1181" i="2"/>
  <c r="E1182" i="2"/>
  <c r="F1182" i="2"/>
  <c r="I1182" i="2"/>
  <c r="E1183" i="2"/>
  <c r="F1183" i="2"/>
  <c r="I1183" i="2"/>
  <c r="E1184" i="2"/>
  <c r="F1184" i="2"/>
  <c r="I1184" i="2"/>
  <c r="J1184" i="2"/>
  <c r="E1185" i="2"/>
  <c r="I1185" i="2"/>
  <c r="J1185" i="2"/>
  <c r="E1186" i="2"/>
  <c r="F1186" i="2"/>
  <c r="I1186" i="2"/>
  <c r="E1187" i="2"/>
  <c r="I1187" i="2"/>
  <c r="J1187" i="2"/>
  <c r="E1188" i="2"/>
  <c r="F1188" i="2"/>
  <c r="I1188" i="2"/>
  <c r="E1189" i="2"/>
  <c r="F1189" i="2"/>
  <c r="I1189" i="2"/>
  <c r="E1190" i="2"/>
  <c r="I1190" i="2"/>
  <c r="E1191" i="2"/>
  <c r="I1191" i="2"/>
  <c r="J1191" i="2"/>
  <c r="E1192" i="2"/>
  <c r="F1192" i="2"/>
  <c r="I1192" i="2"/>
  <c r="E1193" i="2"/>
  <c r="F1193" i="2"/>
  <c r="I1193" i="2"/>
  <c r="J1193" i="2"/>
  <c r="E1194" i="2"/>
  <c r="F1194" i="2"/>
  <c r="I1194" i="2"/>
  <c r="J1194" i="2"/>
  <c r="E1195" i="2"/>
  <c r="I1195" i="2"/>
  <c r="J1195" i="2"/>
  <c r="E1196" i="2"/>
  <c r="F1196" i="2"/>
  <c r="I1196" i="2"/>
  <c r="E1197" i="2"/>
  <c r="F1197" i="2"/>
  <c r="I1197" i="2"/>
  <c r="E1198" i="2"/>
  <c r="F1198" i="2"/>
  <c r="I1198" i="2"/>
  <c r="E1199" i="2"/>
  <c r="F1199" i="2"/>
  <c r="I1199" i="2"/>
  <c r="E1200" i="2"/>
  <c r="F1200" i="2"/>
  <c r="I1200" i="2"/>
  <c r="E1201" i="2"/>
  <c r="F1201" i="2"/>
  <c r="I1201" i="2"/>
  <c r="E1202" i="2"/>
  <c r="I1202" i="2"/>
  <c r="E1203" i="2"/>
  <c r="F1203" i="2"/>
  <c r="I1203" i="2"/>
  <c r="J1203" i="2"/>
  <c r="E1204" i="2"/>
  <c r="F1204" i="2"/>
  <c r="I1204" i="2"/>
  <c r="J1204" i="2"/>
  <c r="E1205" i="2"/>
  <c r="I1205" i="2"/>
  <c r="J1205" i="2"/>
  <c r="E1206" i="2"/>
  <c r="F1206" i="2"/>
  <c r="I1206" i="2"/>
  <c r="J1206" i="2"/>
  <c r="E1207" i="2"/>
  <c r="F1207" i="2"/>
  <c r="I1207" i="2"/>
  <c r="J1207" i="2"/>
  <c r="E1208" i="2"/>
  <c r="F1208" i="2"/>
  <c r="I1208" i="2"/>
  <c r="J1208" i="2"/>
  <c r="E1209" i="2"/>
  <c r="F1209" i="2"/>
  <c r="I1209" i="2"/>
  <c r="E1210" i="2"/>
  <c r="F1210" i="2"/>
  <c r="I1210" i="2"/>
  <c r="J1210" i="2"/>
  <c r="E1211" i="2"/>
  <c r="F1211" i="2"/>
  <c r="I1211" i="2"/>
  <c r="J1211" i="2"/>
  <c r="E1212" i="2"/>
  <c r="F1212" i="2"/>
  <c r="I1212" i="2"/>
  <c r="J1212" i="2"/>
  <c r="E1213" i="2"/>
  <c r="F1213" i="2"/>
  <c r="I1213" i="2"/>
  <c r="J1213" i="2"/>
  <c r="E1214" i="2"/>
  <c r="F1214" i="2"/>
  <c r="I1214" i="2"/>
  <c r="J1214" i="2"/>
  <c r="E1215" i="2"/>
  <c r="I1215" i="2"/>
  <c r="J1215" i="2"/>
  <c r="E1216" i="2"/>
  <c r="F1216" i="2"/>
  <c r="I1216" i="2"/>
  <c r="E1217" i="2"/>
  <c r="F1217" i="2"/>
  <c r="I1217" i="2"/>
  <c r="E1218" i="2"/>
  <c r="F1218" i="2"/>
  <c r="I1218" i="2"/>
  <c r="E1219" i="2"/>
  <c r="F1219" i="2"/>
  <c r="I1219" i="2"/>
  <c r="J1219" i="2"/>
  <c r="E1220" i="2"/>
  <c r="I1220" i="2"/>
  <c r="E1221" i="2"/>
  <c r="F1221" i="2"/>
  <c r="I1221" i="2"/>
  <c r="E1222" i="2"/>
  <c r="I1222" i="2"/>
  <c r="E1223" i="2"/>
  <c r="I1223" i="2"/>
  <c r="E1224" i="2"/>
  <c r="I1224" i="2"/>
  <c r="E1225" i="2"/>
  <c r="F1225" i="2"/>
  <c r="I1225" i="2"/>
  <c r="E1226" i="2"/>
  <c r="F1226" i="2"/>
  <c r="I1226" i="2"/>
  <c r="E1227" i="2"/>
  <c r="F1227" i="2"/>
  <c r="I1227" i="2"/>
  <c r="E1228" i="2"/>
  <c r="F1228" i="2"/>
  <c r="I1228" i="2"/>
  <c r="E1229" i="2"/>
  <c r="I1229" i="2"/>
  <c r="E1230" i="2"/>
  <c r="F1230" i="2"/>
  <c r="I1230" i="2"/>
  <c r="J1230" i="2"/>
  <c r="E1231" i="2"/>
  <c r="F1231" i="2"/>
  <c r="I1231" i="2"/>
  <c r="J1231" i="2"/>
  <c r="E1232" i="2"/>
  <c r="F1232" i="2"/>
  <c r="I1232" i="2"/>
  <c r="E1233" i="2"/>
  <c r="F1233" i="2"/>
  <c r="I1233" i="2"/>
  <c r="E1234" i="2"/>
  <c r="F1234" i="2"/>
  <c r="I1234" i="2"/>
  <c r="E1235" i="2"/>
  <c r="F1235" i="2"/>
  <c r="I1235" i="2"/>
  <c r="E1236" i="2"/>
  <c r="F1236" i="2"/>
  <c r="I1236" i="2"/>
  <c r="J1236" i="2"/>
  <c r="E1237" i="2"/>
  <c r="F1237" i="2"/>
  <c r="I1237" i="2"/>
  <c r="J1237" i="2"/>
  <c r="E1238" i="2"/>
  <c r="F1238" i="2"/>
  <c r="I1238" i="2"/>
  <c r="J1238" i="2"/>
  <c r="E1239" i="2"/>
  <c r="F1239" i="2"/>
  <c r="I1239" i="2"/>
  <c r="E1240" i="2"/>
  <c r="F1240" i="2"/>
  <c r="I1240" i="2"/>
  <c r="E1241" i="2"/>
  <c r="F1241" i="2"/>
  <c r="I1241" i="2"/>
  <c r="E1242" i="2"/>
  <c r="F1242" i="2"/>
  <c r="I1242" i="2"/>
  <c r="J1242" i="2"/>
  <c r="E1243" i="2"/>
  <c r="F1243" i="2"/>
  <c r="I1243" i="2"/>
  <c r="J1243" i="2"/>
  <c r="E1244" i="2"/>
  <c r="F1244" i="2"/>
  <c r="I1244" i="2"/>
  <c r="J1244" i="2"/>
  <c r="E1245" i="2"/>
  <c r="F1245" i="2"/>
  <c r="I1245" i="2"/>
  <c r="J1245" i="2"/>
  <c r="E1246" i="2"/>
  <c r="F1246" i="2"/>
  <c r="I1246" i="2"/>
  <c r="J1246" i="2"/>
  <c r="E1247" i="2"/>
  <c r="F1247" i="2"/>
  <c r="I1247" i="2"/>
  <c r="J1247" i="2"/>
  <c r="E1248" i="2"/>
  <c r="F1248" i="2"/>
  <c r="I1248" i="2"/>
  <c r="J1248" i="2"/>
  <c r="E1249" i="2"/>
  <c r="F1249" i="2"/>
  <c r="I1249" i="2"/>
  <c r="J1249" i="2"/>
  <c r="E1250" i="2"/>
  <c r="F1250" i="2"/>
  <c r="I1250" i="2"/>
  <c r="J1250" i="2"/>
  <c r="E1251" i="2"/>
  <c r="F1251" i="2"/>
  <c r="I1251" i="2"/>
  <c r="J1251" i="2"/>
  <c r="E1252" i="2"/>
  <c r="F1252" i="2"/>
  <c r="I1252" i="2"/>
  <c r="J1252" i="2"/>
  <c r="E1253" i="2"/>
  <c r="F1253" i="2"/>
  <c r="I1253" i="2"/>
  <c r="J1253" i="2"/>
  <c r="E1254" i="2"/>
  <c r="F1254" i="2"/>
  <c r="I1254" i="2"/>
  <c r="J1254" i="2"/>
  <c r="E1255" i="2"/>
  <c r="F1255" i="2"/>
  <c r="I1255" i="2"/>
  <c r="J1255" i="2"/>
  <c r="E1256" i="2"/>
  <c r="F1256" i="2"/>
  <c r="I1256" i="2"/>
  <c r="E1257" i="2"/>
  <c r="F1257" i="2"/>
  <c r="I1257" i="2"/>
  <c r="J1257" i="2"/>
  <c r="E1258" i="2"/>
  <c r="F1258" i="2"/>
  <c r="I1258" i="2"/>
  <c r="J1258" i="2"/>
  <c r="E1259" i="2"/>
  <c r="I1259" i="2"/>
  <c r="J1259" i="2"/>
  <c r="E1260" i="2"/>
  <c r="I1260" i="2"/>
  <c r="J1260" i="2"/>
  <c r="E1261" i="2"/>
  <c r="I1261" i="2"/>
  <c r="J1261" i="2"/>
  <c r="E1262" i="2"/>
  <c r="F1262" i="2"/>
  <c r="I1262" i="2"/>
  <c r="E1263" i="2"/>
  <c r="F1263" i="2"/>
  <c r="I1263" i="2"/>
  <c r="E1264" i="2"/>
  <c r="F1264" i="2"/>
  <c r="I1264" i="2"/>
  <c r="J1264" i="2"/>
  <c r="E1265" i="2"/>
  <c r="F1265" i="2"/>
  <c r="I1265" i="2"/>
  <c r="J1265" i="2"/>
  <c r="E1266" i="2"/>
  <c r="F1266" i="2"/>
  <c r="I1266" i="2"/>
  <c r="J1266" i="2"/>
  <c r="E1267" i="2"/>
  <c r="F1267" i="2"/>
  <c r="I1267" i="2"/>
  <c r="E1268" i="2"/>
  <c r="I1268" i="2"/>
  <c r="J1268" i="2"/>
  <c r="E1269" i="2"/>
  <c r="F1269" i="2"/>
  <c r="I1269" i="2"/>
  <c r="J1269" i="2"/>
  <c r="E1270" i="2"/>
  <c r="I1270" i="2"/>
  <c r="J1270" i="2"/>
  <c r="E1271" i="2"/>
  <c r="F1271" i="2"/>
  <c r="I1271" i="2"/>
  <c r="J1271" i="2"/>
  <c r="E1272" i="2"/>
  <c r="F1272" i="2"/>
  <c r="I1272" i="2"/>
  <c r="E1273" i="2"/>
  <c r="F1273" i="2"/>
  <c r="I1273" i="2"/>
  <c r="J1273" i="2"/>
  <c r="E1274" i="2"/>
  <c r="F1274" i="2"/>
  <c r="I1274" i="2"/>
  <c r="E1275" i="2"/>
  <c r="F1275" i="2"/>
  <c r="I1275" i="2"/>
  <c r="E1276" i="2"/>
  <c r="F1276" i="2"/>
  <c r="I1276" i="2"/>
  <c r="J1276" i="2"/>
  <c r="E1277" i="2"/>
  <c r="F1277" i="2"/>
  <c r="I1277" i="2"/>
  <c r="E1278" i="2"/>
  <c r="F1278" i="2"/>
  <c r="I1278" i="2"/>
  <c r="E1279" i="2"/>
  <c r="F1279" i="2"/>
  <c r="I1279" i="2"/>
  <c r="J1279" i="2"/>
  <c r="E1280" i="2"/>
  <c r="F1280" i="2"/>
  <c r="I1280" i="2"/>
  <c r="J1280" i="2"/>
  <c r="E1281" i="2"/>
  <c r="F1281" i="2"/>
  <c r="I1281" i="2"/>
  <c r="E1282" i="2"/>
  <c r="I1282" i="2"/>
  <c r="E1283" i="2"/>
  <c r="F1283" i="2"/>
  <c r="I1283" i="2"/>
  <c r="E1284" i="2"/>
  <c r="I1284" i="2"/>
  <c r="J1284" i="2"/>
  <c r="E1285" i="2"/>
  <c r="I1285" i="2"/>
  <c r="J1285" i="2"/>
  <c r="E1286" i="2"/>
  <c r="F1286" i="2"/>
  <c r="I1286" i="2"/>
  <c r="E1287" i="2"/>
  <c r="F1287" i="2"/>
  <c r="I1287" i="2"/>
  <c r="E1288" i="2"/>
  <c r="F1288" i="2"/>
  <c r="I1288" i="2"/>
  <c r="E1289" i="2"/>
  <c r="F1289" i="2"/>
  <c r="I1289" i="2"/>
  <c r="E1290" i="2"/>
  <c r="F1290" i="2"/>
  <c r="I1290" i="2"/>
  <c r="E1291" i="2"/>
  <c r="F1291" i="2"/>
  <c r="I1291" i="2"/>
  <c r="E1292" i="2"/>
  <c r="F1292" i="2"/>
  <c r="I1292" i="2"/>
  <c r="E1293" i="2"/>
  <c r="F1293" i="2"/>
  <c r="I1293" i="2"/>
  <c r="E1294" i="2"/>
  <c r="F1294" i="2"/>
  <c r="I1294" i="2"/>
  <c r="E1295" i="2"/>
  <c r="F1295" i="2"/>
  <c r="I1295" i="2"/>
  <c r="E1296" i="2"/>
  <c r="F1296" i="2"/>
  <c r="I1296" i="2"/>
  <c r="E1297" i="2"/>
  <c r="F1297" i="2"/>
  <c r="I1297" i="2"/>
  <c r="E1298" i="2"/>
  <c r="F1298" i="2"/>
  <c r="I1298" i="2"/>
  <c r="E1299" i="2"/>
  <c r="F1299" i="2"/>
  <c r="I1299" i="2"/>
  <c r="E1300" i="2"/>
  <c r="F1300" i="2"/>
  <c r="I1300" i="2"/>
  <c r="E1301" i="2"/>
  <c r="F1301" i="2"/>
  <c r="I1301" i="2"/>
  <c r="J1301" i="2"/>
  <c r="E1302" i="2"/>
  <c r="F1302" i="2"/>
  <c r="I1302" i="2"/>
  <c r="E1303" i="2"/>
  <c r="F1303" i="2"/>
  <c r="I1303" i="2"/>
  <c r="E1304" i="2"/>
  <c r="I1304" i="2"/>
  <c r="J1304" i="2"/>
  <c r="E1305" i="2"/>
  <c r="I1305" i="2"/>
  <c r="E1306" i="2"/>
  <c r="F1306" i="2"/>
  <c r="I1306" i="2"/>
  <c r="E1307" i="2"/>
  <c r="F1307" i="2"/>
  <c r="I1307" i="2"/>
  <c r="J1307" i="2"/>
  <c r="E1308" i="2"/>
  <c r="F1308" i="2"/>
  <c r="I1308" i="2"/>
  <c r="J1308" i="2"/>
  <c r="E1309" i="2"/>
  <c r="F1309" i="2"/>
  <c r="I1309" i="2"/>
  <c r="E1310" i="2"/>
  <c r="F1310" i="2"/>
  <c r="I1310" i="2"/>
  <c r="E1311" i="2"/>
  <c r="I1311" i="2"/>
  <c r="E1312" i="2"/>
  <c r="I1312" i="2"/>
  <c r="J1312" i="2"/>
  <c r="E1313" i="2"/>
  <c r="I1313" i="2"/>
  <c r="J1313" i="2"/>
  <c r="E1314" i="2"/>
  <c r="F1314" i="2"/>
  <c r="I1314" i="2"/>
  <c r="E1315" i="2"/>
  <c r="F1315" i="2"/>
  <c r="I1315" i="2"/>
  <c r="E1316" i="2"/>
  <c r="I1316" i="2"/>
  <c r="J1316" i="2"/>
  <c r="E1317" i="2"/>
  <c r="I1317" i="2"/>
  <c r="J1317" i="2"/>
  <c r="E1318" i="2"/>
  <c r="F1318" i="2"/>
  <c r="I1318" i="2"/>
  <c r="J1318" i="2"/>
  <c r="E1319" i="2"/>
  <c r="F1319" i="2"/>
  <c r="I1319" i="2"/>
  <c r="E1320" i="2"/>
  <c r="F1320" i="2"/>
  <c r="I1320" i="2"/>
  <c r="E1321" i="2"/>
  <c r="F1321" i="2"/>
  <c r="I1321" i="2"/>
  <c r="E1322" i="2"/>
  <c r="F1322" i="2"/>
  <c r="I1322" i="2"/>
  <c r="E1323" i="2"/>
  <c r="F1323" i="2"/>
  <c r="I1323" i="2"/>
  <c r="E1324" i="2"/>
  <c r="F1324" i="2"/>
  <c r="I1324" i="2"/>
  <c r="E1325" i="2"/>
  <c r="I1325" i="2"/>
  <c r="J1325" i="2"/>
  <c r="E1326" i="2"/>
  <c r="F1326" i="2"/>
  <c r="I1326" i="2"/>
  <c r="E1327" i="2"/>
  <c r="I1327" i="2"/>
  <c r="J1327" i="2"/>
  <c r="E1328" i="2"/>
  <c r="I1328" i="2"/>
  <c r="J1328" i="2"/>
  <c r="E1329" i="2"/>
  <c r="F1329" i="2"/>
  <c r="I1329" i="2"/>
  <c r="E1330" i="2"/>
  <c r="F1330" i="2"/>
  <c r="I1330" i="2"/>
  <c r="E1331" i="2"/>
  <c r="F1331" i="2"/>
  <c r="I1331" i="2"/>
  <c r="E1332" i="2"/>
  <c r="F1332" i="2"/>
  <c r="I1332" i="2"/>
  <c r="J1332" i="2"/>
  <c r="E1333" i="2"/>
  <c r="F1333" i="2"/>
  <c r="I1333" i="2"/>
  <c r="J1333" i="2"/>
  <c r="E1334" i="2"/>
  <c r="F1334" i="2"/>
  <c r="I1334" i="2"/>
  <c r="J1334" i="2"/>
  <c r="E1335" i="2"/>
  <c r="F1335" i="2"/>
  <c r="I1335" i="2"/>
  <c r="J1335" i="2"/>
  <c r="E1336" i="2"/>
  <c r="F1336" i="2"/>
  <c r="I1336" i="2"/>
  <c r="E1337" i="2"/>
  <c r="F1337" i="2"/>
  <c r="I1337" i="2"/>
  <c r="E1338" i="2"/>
  <c r="F1338" i="2"/>
  <c r="I1338" i="2"/>
  <c r="J1338" i="2"/>
  <c r="E1339" i="2"/>
  <c r="F1339" i="2"/>
  <c r="I1339" i="2"/>
  <c r="E1340" i="2"/>
  <c r="F1340" i="2"/>
  <c r="I1340" i="2"/>
  <c r="J1340" i="2"/>
  <c r="E1341" i="2"/>
  <c r="F1341" i="2"/>
  <c r="I1341" i="2"/>
  <c r="J1341" i="2"/>
  <c r="E1342" i="2"/>
  <c r="F1342" i="2"/>
  <c r="I1342" i="2"/>
  <c r="E1343" i="2"/>
  <c r="F1343" i="2"/>
  <c r="I1343" i="2"/>
  <c r="J1343" i="2"/>
  <c r="E1344" i="2"/>
  <c r="F1344" i="2"/>
  <c r="I1344" i="2"/>
  <c r="E1345" i="2"/>
  <c r="I1345" i="2"/>
  <c r="J1345" i="2"/>
  <c r="E1346" i="2"/>
  <c r="F1346" i="2"/>
  <c r="I1346" i="2"/>
  <c r="E1347" i="2"/>
  <c r="I1347" i="2"/>
  <c r="J1347" i="2"/>
  <c r="E1348" i="2"/>
  <c r="F1348" i="2"/>
  <c r="I1348" i="2"/>
  <c r="J1348" i="2"/>
  <c r="E1349" i="2"/>
  <c r="F1349" i="2"/>
  <c r="I1349" i="2"/>
  <c r="E1350" i="2"/>
  <c r="F1350" i="2"/>
  <c r="I1350" i="2"/>
  <c r="E1351" i="2"/>
  <c r="I1351" i="2"/>
  <c r="J1351" i="2"/>
  <c r="E1352" i="2"/>
  <c r="I1352" i="2"/>
  <c r="J1352" i="2"/>
  <c r="E1353" i="2"/>
  <c r="F1353" i="2"/>
  <c r="I1353" i="2"/>
  <c r="J1353" i="2"/>
  <c r="E1354" i="2"/>
  <c r="F1354" i="2"/>
  <c r="I1354" i="2"/>
  <c r="J1354" i="2"/>
  <c r="E1355" i="2"/>
  <c r="I1355" i="2"/>
  <c r="E1356" i="2"/>
  <c r="I1356" i="2"/>
  <c r="E1357" i="2"/>
  <c r="I1357" i="2"/>
  <c r="E1358" i="2"/>
  <c r="F1358" i="2"/>
  <c r="I1358" i="2"/>
  <c r="J1358" i="2"/>
  <c r="E1359" i="2"/>
  <c r="I1359" i="2"/>
  <c r="E1360" i="2"/>
  <c r="F1360" i="2"/>
  <c r="I1360" i="2"/>
  <c r="J1360" i="2"/>
  <c r="E1361" i="2"/>
  <c r="F1361" i="2"/>
  <c r="I1361" i="2"/>
  <c r="J1361" i="2"/>
  <c r="E1362" i="2"/>
  <c r="I1362" i="2"/>
  <c r="J1362" i="2"/>
  <c r="E1363" i="2"/>
  <c r="F1363" i="2"/>
  <c r="I1363" i="2"/>
  <c r="J1363" i="2"/>
  <c r="E1364" i="2"/>
  <c r="F1364" i="2"/>
  <c r="I1364" i="2"/>
  <c r="J1364" i="2"/>
  <c r="E1365" i="2"/>
  <c r="F1365" i="2"/>
  <c r="I1365" i="2"/>
  <c r="J1365" i="2"/>
  <c r="E1366" i="2"/>
  <c r="F1366" i="2"/>
  <c r="I1366" i="2"/>
  <c r="J1366" i="2"/>
  <c r="E1367" i="2"/>
  <c r="I1367" i="2"/>
  <c r="J1367" i="2"/>
  <c r="E1368" i="2"/>
  <c r="F1368" i="2"/>
  <c r="I1368" i="2"/>
  <c r="J1368" i="2"/>
  <c r="E1369" i="2"/>
  <c r="F1369" i="2"/>
  <c r="I1369" i="2"/>
  <c r="E1370" i="2"/>
  <c r="F1370" i="2"/>
  <c r="I1370" i="2"/>
  <c r="J1370" i="2"/>
  <c r="E1371" i="2"/>
  <c r="F1371" i="2"/>
  <c r="I1371" i="2"/>
  <c r="J1371" i="2"/>
  <c r="E1372" i="2"/>
  <c r="I1372" i="2"/>
  <c r="E1373" i="2"/>
  <c r="F1373" i="2"/>
  <c r="I1373" i="2"/>
  <c r="J1373" i="2"/>
  <c r="E1374" i="2"/>
  <c r="I1374" i="2"/>
  <c r="E1375" i="2"/>
  <c r="I1375" i="2"/>
  <c r="J1375" i="2"/>
  <c r="E1376" i="2"/>
  <c r="I1376" i="2"/>
  <c r="E1377" i="2"/>
  <c r="F1377" i="2"/>
  <c r="I1377" i="2"/>
  <c r="E1378" i="2"/>
  <c r="F1378" i="2"/>
  <c r="I1378" i="2"/>
  <c r="J1378" i="2"/>
  <c r="E1379" i="2"/>
  <c r="I1379" i="2"/>
  <c r="J1379" i="2"/>
  <c r="E1380" i="2"/>
  <c r="I1380" i="2"/>
  <c r="J1380" i="2"/>
  <c r="E1381" i="2"/>
  <c r="I1381" i="2"/>
  <c r="J1381" i="2"/>
  <c r="E1382" i="2"/>
  <c r="I1382" i="2"/>
  <c r="J1382" i="2"/>
  <c r="E1383" i="2"/>
  <c r="I1383" i="2"/>
  <c r="E1384" i="2"/>
  <c r="F1384" i="2"/>
  <c r="I1384" i="2"/>
  <c r="J1384" i="2"/>
  <c r="E1385" i="2"/>
  <c r="I1385" i="2"/>
  <c r="J1385" i="2"/>
  <c r="E1386" i="2"/>
  <c r="F1386" i="2"/>
  <c r="I1386" i="2"/>
  <c r="J1386" i="2"/>
  <c r="E1387" i="2"/>
  <c r="I1387" i="2"/>
  <c r="E1388" i="2"/>
  <c r="F1388" i="2"/>
  <c r="I1388" i="2"/>
  <c r="E1389" i="2"/>
  <c r="F1389" i="2"/>
  <c r="I1389" i="2"/>
  <c r="E1390" i="2"/>
  <c r="I1390" i="2"/>
  <c r="J1390" i="2"/>
  <c r="E1391" i="2"/>
  <c r="I1391" i="2"/>
  <c r="J1391" i="2"/>
  <c r="E1392" i="2"/>
  <c r="F1392" i="2"/>
  <c r="I1392" i="2"/>
  <c r="E1393" i="2"/>
  <c r="I1393" i="2"/>
  <c r="J1393" i="2"/>
  <c r="E1394" i="2"/>
  <c r="I1394" i="2"/>
  <c r="J1394" i="2"/>
  <c r="E1395" i="2"/>
  <c r="F1395" i="2"/>
  <c r="I1395" i="2"/>
  <c r="E1396" i="2"/>
  <c r="I1396" i="2"/>
  <c r="J1396" i="2"/>
  <c r="E1397" i="2"/>
  <c r="I1397" i="2"/>
  <c r="J1397" i="2"/>
  <c r="E1398" i="2"/>
  <c r="I1398" i="2"/>
  <c r="J1398" i="2"/>
  <c r="E1399" i="2"/>
  <c r="I1399" i="2"/>
  <c r="J1399" i="2"/>
  <c r="E1400" i="2"/>
  <c r="F1400" i="2"/>
  <c r="I1400" i="2"/>
  <c r="E1401" i="2"/>
  <c r="F1401" i="2"/>
  <c r="I1401" i="2"/>
  <c r="E1402" i="2"/>
  <c r="F1402" i="2"/>
  <c r="I1402" i="2"/>
  <c r="J1402" i="2"/>
  <c r="E1403" i="2"/>
  <c r="F1403" i="2"/>
  <c r="I1403" i="2"/>
  <c r="E1404" i="2"/>
  <c r="F1404" i="2"/>
  <c r="I1404" i="2"/>
  <c r="J1404" i="2"/>
  <c r="E1405" i="2"/>
  <c r="F1405" i="2"/>
  <c r="I1405" i="2"/>
  <c r="J1405" i="2"/>
  <c r="E1406" i="2"/>
  <c r="F1406" i="2"/>
  <c r="I1406" i="2"/>
  <c r="J1406" i="2"/>
  <c r="E1407" i="2"/>
  <c r="I1407" i="2"/>
  <c r="E1408" i="2"/>
  <c r="F1408" i="2"/>
  <c r="I1408" i="2"/>
  <c r="J1408" i="2"/>
  <c r="E1409" i="2"/>
  <c r="I1409" i="2"/>
  <c r="J1409" i="2"/>
  <c r="E1410" i="2"/>
  <c r="I1410" i="2"/>
  <c r="J1410" i="2"/>
  <c r="E1411" i="2"/>
  <c r="I1411" i="2"/>
  <c r="J1411" i="2"/>
  <c r="E1412" i="2"/>
  <c r="F1412" i="2"/>
  <c r="I1412" i="2"/>
  <c r="J1412" i="2"/>
  <c r="E1413" i="2"/>
  <c r="I1413" i="2"/>
  <c r="E1414" i="2"/>
  <c r="F1414" i="2"/>
  <c r="I1414" i="2"/>
  <c r="J1414" i="2"/>
  <c r="E1415" i="2"/>
  <c r="I1415" i="2"/>
  <c r="J1415" i="2"/>
  <c r="E1416" i="2"/>
  <c r="F1416" i="2"/>
  <c r="I1416" i="2"/>
  <c r="E1417" i="2"/>
  <c r="F1417" i="2"/>
  <c r="I1417" i="2"/>
  <c r="J1417" i="2"/>
  <c r="E1418" i="2"/>
  <c r="F1418" i="2"/>
  <c r="I1418" i="2"/>
  <c r="J1418" i="2"/>
  <c r="E1419" i="2"/>
  <c r="I1419" i="2"/>
  <c r="E1420" i="2"/>
  <c r="F1420" i="2"/>
  <c r="I1420" i="2"/>
  <c r="J1420" i="2"/>
  <c r="E1421" i="2"/>
  <c r="I1421" i="2"/>
  <c r="J1421" i="2"/>
  <c r="E1422" i="2"/>
  <c r="F1422" i="2"/>
  <c r="I1422" i="2"/>
  <c r="J1422" i="2"/>
  <c r="E1423" i="2"/>
  <c r="F1423" i="2"/>
  <c r="I1423" i="2"/>
  <c r="J1423" i="2"/>
  <c r="E1424" i="2"/>
  <c r="I1424" i="2"/>
  <c r="J1424" i="2"/>
  <c r="E1425" i="2"/>
  <c r="F1425" i="2"/>
  <c r="I1425" i="2"/>
  <c r="J1425" i="2"/>
  <c r="E1426" i="2"/>
  <c r="I1426" i="2"/>
  <c r="E1427" i="2"/>
  <c r="F1427" i="2"/>
  <c r="I1427" i="2"/>
  <c r="J1427" i="2"/>
  <c r="E1428" i="2"/>
  <c r="F1428" i="2"/>
  <c r="I1428" i="2"/>
  <c r="E1429" i="2"/>
  <c r="F1429" i="2"/>
  <c r="I1429" i="2"/>
  <c r="E1430" i="2"/>
  <c r="F1430" i="2"/>
  <c r="I1430" i="2"/>
  <c r="E1431" i="2"/>
  <c r="F1431" i="2"/>
  <c r="I1431" i="2"/>
  <c r="E1432" i="2"/>
  <c r="F1432" i="2"/>
  <c r="I1432" i="2"/>
  <c r="J1432" i="2"/>
  <c r="E1433" i="2"/>
  <c r="F1433" i="2"/>
  <c r="I1433" i="2"/>
  <c r="J1433" i="2"/>
  <c r="E1434" i="2"/>
  <c r="F1434" i="2"/>
  <c r="I1434" i="2"/>
  <c r="J1434" i="2"/>
  <c r="E1435" i="2"/>
  <c r="F1435" i="2"/>
  <c r="I1435" i="2"/>
  <c r="J1435" i="2"/>
  <c r="E1436" i="2"/>
  <c r="F1436" i="2"/>
  <c r="I1436" i="2"/>
  <c r="J1436" i="2"/>
  <c r="E1437" i="2"/>
  <c r="F1437" i="2"/>
  <c r="I1437" i="2"/>
  <c r="E1438" i="2"/>
  <c r="F1438" i="2"/>
  <c r="I1438" i="2"/>
  <c r="J1438" i="2"/>
  <c r="E1439" i="2"/>
  <c r="F1439" i="2"/>
  <c r="I1439" i="2"/>
  <c r="J1439" i="2"/>
  <c r="E1440" i="2"/>
  <c r="F1440" i="2"/>
  <c r="I1440" i="2"/>
  <c r="J1440" i="2"/>
  <c r="E1441" i="2"/>
  <c r="F1441" i="2"/>
  <c r="I1441" i="2"/>
  <c r="J1441" i="2"/>
  <c r="E1442" i="2"/>
  <c r="F1442" i="2"/>
  <c r="I1442" i="2"/>
  <c r="E1443" i="2"/>
  <c r="F1443" i="2"/>
  <c r="I1443" i="2"/>
  <c r="E1444" i="2"/>
  <c r="F1444" i="2"/>
  <c r="I1444" i="2"/>
  <c r="E1445" i="2"/>
  <c r="F1445" i="2"/>
  <c r="I1445" i="2"/>
  <c r="J1445" i="2"/>
  <c r="E1446" i="2"/>
  <c r="F1446" i="2"/>
  <c r="I1446" i="2"/>
  <c r="J1446" i="2"/>
  <c r="E1447" i="2"/>
  <c r="F1447" i="2"/>
  <c r="I1447" i="2"/>
  <c r="E1448" i="2"/>
  <c r="I1448" i="2"/>
  <c r="J1448" i="2"/>
  <c r="E1449" i="2"/>
  <c r="I1449" i="2"/>
  <c r="E1450" i="2"/>
  <c r="F1450" i="2"/>
  <c r="I1450" i="2"/>
  <c r="J1450" i="2"/>
  <c r="E1451" i="2"/>
  <c r="I1451" i="2"/>
  <c r="J1451" i="2"/>
  <c r="E1452" i="2"/>
  <c r="F1452" i="2"/>
  <c r="I1452" i="2"/>
  <c r="E1453" i="2"/>
  <c r="F1453" i="2"/>
  <c r="I1453" i="2"/>
  <c r="E1454" i="2"/>
  <c r="F1454" i="2"/>
  <c r="I1454" i="2"/>
  <c r="E1455" i="2"/>
  <c r="F1455" i="2"/>
  <c r="I1455" i="2"/>
  <c r="E1456" i="2"/>
  <c r="I1456" i="2"/>
  <c r="J1456" i="2"/>
  <c r="E1457" i="2"/>
  <c r="F1457" i="2"/>
  <c r="I1457" i="2"/>
  <c r="E1458" i="2"/>
  <c r="I1458" i="2"/>
  <c r="J1458" i="2"/>
  <c r="E1459" i="2"/>
  <c r="I1459" i="2"/>
  <c r="J1459" i="2"/>
  <c r="E1460" i="2"/>
  <c r="I1460" i="2"/>
  <c r="J1460" i="2"/>
  <c r="E1461" i="2"/>
  <c r="F1461" i="2"/>
  <c r="I1461" i="2"/>
  <c r="J1461" i="2"/>
  <c r="E1462" i="2"/>
  <c r="I1462" i="2"/>
  <c r="J1462" i="2"/>
  <c r="E1463" i="2"/>
  <c r="I1463" i="2"/>
  <c r="E1464" i="2"/>
  <c r="F1464" i="2"/>
  <c r="I1464" i="2"/>
  <c r="E1465" i="2"/>
  <c r="F1465" i="2"/>
  <c r="I1465" i="2"/>
  <c r="J1465" i="2"/>
  <c r="E1466" i="2"/>
  <c r="F1466" i="2"/>
  <c r="I1466" i="2"/>
  <c r="J1466" i="2"/>
  <c r="E1467" i="2"/>
  <c r="F1467" i="2"/>
  <c r="I1467" i="2"/>
  <c r="J1467" i="2"/>
  <c r="E1468" i="2"/>
  <c r="F1468" i="2"/>
  <c r="I1468" i="2"/>
  <c r="J1468" i="2"/>
  <c r="E1469" i="2"/>
  <c r="F1469" i="2"/>
  <c r="I1469" i="2"/>
  <c r="E1470" i="2"/>
  <c r="F1470" i="2"/>
  <c r="I1470" i="2"/>
  <c r="E1471" i="2"/>
  <c r="F1471" i="2"/>
  <c r="I1471" i="2"/>
  <c r="E1472" i="2"/>
  <c r="F1472" i="2"/>
  <c r="I1472" i="2"/>
  <c r="E1473" i="2"/>
  <c r="F1473" i="2"/>
  <c r="I1473" i="2"/>
  <c r="E1474" i="2"/>
  <c r="I1474" i="2"/>
  <c r="J1474" i="2"/>
  <c r="E1475" i="2"/>
  <c r="F1475" i="2"/>
  <c r="I1475" i="2"/>
  <c r="E1476" i="2"/>
  <c r="I1476" i="2"/>
  <c r="J1476" i="2"/>
  <c r="E1477" i="2"/>
  <c r="F1477" i="2"/>
  <c r="I1477" i="2"/>
  <c r="E1478" i="2"/>
  <c r="I1478" i="2"/>
  <c r="J1478" i="2"/>
  <c r="E1479" i="2"/>
  <c r="F1479" i="2"/>
  <c r="I1479" i="2"/>
  <c r="E1480" i="2"/>
  <c r="I1480" i="2"/>
  <c r="E1481" i="2"/>
  <c r="I1481" i="2"/>
  <c r="J1481" i="2"/>
  <c r="E1482" i="2"/>
  <c r="I1482" i="2"/>
  <c r="J1482" i="2"/>
  <c r="E1483" i="2"/>
  <c r="I1483" i="2"/>
  <c r="J1483" i="2"/>
  <c r="E1484" i="2"/>
  <c r="F1484" i="2"/>
  <c r="I1484" i="2"/>
  <c r="E1485" i="2"/>
  <c r="I1485" i="2"/>
  <c r="E1486" i="2"/>
  <c r="I1486" i="2"/>
  <c r="J1486" i="2"/>
  <c r="E1487" i="2"/>
  <c r="I1487" i="2"/>
  <c r="J1487" i="2"/>
  <c r="E1488" i="2"/>
  <c r="F1488" i="2"/>
  <c r="I1488" i="2"/>
  <c r="J1488" i="2"/>
  <c r="E1489" i="2"/>
  <c r="F1489" i="2"/>
  <c r="I1489" i="2"/>
  <c r="E1490" i="2"/>
  <c r="F1490" i="2"/>
  <c r="I1490" i="2"/>
  <c r="E1491" i="2"/>
  <c r="I1491" i="2"/>
  <c r="E1492" i="2"/>
  <c r="F1492" i="2"/>
  <c r="I1492" i="2"/>
  <c r="E1493" i="2"/>
  <c r="F1493" i="2"/>
  <c r="I1493" i="2"/>
  <c r="J1493" i="2"/>
  <c r="E1494" i="2"/>
  <c r="F1494" i="2"/>
  <c r="I1494" i="2"/>
  <c r="J1494" i="2"/>
  <c r="E1495" i="2"/>
  <c r="F1495" i="2"/>
  <c r="I1495" i="2"/>
  <c r="J1495" i="2"/>
  <c r="E1496" i="2"/>
  <c r="F1496" i="2"/>
  <c r="I1496" i="2"/>
  <c r="J1496" i="2"/>
  <c r="E1497" i="2"/>
  <c r="F1497" i="2"/>
  <c r="I1497" i="2"/>
  <c r="J1497" i="2"/>
  <c r="E1498" i="2"/>
  <c r="I1498" i="2"/>
  <c r="E1499" i="2"/>
  <c r="F1499" i="2"/>
  <c r="I1499" i="2"/>
  <c r="E1500" i="2"/>
  <c r="F1500" i="2"/>
  <c r="I1500" i="2"/>
  <c r="J1500" i="2"/>
  <c r="E1501" i="2"/>
  <c r="F1501" i="2"/>
  <c r="I1501" i="2"/>
  <c r="J1501" i="2"/>
  <c r="E1502" i="2"/>
  <c r="F1502" i="2"/>
  <c r="I1502" i="2"/>
  <c r="J1502" i="2"/>
  <c r="E1503" i="2"/>
  <c r="F1503" i="2"/>
  <c r="I1503" i="2"/>
  <c r="E1504" i="2"/>
  <c r="I1504" i="2"/>
  <c r="J1504" i="2"/>
  <c r="E1505" i="2"/>
  <c r="I1505" i="2"/>
  <c r="J1505" i="2"/>
  <c r="E1506" i="2"/>
  <c r="I1506" i="2"/>
  <c r="J1506" i="2"/>
  <c r="E1507" i="2"/>
  <c r="I1507" i="2"/>
  <c r="J1507" i="2"/>
  <c r="E1508" i="2"/>
  <c r="I1508" i="2"/>
  <c r="E1509" i="2"/>
  <c r="I1509" i="2"/>
  <c r="E1510" i="2"/>
  <c r="I1510" i="2"/>
  <c r="J1510" i="2"/>
  <c r="E1511" i="2"/>
  <c r="F1511" i="2"/>
  <c r="I1511" i="2"/>
  <c r="J1511" i="2"/>
  <c r="E1512" i="2"/>
  <c r="F1512" i="2"/>
  <c r="I1512" i="2"/>
  <c r="J1512" i="2"/>
  <c r="E1513" i="2"/>
  <c r="F1513" i="2"/>
  <c r="I1513" i="2"/>
  <c r="J1513" i="2"/>
  <c r="E1514" i="2"/>
  <c r="F1514" i="2"/>
  <c r="I1514" i="2"/>
  <c r="J1514" i="2"/>
  <c r="E1515" i="2"/>
  <c r="I1515" i="2"/>
  <c r="J1515" i="2"/>
  <c r="E1516" i="2"/>
  <c r="I1516" i="2"/>
  <c r="J1516" i="2"/>
  <c r="E1517" i="2"/>
  <c r="F1517" i="2"/>
  <c r="I1517" i="2"/>
  <c r="J1517" i="2"/>
  <c r="E1518" i="2"/>
  <c r="I1518" i="2"/>
  <c r="E1519" i="2"/>
  <c r="I1519" i="2"/>
  <c r="J1519" i="2"/>
  <c r="E1520" i="2"/>
  <c r="I1520" i="2"/>
  <c r="J1520" i="2"/>
  <c r="E1521" i="2"/>
  <c r="F1521" i="2"/>
  <c r="I1521" i="2"/>
  <c r="E1522" i="2"/>
  <c r="F1522" i="2"/>
  <c r="I1522" i="2"/>
  <c r="E1523" i="2"/>
  <c r="F1523" i="2"/>
  <c r="I1523" i="2"/>
  <c r="E1524" i="2"/>
  <c r="I1524" i="2"/>
  <c r="J1524" i="2"/>
  <c r="E1525" i="2"/>
  <c r="F1525" i="2"/>
  <c r="I1525" i="2"/>
  <c r="J1525" i="2"/>
  <c r="E1526" i="2"/>
  <c r="I1526" i="2"/>
  <c r="J1526" i="2"/>
  <c r="E1527" i="2"/>
  <c r="F1527" i="2"/>
  <c r="I1527" i="2"/>
  <c r="J1527" i="2"/>
  <c r="E1528" i="2"/>
  <c r="F1528" i="2"/>
  <c r="I1528" i="2"/>
  <c r="E1529" i="2"/>
  <c r="F1529" i="2"/>
  <c r="I1529" i="2"/>
  <c r="E1530" i="2"/>
  <c r="F1530" i="2"/>
  <c r="I1530" i="2"/>
  <c r="E1531" i="2"/>
  <c r="F1531" i="2"/>
  <c r="I1531" i="2"/>
  <c r="E1532" i="2"/>
  <c r="I1532" i="2"/>
  <c r="E1533" i="2"/>
  <c r="F1533" i="2"/>
  <c r="I1533" i="2"/>
  <c r="E1534" i="2"/>
  <c r="I1534" i="2"/>
  <c r="J1534" i="2"/>
  <c r="E1535" i="2"/>
  <c r="F1535" i="2"/>
  <c r="I1535" i="2"/>
  <c r="E1536" i="2"/>
  <c r="F1536" i="2"/>
  <c r="I1536" i="2"/>
  <c r="E1537" i="2"/>
  <c r="F1537" i="2"/>
  <c r="I1537" i="2"/>
  <c r="J1537" i="2"/>
  <c r="E1538" i="2"/>
  <c r="I1538" i="2"/>
  <c r="E1539" i="2"/>
  <c r="F1539" i="2"/>
  <c r="I1539" i="2"/>
  <c r="J1539" i="2"/>
  <c r="E1540" i="2"/>
  <c r="F1540" i="2"/>
  <c r="I1540" i="2"/>
  <c r="E1541" i="2"/>
  <c r="F1541" i="2"/>
  <c r="I1541" i="2"/>
  <c r="E1542" i="2"/>
  <c r="I1542" i="2"/>
  <c r="J1542" i="2"/>
  <c r="E1543" i="2"/>
  <c r="F1543" i="2"/>
  <c r="I1543" i="2"/>
  <c r="J1543" i="2"/>
  <c r="E1544" i="2"/>
  <c r="F1544" i="2"/>
  <c r="I1544" i="2"/>
  <c r="E1545" i="2"/>
  <c r="I1545" i="2"/>
  <c r="J1545" i="2"/>
  <c r="E1546" i="2"/>
  <c r="I1546" i="2"/>
  <c r="E1547" i="2"/>
  <c r="F1547" i="2"/>
  <c r="I1547" i="2"/>
  <c r="E1548" i="2"/>
  <c r="F1548" i="2"/>
  <c r="I1548" i="2"/>
  <c r="J1548" i="2"/>
  <c r="E1549" i="2"/>
  <c r="F1549" i="2"/>
  <c r="I1549" i="2"/>
  <c r="J1549" i="2"/>
  <c r="E1550" i="2"/>
  <c r="F1550" i="2"/>
  <c r="I1550" i="2"/>
  <c r="J1550" i="2"/>
  <c r="E1551" i="2"/>
  <c r="F1551" i="2"/>
  <c r="I1551" i="2"/>
  <c r="J1551" i="2"/>
  <c r="E1552" i="2"/>
  <c r="F1552" i="2"/>
  <c r="I1552" i="2"/>
  <c r="J1552" i="2"/>
  <c r="E1553" i="2"/>
  <c r="I1553" i="2"/>
  <c r="J1553" i="2"/>
  <c r="E1554" i="2"/>
  <c r="I1554" i="2"/>
  <c r="J1554" i="2"/>
  <c r="E1555" i="2"/>
  <c r="I1555" i="2"/>
  <c r="J1555" i="2"/>
  <c r="E1556" i="2"/>
  <c r="F1556" i="2"/>
  <c r="I1556" i="2"/>
  <c r="E1557" i="2"/>
  <c r="F1557" i="2"/>
  <c r="I1557" i="2"/>
  <c r="E1558" i="2"/>
  <c r="F1558" i="2"/>
  <c r="I1558" i="2"/>
  <c r="E1559" i="2"/>
  <c r="I1559" i="2"/>
  <c r="J1559" i="2"/>
  <c r="E1560" i="2"/>
  <c r="I1560" i="2"/>
  <c r="E1561" i="2"/>
  <c r="I1561" i="2"/>
  <c r="E1562" i="2"/>
  <c r="I1562" i="2"/>
  <c r="E1563" i="2"/>
  <c r="F1563" i="2"/>
  <c r="I1563" i="2"/>
  <c r="E1564" i="2"/>
  <c r="I1564" i="2"/>
  <c r="E1565" i="2"/>
  <c r="F1565" i="2"/>
  <c r="I1565" i="2"/>
  <c r="E1566" i="2"/>
  <c r="F1566" i="2"/>
  <c r="I1566" i="2"/>
  <c r="J1566" i="2"/>
  <c r="E1567" i="2"/>
  <c r="F1567" i="2"/>
  <c r="I1567" i="2"/>
  <c r="J1567" i="2"/>
  <c r="E1568" i="2"/>
  <c r="F1568" i="2"/>
  <c r="I1568" i="2"/>
  <c r="J1568" i="2"/>
  <c r="E1569" i="2"/>
  <c r="F1569" i="2"/>
  <c r="I1569" i="2"/>
  <c r="E1570" i="2"/>
  <c r="F1570" i="2"/>
  <c r="I1570" i="2"/>
  <c r="J1570" i="2"/>
  <c r="E1571" i="2"/>
  <c r="I1571" i="2"/>
  <c r="E1572" i="2"/>
  <c r="F1572" i="2"/>
  <c r="I1572" i="2"/>
  <c r="J1572" i="2"/>
  <c r="E1573" i="2"/>
  <c r="I1573" i="2"/>
  <c r="J1573" i="2"/>
  <c r="E1574" i="2"/>
  <c r="F1574" i="2"/>
  <c r="I1574" i="2"/>
  <c r="J1574" i="2"/>
  <c r="E1575" i="2"/>
  <c r="I1575" i="2"/>
  <c r="E1576" i="2"/>
  <c r="I1576" i="2"/>
  <c r="J1576" i="2"/>
  <c r="E1577" i="2"/>
  <c r="I1577" i="2"/>
  <c r="J1577" i="2"/>
  <c r="E1578" i="2"/>
  <c r="I1578" i="2"/>
  <c r="J1578" i="2"/>
  <c r="E1579" i="2"/>
  <c r="F1579" i="2"/>
  <c r="I1579" i="2"/>
  <c r="E1580" i="2"/>
  <c r="F1580" i="2"/>
  <c r="I1580" i="2"/>
  <c r="J1580" i="2"/>
  <c r="E1581" i="2"/>
  <c r="F1581" i="2"/>
  <c r="I1581" i="2"/>
  <c r="E1582" i="2"/>
  <c r="F1582" i="2"/>
  <c r="I1582" i="2"/>
  <c r="E1583" i="2"/>
  <c r="I1583" i="2"/>
  <c r="J1583" i="2"/>
  <c r="E1584" i="2"/>
  <c r="F1584" i="2"/>
  <c r="I1584" i="2"/>
  <c r="E1585" i="2"/>
  <c r="F1585" i="2"/>
  <c r="I1585" i="2"/>
  <c r="E1586" i="2"/>
  <c r="F1586" i="2"/>
  <c r="I1586" i="2"/>
  <c r="E1587" i="2"/>
  <c r="F1587" i="2"/>
  <c r="I1587" i="2"/>
  <c r="E1588" i="2"/>
  <c r="I1588" i="2"/>
  <c r="E1589" i="2"/>
  <c r="I1589" i="2"/>
  <c r="J1589" i="2"/>
  <c r="E1590" i="2"/>
  <c r="F1590" i="2"/>
  <c r="I1590" i="2"/>
  <c r="E1591" i="2"/>
  <c r="I1591" i="2"/>
  <c r="J1591" i="2"/>
  <c r="E1592" i="2"/>
  <c r="F1592" i="2"/>
  <c r="I1592" i="2"/>
  <c r="J1592" i="2"/>
  <c r="E1593" i="2"/>
  <c r="I1593" i="2"/>
  <c r="J1593" i="2"/>
  <c r="E1594" i="2"/>
  <c r="I1594" i="2"/>
  <c r="J1594" i="2"/>
  <c r="E1595" i="2"/>
  <c r="F1595" i="2"/>
  <c r="I1595" i="2"/>
  <c r="J1595" i="2"/>
  <c r="E1596" i="2"/>
  <c r="F1596" i="2"/>
  <c r="I1596" i="2"/>
  <c r="J1596" i="2"/>
  <c r="E1597" i="2"/>
  <c r="I1597" i="2"/>
  <c r="E1598" i="2"/>
  <c r="I1598" i="2"/>
  <c r="E1599" i="2"/>
  <c r="I1599" i="2"/>
  <c r="E1600" i="2"/>
  <c r="I1600" i="2"/>
  <c r="E1601" i="2"/>
  <c r="I1601" i="2"/>
  <c r="E1602" i="2"/>
  <c r="F1602" i="2"/>
  <c r="I1602" i="2"/>
  <c r="E1603" i="2"/>
  <c r="F1603" i="2"/>
  <c r="I1603" i="2"/>
  <c r="E1604" i="2"/>
  <c r="F1604" i="2"/>
  <c r="I1604" i="2"/>
  <c r="J1604" i="2"/>
  <c r="E1605" i="2"/>
  <c r="F1605" i="2"/>
  <c r="I1605" i="2"/>
  <c r="E1606" i="2"/>
  <c r="F1606" i="2"/>
  <c r="I1606" i="2"/>
  <c r="J1606" i="2"/>
  <c r="E1607" i="2"/>
  <c r="F1607" i="2"/>
  <c r="I1607" i="2"/>
  <c r="J1607" i="2"/>
  <c r="E1608" i="2"/>
  <c r="F1608" i="2"/>
  <c r="I1608" i="2"/>
  <c r="J1608" i="2"/>
  <c r="E1609" i="2"/>
  <c r="F1609" i="2"/>
  <c r="I1609" i="2"/>
  <c r="J1609" i="2"/>
  <c r="E1610" i="2"/>
  <c r="I1610" i="2"/>
  <c r="J1610" i="2"/>
  <c r="E1611" i="2"/>
  <c r="F1611" i="2"/>
  <c r="I1611" i="2"/>
  <c r="J1611" i="2"/>
  <c r="E1612" i="2"/>
  <c r="F1612" i="2"/>
  <c r="I1612" i="2"/>
  <c r="J1612" i="2"/>
  <c r="E1613" i="2"/>
  <c r="F1613" i="2"/>
  <c r="I1613" i="2"/>
  <c r="J1613" i="2"/>
  <c r="E1614" i="2"/>
  <c r="F1614" i="2"/>
  <c r="I1614" i="2"/>
  <c r="J1614" i="2"/>
  <c r="E1615" i="2"/>
  <c r="F1615" i="2"/>
  <c r="I1615" i="2"/>
  <c r="J1615" i="2"/>
  <c r="E1616" i="2"/>
  <c r="F1616" i="2"/>
  <c r="I1616" i="2"/>
  <c r="E1617" i="2"/>
  <c r="F1617" i="2"/>
  <c r="I1617" i="2"/>
  <c r="E1618" i="2"/>
  <c r="F1618" i="2"/>
  <c r="I1618" i="2"/>
  <c r="J1618" i="2"/>
  <c r="E1619" i="2"/>
  <c r="F1619" i="2"/>
  <c r="I1619" i="2"/>
  <c r="E1620" i="2"/>
  <c r="F1620" i="2"/>
  <c r="I1620" i="2"/>
  <c r="E1621" i="2"/>
  <c r="F1621" i="2"/>
  <c r="I1621" i="2"/>
  <c r="E1622" i="2"/>
  <c r="F1622" i="2"/>
  <c r="I1622" i="2"/>
  <c r="E1623" i="2"/>
  <c r="F1623" i="2"/>
  <c r="I1623" i="2"/>
  <c r="E1624" i="2"/>
  <c r="F1624" i="2"/>
  <c r="I1624" i="2"/>
  <c r="E1625" i="2"/>
  <c r="F1625" i="2"/>
  <c r="I1625" i="2"/>
  <c r="E1626" i="2"/>
  <c r="F1626" i="2"/>
  <c r="I1626" i="2"/>
  <c r="E1627" i="2"/>
  <c r="F1627" i="2"/>
  <c r="I1627" i="2"/>
  <c r="E1628" i="2"/>
  <c r="I1628" i="2"/>
  <c r="J1628" i="2"/>
  <c r="E1629" i="2"/>
  <c r="I1629" i="2"/>
  <c r="E1630" i="2"/>
  <c r="F1630" i="2"/>
  <c r="I1630" i="2"/>
  <c r="E1631" i="2"/>
  <c r="F1631" i="2"/>
  <c r="I1631" i="2"/>
  <c r="E1632" i="2"/>
  <c r="F1632" i="2"/>
  <c r="I1632" i="2"/>
  <c r="J1632" i="2"/>
  <c r="E1633" i="2"/>
  <c r="F1633" i="2"/>
  <c r="I1633" i="2"/>
  <c r="E1634" i="2"/>
  <c r="F1634" i="2"/>
  <c r="I1634" i="2"/>
  <c r="E1635" i="2"/>
  <c r="F1635" i="2"/>
  <c r="I1635" i="2"/>
  <c r="J1635" i="2"/>
  <c r="E1636" i="2"/>
  <c r="F1636" i="2"/>
  <c r="I1636" i="2"/>
  <c r="J1636" i="2"/>
  <c r="E1637" i="2"/>
  <c r="I1637" i="2"/>
  <c r="J1637" i="2"/>
  <c r="E1638" i="2"/>
  <c r="F1638" i="2"/>
  <c r="I1638" i="2"/>
  <c r="J1638" i="2"/>
  <c r="E1639" i="2"/>
  <c r="I1639" i="2"/>
  <c r="J1639" i="2"/>
  <c r="E1640" i="2"/>
  <c r="I1640" i="2"/>
  <c r="J1640" i="2"/>
  <c r="E1641" i="2"/>
  <c r="I1641" i="2"/>
  <c r="J1641" i="2"/>
  <c r="E1642" i="2"/>
  <c r="I1642" i="2"/>
  <c r="J1642" i="2"/>
  <c r="E1643" i="2"/>
  <c r="I1643" i="2"/>
  <c r="J1643" i="2"/>
  <c r="E1644" i="2"/>
  <c r="I1644" i="2"/>
  <c r="J1644" i="2"/>
  <c r="E1645" i="2"/>
  <c r="F1645" i="2"/>
  <c r="I1645" i="2"/>
  <c r="J1645" i="2"/>
  <c r="E1646" i="2"/>
  <c r="F1646" i="2"/>
  <c r="I1646" i="2"/>
  <c r="J1646" i="2"/>
  <c r="E1647" i="2"/>
  <c r="F1647" i="2"/>
  <c r="I1647" i="2"/>
  <c r="J1647" i="2"/>
  <c r="E1648" i="2"/>
  <c r="I1648" i="2"/>
  <c r="J1648" i="2"/>
  <c r="E1649" i="2"/>
  <c r="F1649" i="2"/>
  <c r="I1649" i="2"/>
  <c r="J1649" i="2"/>
  <c r="E1650" i="2"/>
  <c r="F1650" i="2"/>
  <c r="I1650" i="2"/>
  <c r="E1651" i="2"/>
  <c r="I1651" i="2"/>
  <c r="E1652" i="2"/>
  <c r="F1652" i="2"/>
  <c r="I1652" i="2"/>
  <c r="J1652" i="2"/>
  <c r="E1653" i="2"/>
  <c r="F1653" i="2"/>
  <c r="I1653" i="2"/>
  <c r="E1654" i="2"/>
  <c r="I1654" i="2"/>
  <c r="J1654" i="2"/>
  <c r="E1655" i="2"/>
  <c r="F1655" i="2"/>
  <c r="I1655" i="2"/>
  <c r="E1656" i="2"/>
  <c r="F1656" i="2"/>
  <c r="I1656" i="2"/>
  <c r="E1657" i="2"/>
  <c r="F1657" i="2"/>
  <c r="I1657" i="2"/>
  <c r="E1658" i="2"/>
  <c r="F1658" i="2"/>
  <c r="I1658" i="2"/>
  <c r="E1659" i="2"/>
  <c r="I1659" i="2"/>
  <c r="E1660" i="2"/>
  <c r="I1660" i="2"/>
  <c r="E1661" i="2"/>
  <c r="I1661" i="2"/>
  <c r="E1662" i="2"/>
  <c r="I1662" i="2"/>
  <c r="E1663" i="2"/>
  <c r="I1663" i="2"/>
  <c r="E1664" i="2"/>
  <c r="F1664" i="2"/>
  <c r="I1664" i="2"/>
  <c r="E1665" i="2"/>
  <c r="F1665" i="2"/>
  <c r="I1665" i="2"/>
  <c r="E1666" i="2"/>
  <c r="I1666" i="2"/>
  <c r="J1666" i="2"/>
  <c r="E1667" i="2"/>
  <c r="I1667" i="2"/>
  <c r="J1667" i="2"/>
  <c r="E1668" i="2"/>
  <c r="I1668" i="2"/>
  <c r="J1668" i="2"/>
  <c r="E1669" i="2"/>
  <c r="I1669" i="2"/>
  <c r="J1669" i="2"/>
  <c r="E1670" i="2"/>
  <c r="I1670" i="2"/>
  <c r="E1671" i="2"/>
  <c r="F1671" i="2"/>
  <c r="I1671" i="2"/>
  <c r="J1671" i="2"/>
  <c r="E1672" i="2"/>
  <c r="I1672" i="2"/>
  <c r="E1673" i="2"/>
  <c r="F1673" i="2"/>
  <c r="I1673" i="2"/>
  <c r="J1673" i="2"/>
  <c r="E1674" i="2"/>
  <c r="F1674" i="2"/>
  <c r="I1674" i="2"/>
  <c r="J1674" i="2"/>
  <c r="E1675" i="2"/>
  <c r="F1675" i="2"/>
  <c r="I1675" i="2"/>
  <c r="J1675" i="2"/>
  <c r="E1676" i="2"/>
  <c r="F1676" i="2"/>
  <c r="I1676" i="2"/>
  <c r="J1676" i="2"/>
  <c r="E1677" i="2"/>
  <c r="F1677" i="2"/>
  <c r="I1677" i="2"/>
  <c r="J1677" i="2"/>
  <c r="E1678" i="2"/>
  <c r="F1678" i="2"/>
  <c r="I1678" i="2"/>
  <c r="J1678" i="2"/>
  <c r="E1679" i="2"/>
  <c r="I1679" i="2"/>
  <c r="J1679" i="2"/>
  <c r="E1680" i="2"/>
  <c r="F1680" i="2"/>
  <c r="I1680" i="2"/>
  <c r="E1681" i="2"/>
  <c r="I1681" i="2"/>
  <c r="J1681" i="2"/>
  <c r="E1682" i="2"/>
  <c r="I1682" i="2"/>
  <c r="J1682" i="2"/>
  <c r="E1683" i="2"/>
  <c r="F1683" i="2"/>
  <c r="I1683" i="2"/>
  <c r="J1683" i="2"/>
  <c r="E1684" i="2"/>
  <c r="F1684" i="2"/>
  <c r="I1684" i="2"/>
  <c r="J1684" i="2"/>
  <c r="E1685" i="2"/>
  <c r="F1685" i="2"/>
  <c r="I1685" i="2"/>
  <c r="E1686" i="2"/>
  <c r="F1686" i="2"/>
  <c r="I1686" i="2"/>
  <c r="E1687" i="2"/>
  <c r="I1687" i="2"/>
  <c r="E1688" i="2"/>
  <c r="I1688" i="2"/>
  <c r="J1688" i="2"/>
  <c r="E1689" i="2"/>
  <c r="F1689" i="2"/>
  <c r="I1689" i="2"/>
  <c r="J1689" i="2"/>
  <c r="E1690" i="2"/>
  <c r="F1690" i="2"/>
  <c r="I1690" i="2"/>
  <c r="J1690" i="2"/>
  <c r="E1691" i="2"/>
  <c r="F1691" i="2"/>
  <c r="I1691" i="2"/>
  <c r="E1692" i="2"/>
  <c r="F1692" i="2"/>
  <c r="I1692" i="2"/>
  <c r="E1693" i="2"/>
  <c r="I1693" i="2"/>
  <c r="E1694" i="2"/>
  <c r="I1694" i="2"/>
  <c r="E1695" i="2"/>
  <c r="I1695" i="2"/>
  <c r="J1695" i="2"/>
  <c r="E1696" i="2"/>
  <c r="F1696" i="2"/>
  <c r="I1696" i="2"/>
  <c r="J1696" i="2"/>
  <c r="E1697" i="2"/>
  <c r="I1697" i="2"/>
  <c r="J1697" i="2"/>
  <c r="E1698" i="2"/>
  <c r="I1698" i="2"/>
  <c r="E1699" i="2"/>
  <c r="F1699" i="2"/>
  <c r="I1699" i="2"/>
  <c r="J1699" i="2"/>
  <c r="E1700" i="2"/>
  <c r="I1700" i="2"/>
  <c r="J1700" i="2"/>
  <c r="E1701" i="2"/>
  <c r="F1701" i="2"/>
  <c r="I1701" i="2"/>
  <c r="E1702" i="2"/>
  <c r="F1702" i="2"/>
  <c r="I1702" i="2"/>
  <c r="J1702" i="2"/>
  <c r="E1703" i="2"/>
  <c r="I1703" i="2"/>
  <c r="J1703" i="2"/>
  <c r="E1704" i="2"/>
  <c r="I1704" i="2"/>
  <c r="J1704" i="2"/>
  <c r="E1705" i="2"/>
  <c r="I1705" i="2"/>
  <c r="J1705" i="2"/>
  <c r="E1706" i="2"/>
  <c r="F1706" i="2"/>
  <c r="I1706" i="2"/>
  <c r="E1707" i="2"/>
  <c r="F1707" i="2"/>
  <c r="I1707" i="2"/>
  <c r="E1708" i="2"/>
  <c r="F1708" i="2"/>
  <c r="I1708" i="2"/>
  <c r="E1709" i="2"/>
  <c r="F1709" i="2"/>
  <c r="I1709" i="2"/>
  <c r="E1710" i="2"/>
  <c r="I1710" i="2"/>
  <c r="J1710" i="2"/>
  <c r="E1711" i="2"/>
  <c r="I1711" i="2"/>
  <c r="J1711" i="2"/>
  <c r="E1712" i="2"/>
  <c r="I1712" i="2"/>
  <c r="J1712" i="2"/>
  <c r="E1713" i="2"/>
  <c r="I1713" i="2"/>
  <c r="J1713" i="2"/>
  <c r="E1714" i="2"/>
  <c r="I1714" i="2"/>
  <c r="J1714" i="2"/>
  <c r="E1715" i="2"/>
  <c r="I1715" i="2"/>
  <c r="J1715" i="2"/>
  <c r="E1716" i="2"/>
  <c r="I1716" i="2"/>
  <c r="J1716" i="2"/>
  <c r="E1717" i="2"/>
  <c r="F1717" i="2"/>
  <c r="I1717" i="2"/>
  <c r="J1717" i="2"/>
  <c r="E1718" i="2"/>
  <c r="I1718" i="2"/>
  <c r="J1718" i="2"/>
  <c r="E1719" i="2"/>
  <c r="F1719" i="2"/>
  <c r="I1719" i="2"/>
  <c r="E1720" i="2"/>
  <c r="I1720" i="2"/>
  <c r="J1720" i="2"/>
  <c r="E1721" i="2"/>
  <c r="F1721" i="2"/>
  <c r="I1721" i="2"/>
  <c r="J1721" i="2"/>
  <c r="E1722" i="2"/>
  <c r="I1722" i="2"/>
  <c r="J1722" i="2"/>
  <c r="E1723" i="2"/>
  <c r="F1723" i="2"/>
  <c r="I1723" i="2"/>
  <c r="E1724" i="2"/>
  <c r="F1724" i="2"/>
  <c r="I1724" i="2"/>
  <c r="J1724" i="2"/>
  <c r="E1725" i="2"/>
  <c r="F1725" i="2"/>
  <c r="I1725" i="2"/>
  <c r="J1725" i="2"/>
  <c r="E1726" i="2"/>
  <c r="F1726" i="2"/>
  <c r="I1726" i="2"/>
  <c r="E1727" i="2"/>
  <c r="F1727" i="2"/>
  <c r="I1727" i="2"/>
  <c r="E1728" i="2"/>
  <c r="F1728" i="2"/>
  <c r="I1728" i="2"/>
  <c r="J1728" i="2"/>
  <c r="E1729" i="2"/>
  <c r="I1729" i="2"/>
  <c r="J1729" i="2"/>
  <c r="E1730" i="2"/>
  <c r="I1730" i="2"/>
  <c r="J1730" i="2"/>
  <c r="E1731" i="2"/>
  <c r="F1731" i="2"/>
  <c r="I1731" i="2"/>
  <c r="J1731" i="2"/>
  <c r="E1732" i="2"/>
  <c r="F1732" i="2"/>
  <c r="I1732" i="2"/>
  <c r="J1732" i="2"/>
  <c r="E1733" i="2"/>
  <c r="F1733" i="2"/>
  <c r="I1733" i="2"/>
  <c r="J1733" i="2"/>
  <c r="E1734" i="2"/>
  <c r="F1734" i="2"/>
  <c r="I1734" i="2"/>
  <c r="J1734" i="2"/>
  <c r="E1735" i="2"/>
  <c r="F1735" i="2"/>
  <c r="I1735" i="2"/>
  <c r="J1735" i="2"/>
  <c r="E1736" i="2"/>
  <c r="F1736" i="2"/>
  <c r="I1736" i="2"/>
  <c r="J1736" i="2"/>
  <c r="E1737" i="2"/>
  <c r="F1737" i="2"/>
  <c r="I1737" i="2"/>
  <c r="J1737" i="2"/>
  <c r="E1738" i="2"/>
  <c r="F1738" i="2"/>
  <c r="I1738" i="2"/>
  <c r="J1738" i="2"/>
  <c r="E1739" i="2"/>
  <c r="I1739" i="2"/>
  <c r="E1740" i="2"/>
  <c r="I1740" i="2"/>
  <c r="J1740" i="2"/>
  <c r="E1741" i="2"/>
  <c r="I1741" i="2"/>
  <c r="J1741" i="2"/>
  <c r="E1742" i="2"/>
  <c r="I1742" i="2"/>
  <c r="J1742" i="2"/>
  <c r="E1743" i="2"/>
  <c r="I1743" i="2"/>
  <c r="J1743" i="2"/>
  <c r="E1744" i="2"/>
  <c r="I1744" i="2"/>
  <c r="E1745" i="2"/>
  <c r="F1745" i="2"/>
  <c r="I1745" i="2"/>
  <c r="J1745" i="2"/>
  <c r="E1746" i="2"/>
  <c r="I1746" i="2"/>
  <c r="J1746" i="2"/>
  <c r="E1747" i="2"/>
  <c r="I1747" i="2"/>
  <c r="E1748" i="2"/>
  <c r="I1748" i="2"/>
  <c r="J1748" i="2"/>
  <c r="E1749" i="2"/>
  <c r="F1749" i="2"/>
  <c r="I1749" i="2"/>
  <c r="E1750" i="2"/>
  <c r="F1750" i="2"/>
  <c r="I1750" i="2"/>
  <c r="J1750" i="2"/>
  <c r="E1751" i="2"/>
  <c r="F1751" i="2"/>
  <c r="I1751" i="2"/>
  <c r="E1752" i="2"/>
  <c r="F1752" i="2"/>
  <c r="I1752" i="2"/>
  <c r="J1752" i="2"/>
  <c r="E1753" i="2"/>
  <c r="F1753" i="2"/>
  <c r="I1753" i="2"/>
  <c r="E1754" i="2"/>
  <c r="F1754" i="2"/>
  <c r="I1754" i="2"/>
  <c r="E1755" i="2"/>
  <c r="F1755" i="2"/>
  <c r="I1755" i="2"/>
  <c r="E1756" i="2"/>
  <c r="F1756" i="2"/>
  <c r="I1756" i="2"/>
  <c r="J1756" i="2"/>
  <c r="E1757" i="2"/>
  <c r="F1757" i="2"/>
  <c r="I1757" i="2"/>
  <c r="J1757" i="2"/>
  <c r="E1758" i="2"/>
  <c r="F1758" i="2"/>
  <c r="I1758" i="2"/>
  <c r="J1758" i="2"/>
  <c r="E1759" i="2"/>
  <c r="F1759" i="2"/>
  <c r="I1759" i="2"/>
  <c r="J1759" i="2"/>
  <c r="E1760" i="2"/>
  <c r="F1760" i="2"/>
  <c r="I1760" i="2"/>
  <c r="E1761" i="2"/>
  <c r="F1761" i="2"/>
  <c r="I1761" i="2"/>
  <c r="E1762" i="2"/>
  <c r="F1762" i="2"/>
  <c r="I1762" i="2"/>
  <c r="J1762" i="2"/>
  <c r="E1763" i="2"/>
  <c r="F1763" i="2"/>
  <c r="I1763" i="2"/>
  <c r="E1764" i="2"/>
  <c r="F1764" i="2"/>
  <c r="I1764" i="2"/>
  <c r="J1764" i="2"/>
  <c r="E1765" i="2"/>
  <c r="F1765" i="2"/>
  <c r="I1765" i="2"/>
  <c r="E1766" i="2"/>
  <c r="F1766" i="2"/>
  <c r="I1766" i="2"/>
  <c r="J1766" i="2"/>
  <c r="E1767" i="2"/>
  <c r="F1767" i="2"/>
  <c r="I1767" i="2"/>
  <c r="J1767" i="2"/>
  <c r="E1768" i="2"/>
  <c r="F1768" i="2"/>
  <c r="I1768" i="2"/>
  <c r="J1768" i="2"/>
  <c r="E1769" i="2"/>
  <c r="F1769" i="2"/>
  <c r="I1769" i="2"/>
  <c r="J1769" i="2"/>
  <c r="E1770" i="2"/>
  <c r="F1770" i="2"/>
  <c r="I1770" i="2"/>
  <c r="J1770" i="2"/>
  <c r="E1771" i="2"/>
  <c r="F1771" i="2"/>
  <c r="I1771" i="2"/>
  <c r="J1771" i="2"/>
  <c r="E1772" i="2"/>
  <c r="F1772" i="2"/>
  <c r="I1772" i="2"/>
  <c r="J1772" i="2"/>
  <c r="E1773" i="2"/>
  <c r="F1773" i="2"/>
  <c r="I1773" i="2"/>
  <c r="J1773" i="2"/>
  <c r="E1774" i="2"/>
  <c r="F1774" i="2"/>
  <c r="I1774" i="2"/>
  <c r="J1774" i="2"/>
  <c r="E1775" i="2"/>
  <c r="F1775" i="2"/>
  <c r="I1775" i="2"/>
  <c r="E1776" i="2"/>
  <c r="F1776" i="2"/>
  <c r="I1776" i="2"/>
  <c r="E1777" i="2"/>
  <c r="I1777" i="2"/>
  <c r="J1777" i="2"/>
  <c r="E1778" i="2"/>
  <c r="I1778" i="2"/>
  <c r="J1778" i="2"/>
  <c r="E1779" i="2"/>
  <c r="I1779" i="2"/>
  <c r="J1779" i="2"/>
  <c r="E1780" i="2"/>
  <c r="I1780" i="2"/>
  <c r="J1780" i="2"/>
  <c r="E1781" i="2"/>
  <c r="I1781" i="2"/>
  <c r="J1781" i="2"/>
  <c r="E1782" i="2"/>
  <c r="F1782" i="2"/>
  <c r="I1782" i="2"/>
  <c r="J1782" i="2"/>
  <c r="E1783" i="2"/>
  <c r="F1783" i="2"/>
  <c r="I1783" i="2"/>
  <c r="J1783" i="2"/>
  <c r="E1784" i="2"/>
  <c r="F1784" i="2"/>
  <c r="I1784" i="2"/>
  <c r="E1785" i="2"/>
  <c r="I1785" i="2"/>
  <c r="E1786" i="2"/>
  <c r="I1786" i="2"/>
  <c r="J1786" i="2"/>
  <c r="E1787" i="2"/>
  <c r="I1787" i="2"/>
  <c r="E1788" i="2"/>
  <c r="I1788" i="2"/>
  <c r="E1789" i="2"/>
  <c r="I1789" i="2"/>
  <c r="J1789" i="2"/>
  <c r="E1790" i="2"/>
  <c r="I1790" i="2"/>
  <c r="E1791" i="2"/>
  <c r="I1791" i="2"/>
  <c r="J1791" i="2"/>
  <c r="E1792" i="2"/>
  <c r="F1792" i="2"/>
  <c r="I1792" i="2"/>
  <c r="J1792" i="2"/>
  <c r="E1793" i="2"/>
  <c r="I1793" i="2"/>
  <c r="J1793" i="2"/>
  <c r="E1794" i="2"/>
  <c r="F1794" i="2"/>
  <c r="I1794" i="2"/>
  <c r="J1794" i="2"/>
  <c r="E1795" i="2"/>
  <c r="F1795" i="2"/>
  <c r="I1795" i="2"/>
  <c r="J1795" i="2"/>
  <c r="E1796" i="2"/>
  <c r="I1796" i="2"/>
  <c r="J1796" i="2"/>
  <c r="E1797" i="2"/>
  <c r="F1797" i="2"/>
  <c r="I1797" i="2"/>
  <c r="E1798" i="2"/>
  <c r="I1798" i="2"/>
  <c r="J1798" i="2"/>
  <c r="E1799" i="2"/>
  <c r="F1799" i="2"/>
  <c r="I1799" i="2"/>
  <c r="J1799" i="2"/>
  <c r="E1800" i="2"/>
  <c r="F1800" i="2"/>
  <c r="I1800" i="2"/>
  <c r="E1801" i="2"/>
  <c r="I1801" i="2"/>
  <c r="J1801" i="2"/>
  <c r="E1802" i="2"/>
  <c r="I1802" i="2"/>
  <c r="E1803" i="2"/>
  <c r="F1803" i="2"/>
  <c r="I1803" i="2"/>
  <c r="E1804" i="2"/>
  <c r="F1804" i="2"/>
  <c r="I1804" i="2"/>
  <c r="J1804" i="2"/>
  <c r="E1805" i="2"/>
  <c r="F1805" i="2"/>
  <c r="I1805" i="2"/>
  <c r="J1805" i="2"/>
  <c r="E1806" i="2"/>
  <c r="F1806" i="2"/>
  <c r="I1806" i="2"/>
  <c r="J1806" i="2"/>
  <c r="E1807" i="2"/>
  <c r="I1807" i="2"/>
  <c r="E1808" i="2"/>
  <c r="I1808" i="2"/>
  <c r="J1808" i="2"/>
  <c r="E1809" i="2"/>
  <c r="I1809" i="2"/>
  <c r="J1809" i="2"/>
  <c r="E1810" i="2"/>
  <c r="I1810" i="2"/>
  <c r="J1810" i="2"/>
  <c r="E1811" i="2"/>
  <c r="F1811" i="2"/>
  <c r="I1811" i="2"/>
  <c r="E1812" i="2"/>
  <c r="I1812" i="2"/>
  <c r="J1812" i="2"/>
  <c r="E1813" i="2"/>
  <c r="I1813" i="2"/>
  <c r="J1813" i="2"/>
  <c r="E1814" i="2"/>
  <c r="I1814" i="2"/>
  <c r="J1814" i="2"/>
  <c r="E1815" i="2"/>
  <c r="F1815" i="2"/>
  <c r="I1815" i="2"/>
  <c r="E1816" i="2"/>
  <c r="F1816" i="2"/>
  <c r="I1816" i="2"/>
  <c r="E1817" i="2"/>
  <c r="F1817" i="2"/>
  <c r="I1817" i="2"/>
  <c r="J1817" i="2"/>
  <c r="E1818" i="2"/>
  <c r="F1818" i="2"/>
  <c r="I1818" i="2"/>
  <c r="E1819" i="2"/>
  <c r="F1819" i="2"/>
  <c r="I1819" i="2"/>
  <c r="E1820" i="2"/>
  <c r="F1820" i="2"/>
  <c r="I1820" i="2"/>
  <c r="E1821" i="2"/>
  <c r="F1821" i="2"/>
  <c r="I1821" i="2"/>
  <c r="E1822" i="2"/>
  <c r="F1822" i="2"/>
  <c r="I1822" i="2"/>
  <c r="E1823" i="2"/>
  <c r="F1823" i="2"/>
  <c r="I1823" i="2"/>
  <c r="E1824" i="2"/>
  <c r="F1824" i="2"/>
  <c r="I1824" i="2"/>
  <c r="E1825" i="2"/>
  <c r="F1825" i="2"/>
  <c r="I1825" i="2"/>
  <c r="E1826" i="2"/>
  <c r="F1826" i="2"/>
  <c r="I1826" i="2"/>
  <c r="E1827" i="2"/>
  <c r="F1827" i="2"/>
  <c r="I1827" i="2"/>
  <c r="E1828" i="2"/>
  <c r="F1828" i="2"/>
  <c r="I1828" i="2"/>
  <c r="E1829" i="2"/>
  <c r="F1829" i="2"/>
  <c r="I1829" i="2"/>
  <c r="J1829" i="2"/>
  <c r="E1830" i="2"/>
  <c r="F1830" i="2"/>
  <c r="I1830" i="2"/>
  <c r="E1831" i="2"/>
  <c r="F1831" i="2"/>
  <c r="I1831" i="2"/>
  <c r="E1832" i="2"/>
  <c r="F1832" i="2"/>
  <c r="I1832" i="2"/>
  <c r="E1833" i="2"/>
  <c r="F1833" i="2"/>
  <c r="I1833" i="2"/>
  <c r="E1834" i="2"/>
  <c r="F1834" i="2"/>
  <c r="I1834" i="2"/>
  <c r="E1835" i="2"/>
  <c r="F1835" i="2"/>
  <c r="I1835" i="2"/>
  <c r="E1836" i="2"/>
  <c r="F1836" i="2"/>
  <c r="I1836" i="2"/>
  <c r="E1837" i="2"/>
  <c r="F1837" i="2"/>
  <c r="I1837" i="2"/>
  <c r="E1838" i="2"/>
  <c r="F1838" i="2"/>
  <c r="I1838" i="2"/>
  <c r="E1839" i="2"/>
  <c r="F1839" i="2"/>
  <c r="I1839" i="2"/>
  <c r="E1840" i="2"/>
  <c r="F1840" i="2"/>
  <c r="I1840" i="2"/>
  <c r="E1841" i="2"/>
  <c r="F1841" i="2"/>
  <c r="I1841" i="2"/>
  <c r="E1842" i="2"/>
  <c r="F1842" i="2"/>
  <c r="I1842" i="2"/>
  <c r="E1843" i="2"/>
  <c r="F1843" i="2"/>
  <c r="I1843" i="2"/>
  <c r="E1844" i="2"/>
  <c r="F1844" i="2"/>
  <c r="I1844" i="2"/>
  <c r="E1845" i="2"/>
  <c r="F1845" i="2"/>
  <c r="I1845" i="2"/>
  <c r="E1846" i="2"/>
  <c r="F1846" i="2"/>
  <c r="I1846" i="2"/>
  <c r="E1847" i="2"/>
  <c r="F1847" i="2"/>
  <c r="I1847" i="2"/>
  <c r="E1848" i="2"/>
  <c r="I1848" i="2"/>
  <c r="E1849" i="2"/>
  <c r="I1849" i="2"/>
  <c r="J1849" i="2"/>
  <c r="E1850" i="2"/>
  <c r="I1850" i="2"/>
  <c r="J1850" i="2"/>
  <c r="E1851" i="2"/>
  <c r="I1851" i="2"/>
  <c r="J1851" i="2"/>
  <c r="E1852" i="2"/>
  <c r="F1852" i="2"/>
  <c r="I1852" i="2"/>
  <c r="E1853" i="2"/>
  <c r="F1853" i="2"/>
  <c r="I1853" i="2"/>
  <c r="E1854" i="2"/>
  <c r="F1854" i="2"/>
  <c r="I1854" i="2"/>
  <c r="E1855" i="2"/>
  <c r="I1855" i="2"/>
  <c r="J1855" i="2"/>
  <c r="E1856" i="2"/>
  <c r="I1856" i="2"/>
  <c r="J1856" i="2"/>
  <c r="E1857" i="2"/>
  <c r="I1857" i="2"/>
  <c r="J1857" i="2"/>
  <c r="E1858" i="2"/>
  <c r="I1858" i="2"/>
  <c r="J1858" i="2"/>
  <c r="E1859" i="2"/>
  <c r="I1859" i="2"/>
  <c r="J1859" i="2"/>
  <c r="E1860" i="2"/>
  <c r="F1860" i="2"/>
  <c r="I1860" i="2"/>
  <c r="E1861" i="2"/>
  <c r="F1861" i="2"/>
  <c r="I1861" i="2"/>
  <c r="J1861" i="2"/>
  <c r="E1862" i="2"/>
  <c r="I1862" i="2"/>
  <c r="J1862" i="2"/>
  <c r="E1863" i="2"/>
  <c r="F1863" i="2"/>
  <c r="I1863" i="2"/>
  <c r="J1863" i="2"/>
  <c r="E1864" i="2"/>
  <c r="F1864" i="2"/>
  <c r="I1864" i="2"/>
  <c r="E1865" i="2"/>
  <c r="F1865" i="2"/>
  <c r="I1865" i="2"/>
  <c r="E1866" i="2"/>
  <c r="F1866" i="2"/>
  <c r="I1866" i="2"/>
  <c r="E1867" i="2"/>
  <c r="F1867" i="2"/>
  <c r="I1867" i="2"/>
  <c r="E1868" i="2"/>
  <c r="F1868" i="2"/>
  <c r="I1868" i="2"/>
  <c r="E1869" i="2"/>
  <c r="I1869" i="2"/>
  <c r="J1869" i="2"/>
  <c r="E1870" i="2"/>
  <c r="I1870" i="2"/>
  <c r="J1870" i="2"/>
  <c r="E1871" i="2"/>
  <c r="F1871" i="2"/>
  <c r="I1871" i="2"/>
  <c r="E1872" i="2"/>
  <c r="F1872" i="2"/>
  <c r="I1872" i="2"/>
  <c r="E1873" i="2"/>
  <c r="F1873" i="2"/>
  <c r="I1873" i="2"/>
  <c r="J1873" i="2"/>
  <c r="E1874" i="2"/>
  <c r="F1874" i="2"/>
  <c r="I1874" i="2"/>
  <c r="J1874" i="2"/>
  <c r="E1875" i="2"/>
  <c r="F1875" i="2"/>
  <c r="I1875" i="2"/>
  <c r="E1876" i="2"/>
  <c r="F1876" i="2"/>
  <c r="I1876" i="2"/>
  <c r="E1877" i="2"/>
  <c r="F1877" i="2"/>
  <c r="I1877" i="2"/>
  <c r="E1878" i="2"/>
  <c r="I1878" i="2"/>
  <c r="J1878" i="2"/>
  <c r="E1879" i="2"/>
  <c r="I1879" i="2"/>
  <c r="J1879" i="2"/>
  <c r="E1880" i="2"/>
  <c r="I1880" i="2"/>
  <c r="J1880" i="2"/>
  <c r="E1881" i="2"/>
  <c r="I1881" i="2"/>
  <c r="J1881" i="2"/>
  <c r="E1882" i="2"/>
  <c r="I1882" i="2"/>
  <c r="J1882" i="2"/>
  <c r="E1883" i="2"/>
  <c r="F1883" i="2"/>
  <c r="I1883" i="2"/>
  <c r="E1884" i="2"/>
  <c r="F1884" i="2"/>
  <c r="I1884" i="2"/>
  <c r="E1885" i="2"/>
  <c r="F1885" i="2"/>
  <c r="I1885" i="2"/>
  <c r="E1886" i="2"/>
  <c r="F1886" i="2"/>
  <c r="I1886" i="2"/>
  <c r="E1887" i="2"/>
  <c r="F1887" i="2"/>
  <c r="I1887" i="2"/>
  <c r="E1888" i="2"/>
  <c r="F1888" i="2"/>
  <c r="I1888" i="2"/>
  <c r="E1889" i="2"/>
  <c r="F1889" i="2"/>
  <c r="I1889" i="2"/>
  <c r="E1890" i="2"/>
  <c r="F1890" i="2"/>
  <c r="I1890" i="2"/>
  <c r="E1891" i="2"/>
  <c r="F1891" i="2"/>
  <c r="I1891" i="2"/>
  <c r="E1892" i="2"/>
  <c r="F1892" i="2"/>
  <c r="I1892" i="2"/>
  <c r="E1893" i="2"/>
  <c r="I1893" i="2"/>
  <c r="J1893" i="2"/>
  <c r="E1894" i="2"/>
  <c r="I1894" i="2"/>
  <c r="J1894" i="2"/>
  <c r="E1895" i="2"/>
  <c r="I1895" i="2"/>
  <c r="J1895" i="2"/>
  <c r="E1896" i="2"/>
  <c r="I1896" i="2"/>
  <c r="J1896" i="2"/>
  <c r="E1897" i="2"/>
  <c r="I1897" i="2"/>
  <c r="J1897" i="2"/>
  <c r="E1898" i="2"/>
  <c r="I1898" i="2"/>
  <c r="J1898" i="2"/>
  <c r="E1899" i="2"/>
  <c r="F1899" i="2"/>
  <c r="I1899" i="2"/>
  <c r="J1899" i="2"/>
  <c r="E1900" i="2"/>
  <c r="F1900" i="2"/>
  <c r="I1900" i="2"/>
  <c r="J1900" i="2"/>
  <c r="E1901" i="2"/>
  <c r="I1901" i="2"/>
  <c r="J1901" i="2"/>
  <c r="E1902" i="2"/>
  <c r="F1902" i="2"/>
  <c r="I1902" i="2"/>
  <c r="J1902" i="2"/>
  <c r="E1903" i="2"/>
  <c r="F1903" i="2"/>
  <c r="I1903" i="2"/>
  <c r="E1904" i="2"/>
  <c r="I1904" i="2"/>
  <c r="J1904" i="2"/>
  <c r="E1905" i="2"/>
  <c r="I1905" i="2"/>
  <c r="J1905" i="2"/>
  <c r="E1906" i="2"/>
  <c r="I1906" i="2"/>
  <c r="J1906" i="2"/>
  <c r="E1907" i="2"/>
  <c r="F1907" i="2"/>
  <c r="I1907" i="2"/>
  <c r="E1908" i="2"/>
  <c r="F1908" i="2"/>
  <c r="I1908" i="2"/>
  <c r="J1908" i="2"/>
  <c r="E1909" i="2"/>
  <c r="F1909" i="2"/>
  <c r="I1909" i="2"/>
  <c r="J1909" i="2"/>
  <c r="E1910" i="2"/>
  <c r="F1910" i="2"/>
  <c r="I1910" i="2"/>
  <c r="J1910" i="2"/>
  <c r="E1911" i="2"/>
  <c r="I1911" i="2"/>
  <c r="J1911" i="2"/>
  <c r="E1912" i="2"/>
  <c r="I1912" i="2"/>
  <c r="J1912" i="2"/>
  <c r="E1913" i="2"/>
  <c r="I1913" i="2"/>
  <c r="J1913" i="2"/>
  <c r="E1914" i="2"/>
  <c r="I1914" i="2"/>
  <c r="J1914" i="2"/>
  <c r="E1915" i="2"/>
  <c r="I1915" i="2"/>
  <c r="J1915" i="2"/>
  <c r="E1916" i="2"/>
  <c r="I1916" i="2"/>
  <c r="J1916" i="2"/>
  <c r="E1917" i="2"/>
  <c r="F1917" i="2"/>
  <c r="I1917" i="2"/>
  <c r="E1918" i="2"/>
  <c r="F1918" i="2"/>
  <c r="I1918" i="2"/>
  <c r="J1918" i="2"/>
  <c r="E1919" i="2"/>
  <c r="F1919" i="2"/>
  <c r="I1919" i="2"/>
  <c r="J1919" i="2"/>
  <c r="E1920" i="2"/>
  <c r="F1920" i="2"/>
  <c r="I1920" i="2"/>
  <c r="J1920" i="2"/>
  <c r="E1921" i="2"/>
  <c r="I1921" i="2"/>
  <c r="J1921" i="2"/>
  <c r="E1922" i="2"/>
  <c r="I1922" i="2"/>
  <c r="J1922" i="2"/>
  <c r="E1923" i="2"/>
  <c r="F1923" i="2"/>
  <c r="I1923" i="2"/>
  <c r="E1924" i="2"/>
  <c r="I1924" i="2"/>
  <c r="J1924" i="2"/>
  <c r="E1925" i="2"/>
  <c r="I1925" i="2"/>
  <c r="J1925" i="2"/>
  <c r="E1926" i="2"/>
  <c r="I1926" i="2"/>
  <c r="J1926" i="2"/>
  <c r="E1927" i="2"/>
  <c r="F1927" i="2"/>
  <c r="I1927" i="2"/>
  <c r="J1927" i="2"/>
  <c r="E1928" i="2"/>
  <c r="I1928" i="2"/>
  <c r="E1929" i="2"/>
  <c r="F1929" i="2"/>
  <c r="I1929" i="2"/>
  <c r="E1930" i="2"/>
  <c r="I1930" i="2"/>
  <c r="J1930" i="2"/>
  <c r="E1931" i="2"/>
  <c r="I1931" i="2"/>
  <c r="E1932" i="2"/>
  <c r="I1932" i="2"/>
  <c r="E1933" i="2"/>
  <c r="F1933" i="2"/>
  <c r="I1933" i="2"/>
  <c r="J1933" i="2"/>
  <c r="E1934" i="2"/>
  <c r="I1934" i="2"/>
  <c r="J1934" i="2"/>
  <c r="E1935" i="2"/>
  <c r="F1935" i="2"/>
  <c r="I1935" i="2"/>
  <c r="E1936" i="2"/>
  <c r="I1936" i="2"/>
  <c r="E1937" i="2"/>
  <c r="I1937" i="2"/>
  <c r="E1938" i="2"/>
  <c r="I1938" i="2"/>
  <c r="E1939" i="2"/>
  <c r="F1939" i="2"/>
  <c r="I1939" i="2"/>
  <c r="E1940" i="2"/>
  <c r="F1940" i="2"/>
  <c r="I1940" i="2"/>
  <c r="E1941" i="2"/>
  <c r="F1941" i="2"/>
  <c r="I1941" i="2"/>
  <c r="J1941" i="2"/>
  <c r="E1942" i="2"/>
  <c r="F1942" i="2"/>
  <c r="I1942" i="2"/>
  <c r="J1942" i="2"/>
  <c r="E1943" i="2"/>
  <c r="F1943" i="2"/>
  <c r="I1943" i="2"/>
  <c r="J1943" i="2"/>
  <c r="E1944" i="2"/>
  <c r="I1944" i="2"/>
  <c r="J1944" i="2"/>
  <c r="E1945" i="2"/>
  <c r="I1945" i="2"/>
  <c r="J1945" i="2"/>
  <c r="E1946" i="2"/>
  <c r="I1946" i="2"/>
  <c r="J1946" i="2"/>
  <c r="E1947" i="2"/>
  <c r="I1947" i="2"/>
  <c r="J1947" i="2"/>
  <c r="E1948" i="2"/>
  <c r="I1948" i="2"/>
  <c r="J1948" i="2"/>
  <c r="E1949" i="2"/>
  <c r="F1949" i="2"/>
  <c r="I1949" i="2"/>
  <c r="J1949" i="2"/>
  <c r="E1950" i="2"/>
  <c r="F1950" i="2"/>
  <c r="I1950" i="2"/>
  <c r="J1950" i="2"/>
  <c r="E1951" i="2"/>
  <c r="F1951" i="2"/>
  <c r="I1951" i="2"/>
  <c r="J1951" i="2"/>
  <c r="E1952" i="2"/>
  <c r="I1952" i="2"/>
  <c r="E1953" i="2"/>
  <c r="F1953" i="2"/>
  <c r="I1953" i="2"/>
  <c r="J1953" i="2"/>
  <c r="E1954" i="2"/>
  <c r="F1954" i="2"/>
  <c r="I1954" i="2"/>
  <c r="J1954" i="2"/>
  <c r="E1955" i="2"/>
  <c r="I1955" i="2"/>
  <c r="J1955" i="2"/>
  <c r="E1956" i="2"/>
  <c r="F1956" i="2"/>
  <c r="I1956" i="2"/>
  <c r="E1957" i="2"/>
  <c r="F1957" i="2"/>
  <c r="I1957" i="2"/>
  <c r="E1958" i="2"/>
  <c r="F1958" i="2"/>
  <c r="I1958" i="2"/>
  <c r="J1958" i="2"/>
  <c r="E1959" i="2"/>
  <c r="F1959" i="2"/>
  <c r="I1959" i="2"/>
  <c r="J1959" i="2"/>
  <c r="E1960" i="2"/>
  <c r="I1960" i="2"/>
  <c r="J1960" i="2"/>
  <c r="E1961" i="2"/>
  <c r="I1961" i="2"/>
  <c r="E1962" i="2"/>
  <c r="F1962" i="2"/>
  <c r="I1962" i="2"/>
  <c r="E1963" i="2"/>
  <c r="I1963" i="2"/>
  <c r="J1963" i="2"/>
  <c r="E1964" i="2"/>
  <c r="I1964" i="2"/>
  <c r="E1965" i="2"/>
  <c r="F1965" i="2"/>
  <c r="I1965" i="2"/>
  <c r="E1966" i="2"/>
  <c r="F1966" i="2"/>
  <c r="I1966" i="2"/>
  <c r="E1967" i="2"/>
  <c r="F1967" i="2"/>
  <c r="I1967" i="2"/>
  <c r="E1968" i="2"/>
  <c r="F1968" i="2"/>
  <c r="I1968" i="2"/>
  <c r="J1968" i="2"/>
  <c r="E1969" i="2"/>
  <c r="F1969" i="2"/>
  <c r="I1969" i="2"/>
  <c r="E1970" i="2"/>
  <c r="I1970" i="2"/>
  <c r="J1970" i="2"/>
  <c r="E1971" i="2"/>
  <c r="I1971" i="2"/>
  <c r="J1971" i="2"/>
  <c r="E1972" i="2"/>
  <c r="I1972" i="2"/>
  <c r="E1973" i="2"/>
  <c r="F1973" i="2"/>
  <c r="I1973" i="2"/>
  <c r="E1974" i="2"/>
  <c r="F1974" i="2"/>
  <c r="I1974" i="2"/>
  <c r="J1974" i="2"/>
  <c r="E1975" i="2"/>
  <c r="I1975" i="2"/>
  <c r="J1975" i="2"/>
  <c r="E1976" i="2"/>
  <c r="I1976" i="2"/>
  <c r="E1977" i="2"/>
  <c r="F1977" i="2"/>
  <c r="I1977" i="2"/>
  <c r="E1978" i="2"/>
  <c r="I1978" i="2"/>
  <c r="E1979" i="2"/>
  <c r="I1979" i="2"/>
  <c r="E1980" i="2"/>
  <c r="I1980" i="2"/>
  <c r="J1980" i="2"/>
  <c r="E1981" i="2"/>
  <c r="F1981" i="2"/>
  <c r="I1981" i="2"/>
  <c r="J1981" i="2"/>
  <c r="E1982" i="2"/>
  <c r="I1982" i="2"/>
  <c r="J1982" i="2"/>
  <c r="E1983" i="2"/>
  <c r="I1983" i="2"/>
  <c r="J1983" i="2"/>
  <c r="E1984" i="2"/>
  <c r="I1984" i="2"/>
  <c r="J1984" i="2"/>
  <c r="E1985" i="2"/>
  <c r="I1985" i="2"/>
  <c r="J1985" i="2"/>
  <c r="E1986" i="2"/>
  <c r="F1986" i="2"/>
  <c r="I1986" i="2"/>
  <c r="E1987" i="2"/>
  <c r="F1987" i="2"/>
  <c r="I1987" i="2"/>
  <c r="E1988" i="2"/>
  <c r="I1988" i="2"/>
  <c r="E1989" i="2"/>
  <c r="I1989" i="2"/>
  <c r="E1990" i="2"/>
  <c r="I1990" i="2"/>
  <c r="J1990" i="2"/>
  <c r="E1991" i="2"/>
  <c r="F1991" i="2"/>
  <c r="I1991" i="2"/>
  <c r="E1992" i="2"/>
  <c r="F1992" i="2"/>
  <c r="I1992" i="2"/>
  <c r="E1993" i="2"/>
  <c r="F1993" i="2"/>
  <c r="I1993" i="2"/>
  <c r="J1993" i="2"/>
  <c r="E1994" i="2"/>
  <c r="F1994" i="2"/>
  <c r="I1994" i="2"/>
  <c r="J1994" i="2"/>
  <c r="E1995" i="2"/>
  <c r="F1995" i="2"/>
  <c r="I1995" i="2"/>
  <c r="J1995" i="2"/>
  <c r="E1996" i="2"/>
  <c r="I1996" i="2"/>
  <c r="J1996" i="2"/>
  <c r="E1997" i="2"/>
  <c r="I1997" i="2"/>
  <c r="J1997" i="2"/>
  <c r="E1998" i="2"/>
  <c r="F1998" i="2"/>
  <c r="I1998" i="2"/>
  <c r="E1999" i="2"/>
  <c r="F1999" i="2"/>
  <c r="I1999" i="2"/>
  <c r="E2000" i="2"/>
  <c r="I2000" i="2"/>
  <c r="J2000" i="2"/>
  <c r="E2001" i="2"/>
  <c r="I2001" i="2"/>
  <c r="J2001" i="2"/>
  <c r="E2002" i="2"/>
  <c r="I2002" i="2"/>
  <c r="E2003" i="2"/>
  <c r="F2003" i="2"/>
  <c r="I2003" i="2"/>
  <c r="J2003" i="2"/>
  <c r="E2004" i="2"/>
  <c r="F2004" i="2"/>
  <c r="I2004" i="2"/>
  <c r="E2005" i="2"/>
  <c r="I2005" i="2"/>
  <c r="J2005" i="2"/>
  <c r="E2006" i="2"/>
  <c r="I2006" i="2"/>
  <c r="J2006" i="2"/>
  <c r="E2007" i="2"/>
  <c r="I2007" i="2"/>
  <c r="J2007" i="2"/>
  <c r="E2008" i="2"/>
  <c r="F2008" i="2"/>
  <c r="I2008" i="2"/>
  <c r="J2008" i="2"/>
  <c r="E2009" i="2"/>
  <c r="I2009" i="2"/>
  <c r="E2010" i="2"/>
  <c r="F2010" i="2"/>
  <c r="I2010" i="2"/>
  <c r="E2011" i="2"/>
  <c r="F2011" i="2"/>
  <c r="I2011" i="2"/>
  <c r="E2012" i="2"/>
  <c r="F2012" i="2"/>
  <c r="I2012" i="2"/>
  <c r="J2012" i="2"/>
  <c r="E2013" i="2"/>
  <c r="I2013" i="2"/>
  <c r="J2013" i="2"/>
  <c r="E2014" i="2"/>
  <c r="F2014" i="2"/>
  <c r="I2014" i="2"/>
  <c r="E2015" i="2"/>
  <c r="F2015" i="2"/>
  <c r="I2015" i="2"/>
  <c r="J2015" i="2"/>
  <c r="E2016" i="2"/>
  <c r="I2016" i="2"/>
  <c r="E2017" i="2"/>
  <c r="F2017" i="2"/>
  <c r="I2017" i="2"/>
  <c r="J2017" i="2"/>
  <c r="E2018" i="2"/>
  <c r="I2018" i="2"/>
  <c r="J2018" i="2"/>
  <c r="E2019" i="2"/>
  <c r="F2019" i="2"/>
  <c r="I2019" i="2"/>
  <c r="J2019" i="2"/>
  <c r="E2020" i="2"/>
  <c r="F2020" i="2"/>
  <c r="I2020" i="2"/>
  <c r="E2021" i="2"/>
  <c r="I2021" i="2"/>
  <c r="J2021" i="2"/>
  <c r="E2022" i="2"/>
  <c r="F2022" i="2"/>
  <c r="I2022" i="2"/>
  <c r="J2022" i="2"/>
  <c r="E2023" i="2"/>
  <c r="F2023" i="2"/>
  <c r="I2023" i="2"/>
  <c r="J2023" i="2"/>
  <c r="E2024" i="2"/>
  <c r="I2024" i="2"/>
  <c r="J2024" i="2"/>
  <c r="E2025" i="2"/>
  <c r="F2025" i="2"/>
  <c r="I2025" i="2"/>
  <c r="J2025" i="2"/>
  <c r="E2026" i="2"/>
  <c r="I2026" i="2"/>
  <c r="J2026" i="2"/>
  <c r="E2027" i="2"/>
  <c r="I2027" i="2"/>
  <c r="J2027" i="2"/>
  <c r="E2028" i="2"/>
  <c r="F2028" i="2"/>
  <c r="I2028" i="2"/>
  <c r="J2028" i="2"/>
  <c r="E2029" i="2"/>
  <c r="F2029" i="2"/>
  <c r="I2029" i="2"/>
  <c r="J2029" i="2"/>
  <c r="E2030" i="2"/>
  <c r="F2030" i="2"/>
  <c r="I2030" i="2"/>
  <c r="E2031" i="2"/>
  <c r="F2031" i="2"/>
  <c r="I2031" i="2"/>
  <c r="J2031" i="2"/>
  <c r="E2032" i="2"/>
  <c r="F2032" i="2"/>
  <c r="I2032" i="2"/>
  <c r="E2033" i="2"/>
  <c r="F2033" i="2"/>
  <c r="I2033" i="2"/>
  <c r="J2033" i="2"/>
  <c r="E2034" i="2"/>
  <c r="F2034" i="2"/>
  <c r="I2034" i="2"/>
  <c r="J2034" i="2"/>
  <c r="E2035" i="2"/>
  <c r="F2035" i="2"/>
  <c r="I2035" i="2"/>
  <c r="J2035" i="2"/>
  <c r="E2036" i="2"/>
  <c r="F2036" i="2"/>
  <c r="I2036" i="2"/>
  <c r="J2036" i="2"/>
  <c r="E2037" i="2"/>
  <c r="I2037" i="2"/>
  <c r="J2037" i="2"/>
  <c r="E2038" i="2"/>
  <c r="F2038" i="2"/>
  <c r="I2038" i="2"/>
  <c r="J2038" i="2"/>
  <c r="E2039" i="2"/>
  <c r="F2039" i="2"/>
  <c r="I2039" i="2"/>
  <c r="E2040" i="2"/>
  <c r="F2040" i="2"/>
  <c r="I2040" i="2"/>
  <c r="E2041" i="2"/>
  <c r="F2041" i="2"/>
  <c r="I2041" i="2"/>
  <c r="E2042" i="2"/>
  <c r="F2042" i="2"/>
  <c r="I2042" i="2"/>
  <c r="J2042" i="2"/>
  <c r="E2043" i="2"/>
  <c r="F2043" i="2"/>
  <c r="I2043" i="2"/>
  <c r="J2043" i="2"/>
  <c r="E2044" i="2"/>
  <c r="F2044" i="2"/>
  <c r="I2044" i="2"/>
  <c r="J2044" i="2"/>
  <c r="E2045" i="2"/>
  <c r="F2045" i="2"/>
  <c r="I2045" i="2"/>
  <c r="E2046" i="2"/>
  <c r="F2046" i="2"/>
  <c r="I2046" i="2"/>
  <c r="J2046" i="2"/>
  <c r="E2047" i="2"/>
  <c r="F2047" i="2"/>
  <c r="I2047" i="2"/>
  <c r="J2047" i="2"/>
  <c r="E2048" i="2"/>
  <c r="I2048" i="2"/>
  <c r="J2048" i="2"/>
  <c r="E2049" i="2"/>
  <c r="I2049" i="2"/>
  <c r="J2049" i="2"/>
  <c r="E2050" i="2"/>
  <c r="I2050" i="2"/>
  <c r="J2050" i="2"/>
  <c r="E2051" i="2"/>
  <c r="I2051" i="2"/>
  <c r="J2051" i="2"/>
  <c r="E2052" i="2"/>
  <c r="I2052" i="2"/>
  <c r="J2052" i="2"/>
  <c r="E2053" i="2"/>
  <c r="F2053" i="2"/>
  <c r="I2053" i="2"/>
  <c r="J2053" i="2"/>
  <c r="E2054" i="2"/>
  <c r="F2054" i="2"/>
  <c r="I2054" i="2"/>
  <c r="J2054" i="2"/>
  <c r="E2055" i="2"/>
  <c r="F2055" i="2"/>
  <c r="I2055" i="2"/>
  <c r="J2055" i="2"/>
  <c r="E2056" i="2"/>
  <c r="F2056" i="2"/>
  <c r="I2056" i="2"/>
  <c r="J2056" i="2"/>
  <c r="E2057" i="2"/>
  <c r="F2057" i="2"/>
  <c r="I2057" i="2"/>
  <c r="J2057" i="2"/>
  <c r="E2058" i="2"/>
  <c r="F2058" i="2"/>
  <c r="I2058" i="2"/>
  <c r="J2058" i="2"/>
  <c r="E2059" i="2"/>
  <c r="I2059" i="2"/>
  <c r="E2060" i="2"/>
  <c r="I2060" i="2"/>
  <c r="J2060" i="2"/>
  <c r="E2061" i="2"/>
  <c r="I2061" i="2"/>
  <c r="E2062" i="2"/>
  <c r="F2062" i="2"/>
  <c r="I2062" i="2"/>
  <c r="E2063" i="2"/>
  <c r="I2063" i="2"/>
  <c r="J2063" i="2"/>
  <c r="E2064" i="2"/>
  <c r="I2064" i="2"/>
  <c r="J2064" i="2"/>
  <c r="E2065" i="2"/>
  <c r="F2065" i="2"/>
  <c r="I2065" i="2"/>
  <c r="J2065" i="2"/>
  <c r="E2066" i="2"/>
  <c r="F2066" i="2"/>
  <c r="I2066" i="2"/>
  <c r="J2066" i="2"/>
  <c r="E2067" i="2"/>
  <c r="F2067" i="2"/>
  <c r="I2067" i="2"/>
  <c r="J2067" i="2"/>
  <c r="E2068" i="2"/>
  <c r="I2068" i="2"/>
  <c r="J2068" i="2"/>
  <c r="E2069" i="2"/>
  <c r="I2069" i="2"/>
  <c r="J2069" i="2"/>
  <c r="E2070" i="2"/>
  <c r="I2070" i="2"/>
  <c r="J2070" i="2"/>
  <c r="E2071" i="2"/>
  <c r="I2071" i="2"/>
  <c r="E2072" i="2"/>
  <c r="F2072" i="2"/>
  <c r="I2072" i="2"/>
  <c r="E2073" i="2"/>
  <c r="I2073" i="2"/>
  <c r="J2073" i="2"/>
  <c r="E2074" i="2"/>
  <c r="F2074" i="2"/>
  <c r="I2074" i="2"/>
  <c r="E2075" i="2"/>
  <c r="F2075" i="2"/>
  <c r="I2075" i="2"/>
  <c r="E2076" i="2"/>
  <c r="F2076" i="2"/>
  <c r="I2076" i="2"/>
  <c r="E2077" i="2"/>
  <c r="F2077" i="2"/>
  <c r="I2077" i="2"/>
  <c r="E2078" i="2"/>
  <c r="F2078" i="2"/>
  <c r="I2078" i="2"/>
  <c r="E2079" i="2"/>
  <c r="F2079" i="2"/>
  <c r="I2079" i="2"/>
  <c r="E2080" i="2"/>
  <c r="F2080" i="2"/>
  <c r="I2080" i="2"/>
  <c r="E2081" i="2"/>
  <c r="F2081" i="2"/>
  <c r="I2081" i="2"/>
  <c r="E2082" i="2"/>
  <c r="F2082" i="2"/>
  <c r="I2082" i="2"/>
  <c r="E2083" i="2"/>
  <c r="F2083" i="2"/>
  <c r="I2083" i="2"/>
  <c r="E2084" i="2"/>
  <c r="F2084" i="2"/>
  <c r="I2084" i="2"/>
  <c r="E2085" i="2"/>
  <c r="F2085" i="2"/>
  <c r="I2085" i="2"/>
  <c r="E2086" i="2"/>
  <c r="F2086" i="2"/>
  <c r="I2086" i="2"/>
  <c r="E2087" i="2"/>
  <c r="F2087" i="2"/>
  <c r="I2087" i="2"/>
  <c r="J2087" i="2"/>
  <c r="E2088" i="2"/>
  <c r="F2088" i="2"/>
  <c r="I2088" i="2"/>
  <c r="J2088" i="2"/>
  <c r="E2089" i="2"/>
  <c r="F2089" i="2"/>
  <c r="I2089" i="2"/>
  <c r="J2089" i="2"/>
  <c r="E2090" i="2"/>
  <c r="I2090" i="2"/>
  <c r="J2090" i="2"/>
  <c r="E2091" i="2"/>
  <c r="F2091" i="2"/>
  <c r="I2091" i="2"/>
  <c r="E2092" i="2"/>
  <c r="F2092" i="2"/>
  <c r="I2092" i="2"/>
  <c r="J2092" i="2"/>
  <c r="E2093" i="2"/>
  <c r="I2093" i="2"/>
  <c r="E2094" i="2"/>
  <c r="F2094" i="2"/>
  <c r="I2094" i="2"/>
  <c r="J2094" i="2"/>
  <c r="E2095" i="2"/>
  <c r="F2095" i="2"/>
  <c r="I2095" i="2"/>
  <c r="J2095" i="2"/>
  <c r="E2096" i="2"/>
  <c r="F2096" i="2"/>
  <c r="I2096" i="2"/>
  <c r="E2097" i="2"/>
  <c r="F2097" i="2"/>
  <c r="I2097" i="2"/>
  <c r="E2098" i="2"/>
  <c r="I2098" i="2"/>
  <c r="E2099" i="2"/>
  <c r="I2099" i="2"/>
  <c r="E2100" i="2"/>
  <c r="F2100" i="2"/>
  <c r="I2100" i="2"/>
  <c r="J2100" i="2"/>
  <c r="E2101" i="2"/>
  <c r="I2101" i="2"/>
  <c r="J2101" i="2"/>
  <c r="E2102" i="2"/>
  <c r="I2102" i="2"/>
  <c r="J2102" i="2"/>
  <c r="E2103" i="2"/>
  <c r="F2103" i="2"/>
  <c r="I2103" i="2"/>
  <c r="J2103" i="2"/>
  <c r="E2104" i="2"/>
  <c r="F2104" i="2"/>
  <c r="I2104" i="2"/>
  <c r="J2104" i="2"/>
  <c r="E2105" i="2"/>
  <c r="I2105" i="2"/>
  <c r="E2106" i="2"/>
  <c r="F2106" i="2"/>
  <c r="I2106" i="2"/>
  <c r="E2107" i="2"/>
  <c r="I2107" i="2"/>
  <c r="J2107" i="2"/>
  <c r="E2108" i="2"/>
  <c r="F2108" i="2"/>
  <c r="I2108" i="2"/>
  <c r="J2108" i="2"/>
  <c r="E2109" i="2"/>
  <c r="F2109" i="2"/>
  <c r="I2109" i="2"/>
  <c r="E2110" i="2"/>
  <c r="F2110" i="2"/>
  <c r="I2110" i="2"/>
  <c r="E2111" i="2"/>
  <c r="I2111" i="2"/>
  <c r="J2111" i="2"/>
  <c r="E2112" i="2"/>
  <c r="I2112" i="2"/>
  <c r="E2113" i="2"/>
  <c r="F2113" i="2"/>
  <c r="I2113" i="2"/>
  <c r="E2114" i="2"/>
  <c r="F2114" i="2"/>
  <c r="I2114" i="2"/>
  <c r="E2115" i="2"/>
  <c r="F2115" i="2"/>
  <c r="I2115" i="2"/>
  <c r="E2116" i="2"/>
  <c r="F2116" i="2"/>
  <c r="I2116" i="2"/>
  <c r="E2117" i="2"/>
  <c r="F2117" i="2"/>
  <c r="I2117" i="2"/>
  <c r="J2117" i="2"/>
  <c r="E2118" i="2"/>
  <c r="F2118" i="2"/>
  <c r="I2118" i="2"/>
  <c r="J2118" i="2"/>
  <c r="E2119" i="2"/>
  <c r="F2119" i="2"/>
  <c r="I2119" i="2"/>
  <c r="E2120" i="2"/>
  <c r="F2120" i="2"/>
  <c r="I2120" i="2"/>
  <c r="J2120" i="2"/>
  <c r="E2121" i="2"/>
  <c r="I2121" i="2"/>
  <c r="J2121" i="2"/>
  <c r="E2122" i="2"/>
  <c r="I2122" i="2"/>
  <c r="E2123" i="2"/>
  <c r="I2123" i="2"/>
  <c r="J2123" i="2"/>
  <c r="E2124" i="2"/>
  <c r="I2124" i="2"/>
  <c r="J2124" i="2"/>
  <c r="E2125" i="2"/>
  <c r="F2125" i="2"/>
  <c r="I2125" i="2"/>
  <c r="E2126" i="2"/>
  <c r="F2126" i="2"/>
  <c r="I2126" i="2"/>
  <c r="E2127" i="2"/>
  <c r="F2127" i="2"/>
  <c r="I2127" i="2"/>
  <c r="E2128" i="2"/>
  <c r="F2128" i="2"/>
  <c r="I2128" i="2"/>
  <c r="J2128" i="2"/>
  <c r="E2129" i="2"/>
  <c r="I2129" i="2"/>
  <c r="J2129" i="2"/>
  <c r="E2130" i="2"/>
  <c r="I2130" i="2"/>
  <c r="J2130" i="2"/>
  <c r="E2131" i="2"/>
  <c r="F2131" i="2"/>
  <c r="I2131" i="2"/>
  <c r="J2131" i="2"/>
  <c r="E2132" i="2"/>
  <c r="F2132" i="2"/>
  <c r="I2132" i="2"/>
  <c r="J2132" i="2"/>
  <c r="E2133" i="2"/>
  <c r="F2133" i="2"/>
  <c r="I2133" i="2"/>
  <c r="J2133" i="2"/>
  <c r="E2134" i="2"/>
  <c r="F2134" i="2"/>
  <c r="I2134" i="2"/>
  <c r="J2134" i="2"/>
  <c r="E2135" i="2"/>
  <c r="F2135" i="2"/>
  <c r="I2135" i="2"/>
  <c r="E2136" i="2"/>
  <c r="I2136" i="2"/>
  <c r="J2136" i="2"/>
  <c r="E2137" i="2"/>
  <c r="I2137" i="2"/>
  <c r="J2137" i="2"/>
  <c r="E2138" i="2"/>
  <c r="F2138" i="2"/>
  <c r="I2138" i="2"/>
  <c r="E2139" i="2"/>
  <c r="I2139" i="2"/>
  <c r="E2140" i="2"/>
  <c r="I2140" i="2"/>
  <c r="E2141" i="2"/>
  <c r="I2141" i="2"/>
  <c r="J2141" i="2"/>
  <c r="E2142" i="2"/>
  <c r="I2142" i="2"/>
  <c r="E2143" i="2"/>
  <c r="F2143" i="2"/>
  <c r="I2143" i="2"/>
  <c r="E2144" i="2"/>
  <c r="I2144" i="2"/>
  <c r="J2144" i="2"/>
  <c r="E2145" i="2"/>
  <c r="F2145" i="2"/>
  <c r="I2145" i="2"/>
  <c r="J2145" i="2"/>
  <c r="E2146" i="2"/>
  <c r="I2146" i="2"/>
  <c r="J2146" i="2"/>
  <c r="E2147" i="2"/>
  <c r="F2147" i="2"/>
  <c r="I2147" i="2"/>
  <c r="J2147" i="2"/>
  <c r="E2148" i="2"/>
  <c r="F2148" i="2"/>
  <c r="I2148" i="2"/>
  <c r="J2148" i="2"/>
  <c r="E2149" i="2"/>
  <c r="F2149" i="2"/>
  <c r="I2149" i="2"/>
  <c r="J2149" i="2"/>
  <c r="E2150" i="2"/>
  <c r="I2150" i="2"/>
  <c r="J2150" i="2"/>
  <c r="E2151" i="2"/>
  <c r="F2151" i="2"/>
  <c r="I2151" i="2"/>
  <c r="J2151" i="2"/>
  <c r="E2152" i="2"/>
  <c r="F2152" i="2"/>
  <c r="I2152" i="2"/>
  <c r="J2152" i="2"/>
  <c r="E2153" i="2"/>
  <c r="F2153" i="2"/>
  <c r="I2153" i="2"/>
  <c r="J2153" i="2"/>
  <c r="E2154" i="2"/>
  <c r="I2154" i="2"/>
  <c r="E2155" i="2"/>
  <c r="I2155" i="2"/>
  <c r="E2156" i="2"/>
  <c r="I2156" i="2"/>
  <c r="J2156" i="2"/>
  <c r="E2157" i="2"/>
  <c r="I2157" i="2"/>
  <c r="E2158" i="2"/>
  <c r="F2158" i="2"/>
  <c r="I2158" i="2"/>
  <c r="E2159" i="2"/>
  <c r="F2159" i="2"/>
  <c r="I2159" i="2"/>
  <c r="J2159" i="2"/>
  <c r="E2160" i="2"/>
  <c r="F2160" i="2"/>
  <c r="I2160" i="2"/>
  <c r="J2160" i="2"/>
  <c r="E2161" i="2"/>
  <c r="F2161" i="2"/>
  <c r="I2161" i="2"/>
  <c r="J2161" i="2"/>
  <c r="E2162" i="2"/>
  <c r="I2162" i="2"/>
  <c r="E2163" i="2"/>
  <c r="I2163" i="2"/>
  <c r="J2163" i="2"/>
  <c r="E2164" i="2"/>
  <c r="I2164" i="2"/>
  <c r="J2164" i="2"/>
  <c r="E2165" i="2"/>
  <c r="I2165" i="2"/>
  <c r="E2166" i="2"/>
  <c r="F2166" i="2"/>
  <c r="I2166" i="2"/>
  <c r="E2167" i="2"/>
  <c r="F2167" i="2"/>
  <c r="I2167" i="2"/>
  <c r="E2168" i="2"/>
  <c r="F2168" i="2"/>
  <c r="I2168" i="2"/>
  <c r="E2169" i="2"/>
  <c r="I2169" i="2"/>
  <c r="J2169" i="2"/>
  <c r="E2170" i="2"/>
  <c r="I2170" i="2"/>
  <c r="J2170" i="2"/>
  <c r="E2171" i="2"/>
  <c r="I2171" i="2"/>
  <c r="J2171" i="2"/>
  <c r="E2172" i="2"/>
  <c r="I2172" i="2"/>
  <c r="J2172" i="2"/>
  <c r="E2173" i="2"/>
  <c r="I2173" i="2"/>
  <c r="J2173" i="2"/>
  <c r="E2174" i="2"/>
  <c r="I2174" i="2"/>
  <c r="J2174" i="2"/>
  <c r="E2175" i="2"/>
  <c r="I2175" i="2"/>
  <c r="J2175" i="2"/>
  <c r="E2176" i="2"/>
  <c r="F2176" i="2"/>
  <c r="I2176" i="2"/>
  <c r="E2177" i="2"/>
  <c r="F2177" i="2"/>
  <c r="I2177" i="2"/>
  <c r="J2177" i="2"/>
  <c r="E2178" i="2"/>
  <c r="F2178" i="2"/>
  <c r="I2178" i="2"/>
  <c r="J2178" i="2"/>
  <c r="E2179" i="2"/>
  <c r="F2179" i="2"/>
  <c r="I2179" i="2"/>
  <c r="J2179" i="2"/>
  <c r="E2180" i="2"/>
  <c r="F2180" i="2"/>
  <c r="I2180" i="2"/>
  <c r="J2180" i="2"/>
  <c r="E2181" i="2"/>
  <c r="F2181" i="2"/>
  <c r="I2181" i="2"/>
  <c r="J2181" i="2"/>
  <c r="E2182" i="2"/>
  <c r="F2182" i="2"/>
  <c r="I2182" i="2"/>
  <c r="J2182" i="2"/>
  <c r="E2183" i="2"/>
  <c r="F2183" i="2"/>
  <c r="I2183" i="2"/>
  <c r="J2183" i="2"/>
  <c r="E2184" i="2"/>
  <c r="F2184" i="2"/>
  <c r="I2184" i="2"/>
  <c r="J2184" i="2"/>
  <c r="E2185" i="2"/>
  <c r="F2185" i="2"/>
  <c r="I2185" i="2"/>
  <c r="J2185" i="2"/>
  <c r="E2186" i="2"/>
  <c r="I2186" i="2"/>
  <c r="J2186" i="2"/>
  <c r="E2187" i="2"/>
  <c r="F2187" i="2"/>
  <c r="I2187" i="2"/>
  <c r="J2187" i="2"/>
  <c r="E2188" i="2"/>
  <c r="F2188" i="2"/>
  <c r="I2188" i="2"/>
  <c r="J2188" i="2"/>
  <c r="E2189" i="2"/>
  <c r="I2189" i="2"/>
  <c r="J2189" i="2"/>
  <c r="E2190" i="2"/>
  <c r="F2190" i="2"/>
  <c r="I2190" i="2"/>
  <c r="J2190" i="2"/>
  <c r="E2191" i="2"/>
  <c r="I2191" i="2"/>
  <c r="J2191" i="2"/>
  <c r="E2192" i="2"/>
  <c r="F2192" i="2"/>
  <c r="I2192" i="2"/>
  <c r="J2192" i="2"/>
  <c r="E2193" i="2"/>
  <c r="F2193" i="2"/>
  <c r="I2193" i="2"/>
  <c r="J2193" i="2"/>
  <c r="E2194" i="2"/>
  <c r="F2194" i="2"/>
  <c r="I2194" i="2"/>
  <c r="J2194" i="2"/>
  <c r="E2195" i="2"/>
  <c r="F2195" i="2"/>
  <c r="I2195" i="2"/>
  <c r="J2195" i="2"/>
  <c r="E2196" i="2"/>
  <c r="F2196" i="2"/>
  <c r="I2196" i="2"/>
  <c r="J2196" i="2"/>
  <c r="E2197" i="2"/>
  <c r="F2197" i="2"/>
  <c r="I2197" i="2"/>
  <c r="J2197" i="2"/>
  <c r="E2198" i="2"/>
  <c r="F2198" i="2"/>
  <c r="I2198" i="2"/>
  <c r="J2198" i="2"/>
  <c r="E2199" i="2"/>
  <c r="F2199" i="2"/>
  <c r="I2199" i="2"/>
  <c r="J2199" i="2"/>
  <c r="E2200" i="2"/>
  <c r="F2200" i="2"/>
  <c r="I2200" i="2"/>
  <c r="E2201" i="2"/>
  <c r="F2201" i="2"/>
  <c r="I2201" i="2"/>
  <c r="E2202" i="2"/>
  <c r="F2202" i="2"/>
  <c r="I2202" i="2"/>
  <c r="J2202" i="2"/>
  <c r="E2203" i="2"/>
  <c r="I2203" i="2"/>
  <c r="J2203" i="2"/>
  <c r="E2204" i="2"/>
  <c r="I2204" i="2"/>
  <c r="E2205" i="2"/>
  <c r="F2205" i="2"/>
  <c r="I2205" i="2"/>
  <c r="J2205" i="2"/>
  <c r="E2206" i="2"/>
  <c r="F2206" i="2"/>
  <c r="I2206" i="2"/>
  <c r="J2206" i="2"/>
  <c r="E2207" i="2"/>
  <c r="F2207" i="2"/>
  <c r="I2207" i="2"/>
  <c r="E2208" i="2"/>
  <c r="F2208" i="2"/>
  <c r="I2208" i="2"/>
  <c r="E2209" i="2"/>
  <c r="F2209" i="2"/>
  <c r="I2209" i="2"/>
  <c r="J2209" i="2"/>
  <c r="E2210" i="2"/>
  <c r="I2210" i="2"/>
  <c r="J2210" i="2"/>
  <c r="E2211" i="2"/>
  <c r="I2211" i="2"/>
  <c r="J2211" i="2"/>
  <c r="E2212" i="2"/>
  <c r="F2212" i="2"/>
  <c r="I2212" i="2"/>
  <c r="J2212" i="2"/>
  <c r="E2213" i="2"/>
  <c r="F2213" i="2"/>
  <c r="I2213" i="2"/>
  <c r="J2213" i="2"/>
  <c r="E2214" i="2"/>
  <c r="F2214" i="2"/>
  <c r="I2214" i="2"/>
  <c r="J2214" i="2"/>
  <c r="E2215" i="2"/>
  <c r="F2215" i="2"/>
  <c r="I2215" i="2"/>
  <c r="J2215" i="2"/>
  <c r="E2216" i="2"/>
  <c r="I2216" i="2"/>
  <c r="E2217" i="2"/>
  <c r="I2217" i="2"/>
  <c r="J2217" i="2"/>
  <c r="E2218" i="2"/>
  <c r="I2218" i="2"/>
  <c r="E2219" i="2"/>
  <c r="F2219" i="2"/>
  <c r="I2219" i="2"/>
  <c r="E2220" i="2"/>
  <c r="F2220" i="2"/>
  <c r="I2220" i="2"/>
  <c r="E2221" i="2"/>
  <c r="F2221" i="2"/>
  <c r="I2221" i="2"/>
  <c r="E2222" i="2"/>
  <c r="I2222" i="2"/>
  <c r="J2222" i="2"/>
  <c r="E2223" i="2"/>
  <c r="F2223" i="2"/>
  <c r="I2223" i="2"/>
  <c r="J2223" i="2"/>
  <c r="E2224" i="2"/>
  <c r="I2224" i="2"/>
  <c r="J2224" i="2"/>
  <c r="E2225" i="2"/>
  <c r="I2225" i="2"/>
  <c r="J2225" i="2"/>
  <c r="E2226" i="2"/>
  <c r="I2226" i="2"/>
  <c r="J2226" i="2"/>
  <c r="E2227" i="2"/>
  <c r="F2227" i="2"/>
  <c r="I2227" i="2"/>
  <c r="E2228" i="2"/>
  <c r="F2228" i="2"/>
  <c r="I2228" i="2"/>
  <c r="E2229" i="2"/>
  <c r="F2229" i="2"/>
  <c r="I2229" i="2"/>
  <c r="E2230" i="2"/>
  <c r="F2230" i="2"/>
  <c r="I2230" i="2"/>
  <c r="J2230" i="2"/>
  <c r="E2231" i="2"/>
  <c r="I2231" i="2"/>
  <c r="J2231" i="2"/>
  <c r="E2232" i="2"/>
  <c r="I2232" i="2"/>
  <c r="J2232" i="2"/>
  <c r="E2233" i="2"/>
  <c r="I2233" i="2"/>
  <c r="J2233" i="2"/>
  <c r="E2234" i="2"/>
  <c r="I2234" i="2"/>
  <c r="J2234" i="2"/>
  <c r="E2235" i="2"/>
  <c r="F2235" i="2"/>
  <c r="I2235" i="2"/>
  <c r="E2236" i="2"/>
  <c r="I2236" i="2"/>
  <c r="E2237" i="2"/>
  <c r="F2237" i="2"/>
  <c r="I2237" i="2"/>
  <c r="E2238" i="2"/>
  <c r="I2238" i="2"/>
  <c r="E2239" i="2"/>
  <c r="I2239" i="2"/>
  <c r="E2240" i="2"/>
  <c r="I2240" i="2"/>
  <c r="J2240" i="2"/>
  <c r="E2241" i="2"/>
  <c r="I2241" i="2"/>
  <c r="J2241" i="2"/>
  <c r="E2242" i="2"/>
  <c r="F2242" i="2"/>
  <c r="I2242" i="2"/>
  <c r="E2243" i="2"/>
  <c r="I2243" i="2"/>
  <c r="J2243" i="2"/>
  <c r="E2244" i="2"/>
  <c r="I2244" i="2"/>
  <c r="J2244" i="2"/>
  <c r="E2245" i="2"/>
  <c r="I2245" i="2"/>
  <c r="J2245" i="2"/>
  <c r="E2246" i="2"/>
  <c r="F2246" i="2"/>
  <c r="I2246" i="2"/>
  <c r="J2246" i="2"/>
  <c r="E2247" i="2"/>
  <c r="F2247" i="2"/>
  <c r="I2247" i="2"/>
  <c r="E2248" i="2"/>
  <c r="F2248" i="2"/>
  <c r="I2248" i="2"/>
  <c r="J2248" i="2"/>
  <c r="E2249" i="2"/>
  <c r="I2249" i="2"/>
  <c r="J2249" i="2"/>
  <c r="E2250" i="2"/>
  <c r="I2250" i="2"/>
  <c r="J2250" i="2"/>
  <c r="E2251" i="2"/>
  <c r="F2251" i="2"/>
  <c r="I2251" i="2"/>
  <c r="E2252" i="2"/>
  <c r="F2252" i="2"/>
  <c r="I2252" i="2"/>
  <c r="J2252" i="2"/>
  <c r="E2253" i="2"/>
  <c r="F2253" i="2"/>
  <c r="I2253" i="2"/>
  <c r="J2253" i="2"/>
  <c r="E2254" i="2"/>
  <c r="I2254" i="2"/>
  <c r="E2255" i="2"/>
  <c r="I2255" i="2"/>
  <c r="E2256" i="2"/>
  <c r="F2256" i="2"/>
  <c r="I2256" i="2"/>
  <c r="E2257" i="2"/>
  <c r="F2257" i="2"/>
  <c r="I2257" i="2"/>
  <c r="J2257" i="2"/>
  <c r="E2258" i="2"/>
  <c r="F2258" i="2"/>
  <c r="I2258" i="2"/>
  <c r="J2258" i="2"/>
  <c r="E2259" i="2"/>
  <c r="I2259" i="2"/>
  <c r="E2260" i="2"/>
  <c r="F2260" i="2"/>
  <c r="I2260" i="2"/>
  <c r="J2260" i="2"/>
  <c r="E2261" i="2"/>
  <c r="I2261" i="2"/>
  <c r="E2262" i="2"/>
  <c r="F2262" i="2"/>
  <c r="I2262" i="2"/>
  <c r="J2262" i="2"/>
  <c r="E2263" i="2"/>
  <c r="I2263" i="2"/>
  <c r="J2263" i="2"/>
  <c r="E2264" i="2"/>
  <c r="I2264" i="2"/>
  <c r="J2264" i="2"/>
  <c r="E2265" i="2"/>
  <c r="I2265" i="2"/>
  <c r="E2266" i="2"/>
  <c r="F2266" i="2"/>
  <c r="I2266" i="2"/>
  <c r="J2266" i="2"/>
  <c r="E2267" i="2"/>
  <c r="F2267" i="2"/>
  <c r="I2267" i="2"/>
  <c r="J2267" i="2"/>
  <c r="E2268" i="2"/>
  <c r="I2268" i="2"/>
  <c r="J2268" i="2"/>
  <c r="E2269" i="2"/>
  <c r="I2269" i="2"/>
  <c r="J2269" i="2"/>
  <c r="E2270" i="2"/>
  <c r="F2270" i="2"/>
  <c r="I2270" i="2"/>
  <c r="E2271" i="2"/>
  <c r="I2271" i="2"/>
  <c r="J2271" i="2"/>
  <c r="E2272" i="2"/>
  <c r="F2272" i="2"/>
  <c r="I2272" i="2"/>
  <c r="E2273" i="2"/>
  <c r="I2273" i="2"/>
  <c r="J2273" i="2"/>
  <c r="E2274" i="2"/>
  <c r="F2274" i="2"/>
  <c r="I2274" i="2"/>
  <c r="E2275" i="2"/>
  <c r="F2275" i="2"/>
  <c r="I2275" i="2"/>
  <c r="J2275" i="2"/>
  <c r="E2276" i="2"/>
  <c r="F2276" i="2"/>
  <c r="I2276" i="2"/>
  <c r="J2276" i="2"/>
  <c r="E2277" i="2"/>
  <c r="I2277" i="2"/>
  <c r="J2277" i="2"/>
  <c r="E2278" i="2"/>
  <c r="F2278" i="2"/>
  <c r="I2278" i="2"/>
  <c r="J2278" i="2"/>
  <c r="E2279" i="2"/>
  <c r="F2279" i="2"/>
  <c r="I2279" i="2"/>
  <c r="E2280" i="2"/>
  <c r="F2280" i="2"/>
  <c r="I2280" i="2"/>
  <c r="J2280" i="2"/>
  <c r="E2281" i="2"/>
  <c r="I2281" i="2"/>
  <c r="J2281" i="2"/>
  <c r="E2282" i="2"/>
  <c r="I2282" i="2"/>
  <c r="J2282" i="2"/>
  <c r="E2283" i="2"/>
  <c r="F2283" i="2"/>
  <c r="I2283" i="2"/>
  <c r="J2283" i="2"/>
  <c r="E2284" i="2"/>
  <c r="I2284" i="2"/>
  <c r="J2284" i="2"/>
  <c r="E2285" i="2"/>
  <c r="I2285" i="2"/>
  <c r="J2285" i="2"/>
  <c r="E2286" i="2"/>
  <c r="I2286" i="2"/>
  <c r="J2286" i="2"/>
  <c r="E2287" i="2"/>
  <c r="F2287" i="2"/>
  <c r="I2287" i="2"/>
  <c r="J2287" i="2"/>
  <c r="E2288" i="2"/>
  <c r="F2288" i="2"/>
  <c r="I2288" i="2"/>
  <c r="J2288" i="2"/>
  <c r="E2289" i="2"/>
  <c r="I2289" i="2"/>
  <c r="J2289" i="2"/>
  <c r="E2290" i="2"/>
  <c r="F2290" i="2"/>
  <c r="I2290" i="2"/>
  <c r="J2290" i="2"/>
  <c r="E2291" i="2"/>
  <c r="F2291" i="2"/>
  <c r="I2291" i="2"/>
  <c r="J2291" i="2"/>
  <c r="E2292" i="2"/>
  <c r="F2292" i="2"/>
  <c r="I2292" i="2"/>
  <c r="J2292" i="2"/>
  <c r="E2293" i="2"/>
  <c r="F2293" i="2"/>
  <c r="I2293" i="2"/>
  <c r="J2293" i="2"/>
  <c r="E2294" i="2"/>
  <c r="F2294" i="2"/>
  <c r="I2294" i="2"/>
  <c r="J2294" i="2"/>
  <c r="E2295" i="2"/>
  <c r="F2295" i="2"/>
  <c r="I2295" i="2"/>
  <c r="J2295" i="2"/>
  <c r="E2296" i="2"/>
  <c r="I2296" i="2"/>
  <c r="J2296" i="2"/>
  <c r="E2297" i="2"/>
  <c r="F2297" i="2"/>
  <c r="I2297" i="2"/>
  <c r="E2298" i="2"/>
  <c r="F2298" i="2"/>
  <c r="I2298" i="2"/>
  <c r="J2298" i="2"/>
  <c r="E2299" i="2"/>
  <c r="I2299" i="2"/>
  <c r="E2300" i="2"/>
  <c r="I2300" i="2"/>
  <c r="J2300" i="2"/>
  <c r="E2301" i="2"/>
  <c r="I2301" i="2"/>
  <c r="J2301" i="2"/>
  <c r="E2302" i="2"/>
  <c r="F2302" i="2"/>
  <c r="I2302" i="2"/>
  <c r="J2302" i="2"/>
  <c r="E2303" i="2"/>
  <c r="F2303" i="2"/>
  <c r="I2303" i="2"/>
  <c r="J2303" i="2"/>
  <c r="E2304" i="2"/>
  <c r="I2304" i="2"/>
  <c r="J2304" i="2"/>
  <c r="E2305" i="2"/>
  <c r="I2305" i="2"/>
  <c r="E2306" i="2"/>
  <c r="F2306" i="2"/>
  <c r="I2306" i="2"/>
  <c r="J2306" i="2"/>
  <c r="E2307" i="2"/>
  <c r="I2307" i="2"/>
  <c r="E2308" i="2"/>
  <c r="I2308" i="2"/>
  <c r="J2308" i="2"/>
  <c r="E2309" i="2"/>
  <c r="I2309" i="2"/>
  <c r="J2309" i="2"/>
  <c r="E2310" i="2"/>
  <c r="F2310" i="2"/>
  <c r="I2310" i="2"/>
  <c r="J2310" i="2"/>
  <c r="E2311" i="2"/>
  <c r="F2311" i="2"/>
  <c r="I2311" i="2"/>
  <c r="E2312" i="2"/>
  <c r="F2312" i="2"/>
  <c r="I2312" i="2"/>
  <c r="E2313" i="2"/>
  <c r="I2313" i="2"/>
  <c r="E2314" i="2"/>
  <c r="I2314" i="2"/>
  <c r="E2315" i="2"/>
  <c r="F2315" i="2"/>
  <c r="I2315" i="2"/>
  <c r="E2316" i="2"/>
  <c r="F2316" i="2"/>
  <c r="I2316" i="2"/>
  <c r="E2317" i="2"/>
  <c r="I2317" i="2"/>
  <c r="E2318" i="2"/>
  <c r="F2318" i="2"/>
  <c r="I2318" i="2"/>
  <c r="J2318" i="2"/>
  <c r="E2319" i="2"/>
  <c r="I2319" i="2"/>
  <c r="E2320" i="2"/>
  <c r="I2320" i="2"/>
  <c r="E2321" i="2"/>
  <c r="I2321" i="2"/>
  <c r="J2321" i="2"/>
  <c r="E2322" i="2"/>
  <c r="F2322" i="2"/>
  <c r="I2322" i="2"/>
  <c r="E2323" i="2"/>
  <c r="F2323" i="2"/>
  <c r="I2323" i="2"/>
  <c r="E2324" i="2"/>
  <c r="F2324" i="2"/>
  <c r="I2324" i="2"/>
  <c r="E2325" i="2"/>
  <c r="F2325" i="2"/>
  <c r="I2325" i="2"/>
  <c r="E2326" i="2"/>
  <c r="F2326" i="2"/>
  <c r="I2326" i="2"/>
  <c r="E2327" i="2"/>
  <c r="I2327" i="2"/>
  <c r="E2328" i="2"/>
  <c r="F2328" i="2"/>
  <c r="I2328" i="2"/>
  <c r="J2328" i="2"/>
  <c r="E2329" i="2"/>
  <c r="F2329" i="2"/>
  <c r="I2329" i="2"/>
  <c r="J2329" i="2"/>
  <c r="E2330" i="2"/>
  <c r="F2330" i="2"/>
  <c r="I2330" i="2"/>
  <c r="J2330" i="2"/>
  <c r="E2331" i="2"/>
  <c r="F2331" i="2"/>
  <c r="I2331" i="2"/>
  <c r="J2331" i="2"/>
  <c r="E2332" i="2"/>
  <c r="F2332" i="2"/>
  <c r="I2332" i="2"/>
  <c r="J2332" i="2"/>
  <c r="E2333" i="2"/>
  <c r="F2333" i="2"/>
  <c r="I2333" i="2"/>
  <c r="J2333" i="2"/>
  <c r="E2334" i="2"/>
  <c r="F2334" i="2"/>
  <c r="I2334" i="2"/>
  <c r="J2334" i="2"/>
  <c r="E2335" i="2"/>
  <c r="I2335" i="2"/>
  <c r="J2335" i="2"/>
  <c r="E2336" i="2"/>
  <c r="F2336" i="2"/>
  <c r="I2336" i="2"/>
  <c r="E2337" i="2"/>
  <c r="I2337" i="2"/>
  <c r="J2337" i="2"/>
  <c r="E2338" i="2"/>
  <c r="I2338" i="2"/>
  <c r="J2338" i="2"/>
  <c r="E2339" i="2"/>
  <c r="F2339" i="2"/>
  <c r="I2339" i="2"/>
  <c r="J2339" i="2"/>
  <c r="E2340" i="2"/>
  <c r="F2340" i="2"/>
  <c r="I2340" i="2"/>
  <c r="J2340" i="2"/>
  <c r="E2341" i="2"/>
  <c r="F2341" i="2"/>
  <c r="I2341" i="2"/>
  <c r="J2341" i="2"/>
  <c r="E2342" i="2"/>
  <c r="F2342" i="2"/>
  <c r="I2342" i="2"/>
  <c r="J2342" i="2"/>
  <c r="E2343" i="2"/>
  <c r="I2343" i="2"/>
  <c r="J2343" i="2"/>
  <c r="E2344" i="2"/>
  <c r="F2344" i="2"/>
  <c r="I2344" i="2"/>
  <c r="J2344" i="2"/>
  <c r="E2345" i="2"/>
  <c r="F2345" i="2"/>
  <c r="I2345" i="2"/>
  <c r="J2345" i="2"/>
  <c r="E2346" i="2"/>
  <c r="F2346" i="2"/>
  <c r="I2346" i="2"/>
  <c r="J2346" i="2"/>
  <c r="E2347" i="2"/>
  <c r="F2347" i="2"/>
  <c r="I2347" i="2"/>
  <c r="J2347" i="2"/>
  <c r="E2348" i="2"/>
  <c r="F2348" i="2"/>
  <c r="I2348" i="2"/>
  <c r="E2349" i="2"/>
  <c r="F2349" i="2"/>
  <c r="I2349" i="2"/>
  <c r="J2349" i="2"/>
  <c r="E2350" i="2"/>
  <c r="F2350" i="2"/>
  <c r="I2350" i="2"/>
  <c r="J2350" i="2"/>
  <c r="E2351" i="2"/>
  <c r="F2351" i="2"/>
  <c r="I2351" i="2"/>
  <c r="J2351" i="2"/>
  <c r="E2352" i="2"/>
  <c r="F2352" i="2"/>
  <c r="I2352" i="2"/>
  <c r="J2352" i="2"/>
  <c r="E2353" i="2"/>
  <c r="F2353" i="2"/>
  <c r="I2353" i="2"/>
  <c r="J2353" i="2"/>
  <c r="E2354" i="2"/>
  <c r="I2354" i="2"/>
  <c r="J2354" i="2"/>
  <c r="E2355" i="2"/>
  <c r="F2355" i="2"/>
  <c r="I2355" i="2"/>
  <c r="J2355" i="2"/>
  <c r="E2356" i="2"/>
  <c r="F2356" i="2"/>
  <c r="I2356" i="2"/>
  <c r="J2356" i="2"/>
  <c r="E2357" i="2"/>
  <c r="I2357" i="2"/>
  <c r="J2357" i="2"/>
  <c r="E2358" i="2"/>
  <c r="F2358" i="2"/>
  <c r="I2358" i="2"/>
  <c r="J2358" i="2"/>
  <c r="E2359" i="2"/>
  <c r="I2359" i="2"/>
  <c r="J2359" i="2"/>
  <c r="E2360" i="2"/>
  <c r="I2360" i="2"/>
  <c r="J2360" i="2"/>
  <c r="E2361" i="2"/>
  <c r="I2361" i="2"/>
  <c r="J2361" i="2"/>
  <c r="E2362" i="2"/>
  <c r="I2362" i="2"/>
  <c r="J2362" i="2"/>
  <c r="E2363" i="2"/>
  <c r="F2363" i="2"/>
  <c r="I2363" i="2"/>
  <c r="J2363" i="2"/>
  <c r="E2364" i="2"/>
  <c r="I2364" i="2"/>
  <c r="J2364" i="2"/>
  <c r="E2365" i="2"/>
  <c r="F2365" i="2"/>
  <c r="I2365" i="2"/>
  <c r="E2366" i="2"/>
  <c r="F2366" i="2"/>
  <c r="I2366" i="2"/>
  <c r="E2367" i="2"/>
  <c r="F2367" i="2"/>
  <c r="I2367" i="2"/>
  <c r="E2368" i="2"/>
  <c r="F2368" i="2"/>
  <c r="I2368" i="2"/>
  <c r="E2369" i="2"/>
  <c r="F2369" i="2"/>
  <c r="I2369" i="2"/>
  <c r="E2370" i="2"/>
  <c r="F2370" i="2"/>
  <c r="I2370" i="2"/>
  <c r="J2370" i="2"/>
  <c r="E2371" i="2"/>
  <c r="F2371" i="2"/>
  <c r="I2371" i="2"/>
  <c r="E2372" i="2"/>
  <c r="I2372" i="2"/>
  <c r="J2372" i="2"/>
  <c r="E2373" i="2"/>
  <c r="I2373" i="2"/>
  <c r="J2373" i="2"/>
  <c r="E2374" i="2"/>
  <c r="I2374" i="2"/>
  <c r="E2375" i="2"/>
  <c r="F2375" i="2"/>
  <c r="I2375" i="2"/>
  <c r="J2375" i="2"/>
  <c r="E2376" i="2"/>
  <c r="F2376" i="2"/>
  <c r="I2376" i="2"/>
  <c r="E2377" i="2"/>
  <c r="I2377" i="2"/>
  <c r="J2377" i="2"/>
  <c r="E2378" i="2"/>
  <c r="I2378" i="2"/>
  <c r="J2378" i="2"/>
  <c r="E2379" i="2"/>
  <c r="F2379" i="2"/>
  <c r="I2379" i="2"/>
  <c r="J2379" i="2"/>
  <c r="E2380" i="2"/>
  <c r="F2380" i="2"/>
  <c r="I2380" i="2"/>
  <c r="J2380" i="2"/>
  <c r="E2381" i="2"/>
  <c r="F2381" i="2"/>
  <c r="I2381" i="2"/>
  <c r="J2381" i="2"/>
  <c r="E2382" i="2"/>
  <c r="F2382" i="2"/>
  <c r="I2382" i="2"/>
  <c r="J2382" i="2"/>
  <c r="E2383" i="2"/>
  <c r="F2383" i="2"/>
  <c r="I2383" i="2"/>
  <c r="J2383" i="2"/>
  <c r="E2384" i="2"/>
  <c r="F2384" i="2"/>
  <c r="I2384" i="2"/>
  <c r="J2384" i="2"/>
  <c r="E2385" i="2"/>
  <c r="F2385" i="2"/>
  <c r="I2385" i="2"/>
  <c r="J2385" i="2"/>
  <c r="E2386" i="2"/>
  <c r="I2386" i="2"/>
  <c r="J2386" i="2"/>
  <c r="E2387" i="2"/>
  <c r="F2387" i="2"/>
  <c r="I2387" i="2"/>
  <c r="J2387" i="2"/>
  <c r="E2388" i="2"/>
  <c r="F2388" i="2"/>
  <c r="I2388" i="2"/>
  <c r="J2388" i="2"/>
  <c r="E2389" i="2"/>
  <c r="F2389" i="2"/>
  <c r="I2389" i="2"/>
  <c r="J2389" i="2"/>
  <c r="E2390" i="2"/>
  <c r="I2390" i="2"/>
  <c r="J2390" i="2"/>
  <c r="E2391" i="2"/>
  <c r="F2391" i="2"/>
  <c r="I2391" i="2"/>
  <c r="J2391" i="2"/>
  <c r="E2392" i="2"/>
  <c r="F2392" i="2"/>
  <c r="I2392" i="2"/>
  <c r="J2392" i="2"/>
  <c r="E2393" i="2"/>
  <c r="F2393" i="2"/>
  <c r="I2393" i="2"/>
  <c r="E2394" i="2"/>
  <c r="F2394" i="2"/>
  <c r="I2394" i="2"/>
  <c r="E2395" i="2"/>
  <c r="F2395" i="2"/>
  <c r="I2395" i="2"/>
  <c r="E2396" i="2"/>
  <c r="F2396" i="2"/>
  <c r="I2396" i="2"/>
  <c r="E2397" i="2"/>
  <c r="F2397" i="2"/>
  <c r="I2397" i="2"/>
  <c r="J2397" i="2"/>
  <c r="E2398" i="2"/>
  <c r="F2398" i="2"/>
  <c r="I2398" i="2"/>
  <c r="J2398" i="2"/>
  <c r="E2399" i="2"/>
  <c r="I2399" i="2"/>
  <c r="J2399" i="2"/>
  <c r="E2400" i="2"/>
  <c r="F2400" i="2"/>
  <c r="I2400" i="2"/>
  <c r="J2400" i="2"/>
  <c r="E2401" i="2"/>
  <c r="I2401" i="2"/>
  <c r="J2401" i="2"/>
  <c r="E2402" i="2"/>
  <c r="F2402" i="2"/>
  <c r="I2402" i="2"/>
  <c r="J2402" i="2"/>
  <c r="E2403" i="2"/>
  <c r="F2403" i="2"/>
  <c r="I2403" i="2"/>
  <c r="J2403" i="2"/>
  <c r="E2404" i="2"/>
  <c r="F2404" i="2"/>
  <c r="I2404" i="2"/>
  <c r="E2405" i="2"/>
  <c r="F2405" i="2"/>
  <c r="I2405" i="2"/>
  <c r="J2405" i="2"/>
  <c r="E2406" i="2"/>
  <c r="F2406" i="2"/>
  <c r="I2406" i="2"/>
  <c r="E2407" i="2"/>
  <c r="F2407" i="2"/>
  <c r="I2407" i="2"/>
  <c r="J2407" i="2"/>
  <c r="E2408" i="2"/>
  <c r="F2408" i="2"/>
  <c r="I2408" i="2"/>
  <c r="E2409" i="2"/>
  <c r="F2409" i="2"/>
  <c r="I2409" i="2"/>
  <c r="J2409" i="2"/>
  <c r="E2410" i="2"/>
  <c r="F2410" i="2"/>
  <c r="I2410" i="2"/>
  <c r="J2410" i="2"/>
  <c r="E2411" i="2"/>
  <c r="F2411" i="2"/>
  <c r="I2411" i="2"/>
  <c r="J2411" i="2"/>
  <c r="E2412" i="2"/>
  <c r="F2412" i="2"/>
  <c r="I2412" i="2"/>
  <c r="J2412" i="2"/>
  <c r="E2413" i="2"/>
  <c r="I2413" i="2"/>
  <c r="J2413" i="2"/>
  <c r="E2414" i="2"/>
  <c r="I2414" i="2"/>
  <c r="J2414" i="2"/>
  <c r="E2415" i="2"/>
  <c r="F2415" i="2"/>
  <c r="I2415" i="2"/>
  <c r="J2415" i="2"/>
  <c r="E2416" i="2"/>
  <c r="I2416" i="2"/>
  <c r="E2417" i="2"/>
  <c r="I2417" i="2"/>
  <c r="J2417" i="2"/>
  <c r="E2418" i="2"/>
  <c r="I2418" i="2"/>
  <c r="E2419" i="2"/>
  <c r="I2419" i="2"/>
  <c r="E2420" i="2"/>
  <c r="I2420" i="2"/>
  <c r="E2421" i="2"/>
  <c r="F2421" i="2"/>
  <c r="I2421" i="2"/>
  <c r="J2421" i="2"/>
  <c r="E2422" i="2"/>
  <c r="F2422" i="2"/>
  <c r="I2422" i="2"/>
  <c r="J2422" i="2"/>
  <c r="E2423" i="2"/>
  <c r="I2423" i="2"/>
  <c r="E2424" i="2"/>
  <c r="I2424" i="2"/>
  <c r="J2424" i="2"/>
  <c r="E2425" i="2"/>
  <c r="F2425" i="2"/>
  <c r="I2425" i="2"/>
  <c r="E2426" i="2"/>
  <c r="F2426" i="2"/>
  <c r="I2426" i="2"/>
  <c r="J2426" i="2"/>
  <c r="E2427" i="2"/>
  <c r="F2427" i="2"/>
  <c r="I2427" i="2"/>
  <c r="E2428" i="2"/>
  <c r="F2428" i="2"/>
  <c r="I2428" i="2"/>
  <c r="E2429" i="2"/>
  <c r="F2429" i="2"/>
  <c r="I2429" i="2"/>
  <c r="E2430" i="2"/>
  <c r="F2430" i="2"/>
  <c r="I2430" i="2"/>
  <c r="J2430" i="2"/>
  <c r="E2431" i="2"/>
  <c r="F2431" i="2"/>
  <c r="I2431" i="2"/>
  <c r="J2431" i="2"/>
  <c r="E2432" i="2"/>
  <c r="F2432" i="2"/>
  <c r="I2432" i="2"/>
  <c r="J2432" i="2"/>
  <c r="E2433" i="2"/>
  <c r="F2433" i="2"/>
  <c r="I2433" i="2"/>
  <c r="J2433" i="2"/>
  <c r="E2434" i="2"/>
  <c r="F2434" i="2"/>
  <c r="I2434" i="2"/>
  <c r="J2434" i="2"/>
  <c r="E2435" i="2"/>
  <c r="F2435" i="2"/>
  <c r="I2435" i="2"/>
  <c r="J2435" i="2"/>
  <c r="E2436" i="2"/>
  <c r="F2436" i="2"/>
  <c r="I2436" i="2"/>
  <c r="J2436" i="2"/>
  <c r="E2437" i="2"/>
  <c r="F2437" i="2"/>
  <c r="I2437" i="2"/>
  <c r="J2437" i="2"/>
  <c r="E2438" i="2"/>
  <c r="F2438" i="2"/>
  <c r="I2438" i="2"/>
  <c r="J2438" i="2"/>
  <c r="E2439" i="2"/>
  <c r="F2439" i="2"/>
  <c r="I2439" i="2"/>
  <c r="J2439" i="2"/>
  <c r="E2440" i="2"/>
  <c r="F2440" i="2"/>
  <c r="I2440" i="2"/>
  <c r="E2441" i="2"/>
  <c r="F2441" i="2"/>
  <c r="I2441" i="2"/>
  <c r="J2441" i="2"/>
  <c r="E2442" i="2"/>
  <c r="F2442" i="2"/>
  <c r="I2442" i="2"/>
  <c r="J2442" i="2"/>
  <c r="E2443" i="2"/>
  <c r="I2443" i="2"/>
  <c r="J2443" i="2"/>
  <c r="E2444" i="2"/>
  <c r="F2444" i="2"/>
  <c r="I2444" i="2"/>
  <c r="J2444" i="2"/>
  <c r="E2445" i="2"/>
  <c r="F2445" i="2"/>
  <c r="I2445" i="2"/>
  <c r="J2445" i="2"/>
  <c r="E2446" i="2"/>
  <c r="I2446" i="2"/>
  <c r="J2446" i="2"/>
  <c r="E2447" i="2"/>
  <c r="I2447" i="2"/>
  <c r="E2448" i="2"/>
  <c r="F2448" i="2"/>
  <c r="I2448" i="2"/>
  <c r="E2449" i="2"/>
  <c r="F2449" i="2"/>
  <c r="I2449" i="2"/>
  <c r="E2450" i="2"/>
  <c r="F2450" i="2"/>
  <c r="I2450" i="2"/>
  <c r="J2450" i="2"/>
  <c r="E2451" i="2"/>
  <c r="F2451" i="2"/>
  <c r="I2451" i="2"/>
  <c r="J2451" i="2"/>
  <c r="E2452" i="2"/>
  <c r="F2452" i="2"/>
  <c r="I2452" i="2"/>
  <c r="J2452" i="2"/>
  <c r="E2453" i="2"/>
  <c r="F2453" i="2"/>
  <c r="I2453" i="2"/>
  <c r="J2453" i="2"/>
  <c r="E2454" i="2"/>
  <c r="F2454" i="2"/>
  <c r="I2454" i="2"/>
  <c r="J2454" i="2"/>
  <c r="E2455" i="2"/>
  <c r="I2455" i="2"/>
  <c r="E2456" i="2"/>
  <c r="I2456" i="2"/>
  <c r="J2456" i="2"/>
  <c r="E2457" i="2"/>
  <c r="I2457" i="2"/>
  <c r="J2457" i="2"/>
  <c r="E2458" i="2"/>
  <c r="F2458" i="2"/>
  <c r="I2458" i="2"/>
  <c r="E2459" i="2"/>
  <c r="F2459" i="2"/>
  <c r="I2459" i="2"/>
  <c r="J2459" i="2"/>
  <c r="E2460" i="2"/>
  <c r="F2460" i="2"/>
  <c r="I2460" i="2"/>
  <c r="E2461" i="2"/>
  <c r="F2461" i="2"/>
  <c r="I2461" i="2"/>
  <c r="E2462" i="2"/>
  <c r="I2462" i="2"/>
  <c r="J2462" i="2"/>
  <c r="E2463" i="2"/>
  <c r="F2463" i="2"/>
  <c r="I2463" i="2"/>
  <c r="E2464" i="2"/>
  <c r="F2464" i="2"/>
  <c r="I2464" i="2"/>
  <c r="J2464" i="2"/>
  <c r="E2465" i="2"/>
  <c r="F2465" i="2"/>
  <c r="I2465" i="2"/>
  <c r="J2465" i="2"/>
  <c r="E2466" i="2"/>
  <c r="F2466" i="2"/>
  <c r="I2466" i="2"/>
  <c r="E2467" i="2"/>
  <c r="I2467" i="2"/>
  <c r="E2468" i="2"/>
  <c r="F2468" i="2"/>
  <c r="I2468" i="2"/>
  <c r="J2468" i="2"/>
  <c r="E2469" i="2"/>
  <c r="I2469" i="2"/>
  <c r="J2469" i="2"/>
  <c r="E2470" i="2"/>
  <c r="F2470" i="2"/>
  <c r="I2470" i="2"/>
  <c r="J2470" i="2"/>
  <c r="E2471" i="2"/>
  <c r="F2471" i="2"/>
  <c r="I2471" i="2"/>
  <c r="E2472" i="2"/>
  <c r="F2472" i="2"/>
  <c r="I2472" i="2"/>
  <c r="E2473" i="2"/>
  <c r="I2473" i="2"/>
  <c r="E2474" i="2"/>
  <c r="I2474" i="2"/>
  <c r="E2475" i="2"/>
  <c r="F2475" i="2"/>
  <c r="I2475" i="2"/>
  <c r="E2476" i="2"/>
  <c r="I2476" i="2"/>
  <c r="J2476" i="2"/>
  <c r="E2477" i="2"/>
  <c r="F2477" i="2"/>
  <c r="I2477" i="2"/>
  <c r="J2477" i="2"/>
  <c r="E2478" i="2"/>
  <c r="I2478" i="2"/>
  <c r="J2478" i="2"/>
  <c r="E2479" i="2"/>
  <c r="I2479" i="2"/>
  <c r="J2479" i="2"/>
  <c r="E2480" i="2"/>
  <c r="F2480" i="2"/>
  <c r="I2480" i="2"/>
  <c r="J2480" i="2"/>
  <c r="E2481" i="2"/>
  <c r="I2481" i="2"/>
  <c r="E2482" i="2"/>
  <c r="F2482" i="2"/>
  <c r="I2482" i="2"/>
  <c r="J2482" i="2"/>
  <c r="E2483" i="2"/>
  <c r="F2483" i="2"/>
  <c r="I2483" i="2"/>
  <c r="J2483" i="2"/>
  <c r="E2484" i="2"/>
  <c r="F2484" i="2"/>
  <c r="I2484" i="2"/>
  <c r="J2484" i="2"/>
  <c r="E2485" i="2"/>
  <c r="F2485" i="2"/>
  <c r="I2485" i="2"/>
  <c r="E2486" i="2"/>
  <c r="I2486" i="2"/>
  <c r="E2487" i="2"/>
  <c r="F2487" i="2"/>
  <c r="I2487" i="2"/>
  <c r="E2488" i="2"/>
  <c r="F2488" i="2"/>
  <c r="I2488" i="2"/>
  <c r="E2489" i="2"/>
  <c r="F2489" i="2"/>
  <c r="I2489" i="2"/>
  <c r="E2490" i="2"/>
  <c r="F2490" i="2"/>
  <c r="I2490" i="2"/>
  <c r="E2491" i="2"/>
  <c r="F2491" i="2"/>
  <c r="I2491" i="2"/>
  <c r="E2492" i="2"/>
  <c r="F2492" i="2"/>
  <c r="I2492" i="2"/>
  <c r="E2493" i="2"/>
  <c r="F2493" i="2"/>
  <c r="I2493" i="2"/>
  <c r="E2494" i="2"/>
  <c r="F2494" i="2"/>
  <c r="I2494" i="2"/>
  <c r="E2495" i="2"/>
  <c r="F2495" i="2"/>
  <c r="I2495" i="2"/>
  <c r="E2496" i="2"/>
  <c r="F2496" i="2"/>
  <c r="I2496" i="2"/>
  <c r="E2497" i="2"/>
  <c r="F2497" i="2"/>
  <c r="I2497" i="2"/>
  <c r="E2498" i="2"/>
  <c r="F2498" i="2"/>
  <c r="I2498" i="2"/>
  <c r="E2499" i="2"/>
  <c r="F2499" i="2"/>
  <c r="I2499" i="2"/>
  <c r="E2500" i="2"/>
  <c r="F2500" i="2"/>
  <c r="I2500" i="2"/>
  <c r="E2501" i="2"/>
  <c r="F2501" i="2"/>
  <c r="I2501" i="2"/>
  <c r="E2502" i="2"/>
  <c r="F2502" i="2"/>
  <c r="I2502" i="2"/>
  <c r="E2503" i="2"/>
  <c r="F2503" i="2"/>
  <c r="I2503" i="2"/>
  <c r="E2504" i="2"/>
  <c r="F2504" i="2"/>
  <c r="I2504" i="2"/>
  <c r="E2505" i="2"/>
  <c r="F2505" i="2"/>
  <c r="I2505" i="2"/>
  <c r="E2506" i="2"/>
  <c r="I2506" i="2"/>
  <c r="J2506" i="2"/>
  <c r="E2507" i="2"/>
  <c r="I2507" i="2"/>
  <c r="J2507" i="2"/>
  <c r="E2508" i="2"/>
  <c r="F2508" i="2"/>
  <c r="I2508" i="2"/>
  <c r="E2509" i="2"/>
  <c r="I2509" i="2"/>
  <c r="J2509" i="2"/>
  <c r="E2510" i="2"/>
  <c r="I2510" i="2"/>
  <c r="E2511" i="2"/>
  <c r="F2511" i="2"/>
  <c r="I2511" i="2"/>
  <c r="J2511" i="2"/>
  <c r="E2512" i="2"/>
  <c r="F2512" i="2"/>
  <c r="I2512" i="2"/>
  <c r="E2513" i="2"/>
  <c r="I2513" i="2"/>
  <c r="J2513" i="2"/>
  <c r="E2514" i="2"/>
  <c r="I2514" i="2"/>
  <c r="J2514" i="2"/>
  <c r="E2515" i="2"/>
  <c r="I2515" i="2"/>
  <c r="E2516" i="2"/>
  <c r="F2516" i="2"/>
  <c r="I2516" i="2"/>
  <c r="E2517" i="2"/>
  <c r="I2517" i="2"/>
  <c r="J2517" i="2"/>
  <c r="E2518" i="2"/>
  <c r="F2518" i="2"/>
  <c r="I2518" i="2"/>
  <c r="J2518" i="2"/>
  <c r="E2519" i="2"/>
  <c r="I2519" i="2"/>
  <c r="J2519" i="2"/>
  <c r="E2520" i="2"/>
  <c r="F2520" i="2"/>
  <c r="I2520" i="2"/>
  <c r="J2520" i="2"/>
  <c r="E2521" i="2"/>
  <c r="I2521" i="2"/>
  <c r="J2521" i="2"/>
  <c r="E2522" i="2"/>
  <c r="I2522" i="2"/>
  <c r="J2522" i="2"/>
  <c r="E2523" i="2"/>
  <c r="I2523" i="2"/>
  <c r="J2523" i="2"/>
  <c r="E2524" i="2"/>
  <c r="I2524" i="2"/>
  <c r="J2524" i="2"/>
  <c r="E2525" i="2"/>
  <c r="I2525" i="2"/>
  <c r="J2525" i="2"/>
  <c r="E2526" i="2"/>
  <c r="I2526" i="2"/>
  <c r="J2526" i="2"/>
  <c r="E2527" i="2"/>
  <c r="F2527" i="2"/>
  <c r="I2527" i="2"/>
  <c r="J2527" i="2"/>
  <c r="E2528" i="2"/>
  <c r="I2528" i="2"/>
  <c r="J2528" i="2"/>
  <c r="E2529" i="2"/>
  <c r="I2529" i="2"/>
  <c r="J2529" i="2"/>
  <c r="E2530" i="2"/>
  <c r="I2530" i="2"/>
  <c r="J2530" i="2"/>
  <c r="E2531" i="2"/>
  <c r="F2531" i="2"/>
  <c r="I2531" i="2"/>
  <c r="J2531" i="2"/>
  <c r="E2532" i="2"/>
  <c r="F2532" i="2"/>
  <c r="I2532" i="2"/>
  <c r="J2532" i="2"/>
  <c r="E2533" i="2"/>
  <c r="F2533" i="2"/>
  <c r="I2533" i="2"/>
  <c r="J2533" i="2"/>
  <c r="E2534" i="2"/>
  <c r="I2534" i="2"/>
  <c r="E2535" i="2"/>
  <c r="I2535" i="2"/>
  <c r="J2535" i="2"/>
  <c r="E2536" i="2"/>
  <c r="F2536" i="2"/>
  <c r="I2536" i="2"/>
  <c r="E2537" i="2"/>
  <c r="F2537" i="2"/>
  <c r="I2537" i="2"/>
  <c r="E2538" i="2"/>
  <c r="I2538" i="2"/>
  <c r="J2538" i="2"/>
  <c r="E2539" i="2"/>
  <c r="I2539" i="2"/>
  <c r="J2539" i="2"/>
  <c r="E2540" i="2"/>
  <c r="F2540" i="2"/>
  <c r="I2540" i="2"/>
  <c r="J2540" i="2"/>
  <c r="E2541" i="2"/>
  <c r="F2541" i="2"/>
  <c r="I2541" i="2"/>
  <c r="J2541" i="2"/>
  <c r="E2542" i="2"/>
  <c r="I2542" i="2"/>
  <c r="J2542" i="2"/>
  <c r="E2543" i="2"/>
  <c r="I2543" i="2"/>
  <c r="J2543" i="2"/>
  <c r="E2544" i="2"/>
  <c r="I2544" i="2"/>
  <c r="J2544" i="2"/>
  <c r="E2545" i="2"/>
  <c r="F2545" i="2"/>
  <c r="I2545" i="2"/>
  <c r="J2545" i="2"/>
  <c r="E2546" i="2"/>
  <c r="F2546" i="2"/>
  <c r="I2546" i="2"/>
  <c r="J2546" i="2"/>
  <c r="E2547" i="2"/>
  <c r="I2547" i="2"/>
  <c r="J2547" i="2"/>
  <c r="E2548" i="2"/>
  <c r="I2548" i="2"/>
  <c r="J2548" i="2"/>
  <c r="E2549" i="2"/>
  <c r="I2549" i="2"/>
  <c r="J2549" i="2"/>
  <c r="E2550" i="2"/>
  <c r="F2550" i="2"/>
  <c r="I2550" i="2"/>
  <c r="J2550" i="2"/>
  <c r="E2551" i="2"/>
  <c r="F2551" i="2"/>
  <c r="I2551" i="2"/>
  <c r="E2552" i="2"/>
  <c r="F2552" i="2"/>
  <c r="I2552" i="2"/>
  <c r="E2553" i="2"/>
  <c r="I2553" i="2"/>
  <c r="J2553" i="2"/>
  <c r="E2554" i="2"/>
  <c r="I2554" i="2"/>
  <c r="J2554" i="2"/>
  <c r="E2555" i="2"/>
  <c r="F2555" i="2"/>
  <c r="I2555" i="2"/>
  <c r="J2555" i="2"/>
  <c r="E2556" i="2"/>
  <c r="F2556" i="2"/>
  <c r="I2556" i="2"/>
  <c r="J2556" i="2"/>
  <c r="E2557" i="2"/>
  <c r="I2557" i="2"/>
  <c r="J2557" i="2"/>
  <c r="E2558" i="2"/>
  <c r="F2558" i="2"/>
  <c r="I2558" i="2"/>
  <c r="E2559" i="2"/>
  <c r="I2559" i="2"/>
  <c r="J2559" i="2"/>
  <c r="E2560" i="2"/>
  <c r="I2560" i="2"/>
  <c r="J2560" i="2"/>
  <c r="E2561" i="2"/>
  <c r="F2561" i="2"/>
  <c r="I2561" i="2"/>
  <c r="E2562" i="2"/>
  <c r="F2562" i="2"/>
  <c r="I2562" i="2"/>
  <c r="E2563" i="2"/>
  <c r="F2563" i="2"/>
  <c r="I2563" i="2"/>
  <c r="J2563" i="2"/>
  <c r="E2564" i="2"/>
  <c r="F2564" i="2"/>
  <c r="I2564" i="2"/>
  <c r="J2564" i="2"/>
  <c r="E2565" i="2"/>
  <c r="I2565" i="2"/>
  <c r="J2565" i="2"/>
  <c r="E2566" i="2"/>
  <c r="I2566" i="2"/>
  <c r="E2567" i="2"/>
  <c r="F2567" i="2"/>
  <c r="I2567" i="2"/>
  <c r="J2567" i="2"/>
  <c r="E2568" i="2"/>
  <c r="F2568" i="2"/>
  <c r="I2568" i="2"/>
  <c r="J2568" i="2"/>
  <c r="E2569" i="2"/>
  <c r="F2569" i="2"/>
  <c r="I2569" i="2"/>
  <c r="J2569" i="2"/>
  <c r="E2570" i="2"/>
  <c r="F2570" i="2"/>
  <c r="I2570" i="2"/>
  <c r="J2570" i="2"/>
  <c r="E2571" i="2"/>
  <c r="I2571" i="2"/>
  <c r="J2571" i="2"/>
  <c r="E2572" i="2"/>
  <c r="F2572" i="2"/>
  <c r="I2572" i="2"/>
  <c r="J2572" i="2"/>
  <c r="E2573" i="2"/>
  <c r="F2573" i="2"/>
  <c r="I2573" i="2"/>
  <c r="E2574" i="2"/>
  <c r="F2574" i="2"/>
  <c r="I2574" i="2"/>
  <c r="E2575" i="2"/>
  <c r="I2575" i="2"/>
  <c r="J2575" i="2"/>
  <c r="E2576" i="2"/>
  <c r="I2576" i="2"/>
  <c r="J2576" i="2"/>
  <c r="E2577" i="2"/>
  <c r="I2577" i="2"/>
  <c r="J2577" i="2"/>
  <c r="E2578" i="2"/>
  <c r="I2578" i="2"/>
  <c r="J2578" i="2"/>
  <c r="E2579" i="2"/>
  <c r="F2579" i="2"/>
  <c r="I2579" i="2"/>
  <c r="J2579" i="2"/>
  <c r="E2580" i="2"/>
  <c r="F2580" i="2"/>
  <c r="I2580" i="2"/>
  <c r="J2580" i="2"/>
  <c r="E2581" i="2"/>
  <c r="F2581" i="2"/>
  <c r="I2581" i="2"/>
  <c r="J2581" i="2"/>
  <c r="E2582" i="2"/>
  <c r="I2582" i="2"/>
  <c r="J2582" i="2"/>
  <c r="E2583" i="2"/>
  <c r="I2583" i="2"/>
  <c r="E2584" i="2"/>
  <c r="I2584" i="2"/>
  <c r="J2584" i="2"/>
  <c r="E2585" i="2"/>
  <c r="F2585" i="2"/>
  <c r="I2585" i="2"/>
  <c r="E2586" i="2"/>
  <c r="F2586" i="2"/>
  <c r="I2586" i="2"/>
  <c r="E2587" i="2"/>
  <c r="F2587" i="2"/>
  <c r="I2587" i="2"/>
  <c r="J2587" i="2"/>
  <c r="E2588" i="2"/>
  <c r="F2588" i="2"/>
  <c r="I2588" i="2"/>
  <c r="J2588" i="2"/>
  <c r="E2589" i="2"/>
  <c r="F2589" i="2"/>
  <c r="I2589" i="2"/>
  <c r="J2589" i="2"/>
  <c r="E2590" i="2"/>
  <c r="F2590" i="2"/>
  <c r="I2590" i="2"/>
  <c r="J2590" i="2"/>
  <c r="E2591" i="2"/>
  <c r="F2591" i="2"/>
  <c r="I2591" i="2"/>
  <c r="E2592" i="2"/>
  <c r="I2592" i="2"/>
  <c r="E2593" i="2"/>
  <c r="I2593" i="2"/>
  <c r="J2593" i="2"/>
  <c r="E2594" i="2"/>
  <c r="F2594" i="2"/>
  <c r="I2594" i="2"/>
  <c r="E2595" i="2"/>
  <c r="F2595" i="2"/>
  <c r="I2595" i="2"/>
  <c r="E2596" i="2"/>
  <c r="F2596" i="2"/>
  <c r="I2596" i="2"/>
  <c r="J2596" i="2"/>
  <c r="E2597" i="2"/>
  <c r="I2597" i="2"/>
  <c r="E2598" i="2"/>
  <c r="F2598" i="2"/>
  <c r="I2598" i="2"/>
  <c r="J2598" i="2"/>
  <c r="E2599" i="2"/>
  <c r="F2599" i="2"/>
  <c r="I2599" i="2"/>
  <c r="E2600" i="2"/>
  <c r="I2600" i="2"/>
  <c r="J2600" i="2"/>
  <c r="E2601" i="2"/>
  <c r="F2601" i="2"/>
  <c r="I2601" i="2"/>
  <c r="E2602" i="2"/>
  <c r="I2602" i="2"/>
  <c r="J2602" i="2"/>
  <c r="E2603" i="2"/>
  <c r="F2603" i="2"/>
  <c r="I2603" i="2"/>
  <c r="J2603" i="2"/>
  <c r="E2604" i="2"/>
  <c r="F2604" i="2"/>
  <c r="I2604" i="2"/>
  <c r="J2604" i="2"/>
  <c r="E2605" i="2"/>
  <c r="I2605" i="2"/>
  <c r="J2605" i="2"/>
  <c r="E2606" i="2"/>
  <c r="I2606" i="2"/>
  <c r="J2606" i="2"/>
  <c r="E2607" i="2"/>
  <c r="F2607" i="2"/>
  <c r="I2607" i="2"/>
  <c r="E2608" i="2"/>
  <c r="I2608" i="2"/>
  <c r="J2608" i="2"/>
  <c r="E2609" i="2"/>
  <c r="F2609" i="2"/>
  <c r="I2609" i="2"/>
  <c r="J2609" i="2"/>
  <c r="E2610" i="2"/>
  <c r="I2610" i="2"/>
  <c r="J2610" i="2"/>
  <c r="E2611" i="2"/>
  <c r="F2611" i="2"/>
  <c r="I2611" i="2"/>
  <c r="J2611" i="2"/>
  <c r="E2612" i="2"/>
  <c r="F2612" i="2"/>
  <c r="I2612" i="2"/>
  <c r="J2612" i="2"/>
  <c r="E2613" i="2"/>
  <c r="F2613" i="2"/>
  <c r="I2613" i="2"/>
  <c r="E2614" i="2"/>
  <c r="F2614" i="2"/>
  <c r="I2614" i="2"/>
  <c r="E2615" i="2"/>
  <c r="I2615" i="2"/>
  <c r="J2615" i="2"/>
  <c r="E2616" i="2"/>
  <c r="F2616" i="2"/>
  <c r="I2616" i="2"/>
  <c r="E2617" i="2"/>
  <c r="F2617" i="2"/>
  <c r="I2617" i="2"/>
  <c r="E2618" i="2"/>
  <c r="I2618" i="2"/>
  <c r="J2618" i="2"/>
  <c r="E2619" i="2"/>
  <c r="F2619" i="2"/>
  <c r="I2619" i="2"/>
  <c r="J2619" i="2"/>
  <c r="E2620" i="2"/>
  <c r="F2620" i="2"/>
  <c r="I2620" i="2"/>
  <c r="J2620" i="2"/>
  <c r="E2621" i="2"/>
  <c r="I2621" i="2"/>
  <c r="J2621" i="2"/>
  <c r="E2622" i="2"/>
  <c r="F2622" i="2"/>
  <c r="I2622" i="2"/>
  <c r="J2622" i="2"/>
  <c r="E2623" i="2"/>
  <c r="I2623" i="2"/>
  <c r="J2623" i="2"/>
  <c r="E2624" i="2"/>
  <c r="F2624" i="2"/>
  <c r="I2624" i="2"/>
  <c r="J2624" i="2"/>
  <c r="E2625" i="2"/>
  <c r="I2625" i="2"/>
  <c r="J2625" i="2"/>
  <c r="E2626" i="2"/>
  <c r="I2626" i="2"/>
  <c r="J2626" i="2"/>
  <c r="E2627" i="2"/>
  <c r="F2627" i="2"/>
  <c r="I2627" i="2"/>
  <c r="J2627" i="2"/>
  <c r="E2628" i="2"/>
  <c r="F2628" i="2"/>
  <c r="I2628" i="2"/>
  <c r="J2628" i="2"/>
  <c r="E2629" i="2"/>
  <c r="F2629" i="2"/>
  <c r="I2629" i="2"/>
  <c r="J2629" i="2"/>
  <c r="E2630" i="2"/>
  <c r="F2630" i="2"/>
  <c r="I2630" i="2"/>
  <c r="E2631" i="2"/>
  <c r="F2631" i="2"/>
  <c r="I2631" i="2"/>
  <c r="E2632" i="2"/>
  <c r="F2632" i="2"/>
  <c r="I2632" i="2"/>
  <c r="J2632" i="2"/>
  <c r="E2633" i="2"/>
  <c r="F2633" i="2"/>
  <c r="I2633" i="2"/>
  <c r="E2634" i="2"/>
  <c r="F2634" i="2"/>
  <c r="I2634" i="2"/>
  <c r="E2635" i="2"/>
  <c r="F2635" i="2"/>
  <c r="I2635" i="2"/>
  <c r="E2636" i="2"/>
  <c r="F2636" i="2"/>
  <c r="I2636" i="2"/>
  <c r="E2637" i="2"/>
  <c r="F2637" i="2"/>
  <c r="I2637" i="2"/>
  <c r="E2638" i="2"/>
  <c r="F2638" i="2"/>
  <c r="I2638" i="2"/>
  <c r="E2639" i="2"/>
  <c r="F2639" i="2"/>
  <c r="I2639" i="2"/>
  <c r="E2640" i="2"/>
  <c r="F2640" i="2"/>
  <c r="I2640" i="2"/>
  <c r="E2641" i="2"/>
  <c r="F2641" i="2"/>
  <c r="I2641" i="2"/>
  <c r="E2642" i="2"/>
  <c r="F2642" i="2"/>
  <c r="I2642" i="2"/>
  <c r="E2643" i="2"/>
  <c r="F2643" i="2"/>
  <c r="I2643" i="2"/>
  <c r="J2643" i="2"/>
  <c r="E2644" i="2"/>
  <c r="F2644" i="2"/>
  <c r="I2644" i="2"/>
  <c r="E2645" i="2"/>
  <c r="F2645" i="2"/>
  <c r="I2645" i="2"/>
  <c r="E2646" i="2"/>
  <c r="F2646" i="2"/>
  <c r="I2646" i="2"/>
  <c r="E2647" i="2"/>
  <c r="F2647" i="2"/>
  <c r="I2647" i="2"/>
  <c r="E2648" i="2"/>
  <c r="F2648" i="2"/>
  <c r="I2648" i="2"/>
  <c r="E2649" i="2"/>
  <c r="F2649" i="2"/>
  <c r="I2649" i="2"/>
  <c r="E2650" i="2"/>
  <c r="F2650" i="2"/>
  <c r="I2650" i="2"/>
  <c r="E2651" i="2"/>
  <c r="I2651" i="2"/>
  <c r="J2651" i="2"/>
  <c r="E2652" i="2"/>
  <c r="I2652" i="2"/>
  <c r="E2653" i="2"/>
  <c r="I2653" i="2"/>
  <c r="E2654" i="2"/>
  <c r="F2654" i="2"/>
  <c r="I2654" i="2"/>
  <c r="E2655" i="2"/>
  <c r="F2655" i="2"/>
  <c r="I2655" i="2"/>
  <c r="E2656" i="2"/>
  <c r="I2656" i="2"/>
  <c r="E2657" i="2"/>
  <c r="F2657" i="2"/>
  <c r="I2657" i="2"/>
  <c r="E2658" i="2"/>
  <c r="I2658" i="2"/>
  <c r="J2658" i="2"/>
  <c r="E2659" i="2"/>
  <c r="I2659" i="2"/>
  <c r="J2659" i="2"/>
  <c r="E2660" i="2"/>
  <c r="I2660" i="2"/>
  <c r="J2660" i="2"/>
  <c r="E2661" i="2"/>
  <c r="F2661" i="2"/>
  <c r="I2661" i="2"/>
  <c r="J2661" i="2"/>
  <c r="E2662" i="2"/>
  <c r="F2662" i="2"/>
  <c r="I2662" i="2"/>
  <c r="J2662" i="2"/>
  <c r="E2663" i="2"/>
  <c r="F2663" i="2"/>
  <c r="I2663" i="2"/>
  <c r="J2663" i="2"/>
  <c r="E2664" i="2"/>
  <c r="F2664" i="2"/>
  <c r="I2664" i="2"/>
  <c r="E2665" i="2"/>
  <c r="I2665" i="2"/>
  <c r="J2665" i="2"/>
  <c r="E2666" i="2"/>
  <c r="F2666" i="2"/>
  <c r="I2666" i="2"/>
  <c r="J2666" i="2"/>
  <c r="E2667" i="2"/>
  <c r="F2667" i="2"/>
  <c r="I2667" i="2"/>
  <c r="J2667" i="2"/>
  <c r="E2668" i="2"/>
  <c r="F2668" i="2"/>
  <c r="I2668" i="2"/>
  <c r="J2668" i="2"/>
  <c r="E2669" i="2"/>
  <c r="F2669" i="2"/>
  <c r="I2669" i="2"/>
  <c r="E2670" i="2"/>
  <c r="F2670" i="2"/>
  <c r="I2670" i="2"/>
  <c r="J2670" i="2"/>
  <c r="E2671" i="2"/>
  <c r="F2671" i="2"/>
  <c r="I2671" i="2"/>
  <c r="J2671" i="2"/>
  <c r="E2672" i="2"/>
  <c r="F2672" i="2"/>
  <c r="I2672" i="2"/>
  <c r="J2672" i="2"/>
  <c r="E2673" i="2"/>
  <c r="I2673" i="2"/>
  <c r="J2673" i="2"/>
  <c r="E2674" i="2"/>
  <c r="F2674" i="2"/>
  <c r="I2674" i="2"/>
  <c r="E2675" i="2"/>
  <c r="F2675" i="2"/>
  <c r="I2675" i="2"/>
  <c r="J2675" i="2"/>
  <c r="E2676" i="2"/>
  <c r="F2676" i="2"/>
  <c r="I2676" i="2"/>
  <c r="J2676" i="2"/>
  <c r="E2677" i="2"/>
  <c r="F2677" i="2"/>
  <c r="I2677" i="2"/>
  <c r="J2677" i="2"/>
  <c r="E2678" i="2"/>
  <c r="I2678" i="2"/>
  <c r="J2678" i="2"/>
  <c r="E2679" i="2"/>
  <c r="F2679" i="2"/>
  <c r="I2679" i="2"/>
  <c r="E2680" i="2"/>
  <c r="F2680" i="2"/>
  <c r="I2680" i="2"/>
  <c r="J2680" i="2"/>
  <c r="E2681" i="2"/>
  <c r="F2681" i="2"/>
  <c r="I2681" i="2"/>
  <c r="E2682" i="2"/>
  <c r="I2682" i="2"/>
  <c r="J2682" i="2"/>
  <c r="E2683" i="2"/>
  <c r="F2683" i="2"/>
  <c r="I2683" i="2"/>
  <c r="E2684" i="2"/>
  <c r="F2684" i="2"/>
  <c r="I2684" i="2"/>
  <c r="E2685" i="2"/>
  <c r="F2685" i="2"/>
  <c r="I2685" i="2"/>
  <c r="E2686" i="2"/>
  <c r="F2686" i="2"/>
  <c r="I2686" i="2"/>
  <c r="E2687" i="2"/>
  <c r="I2687" i="2"/>
  <c r="J2687" i="2"/>
  <c r="E2688" i="2"/>
  <c r="I2688" i="2"/>
  <c r="J2688" i="2"/>
  <c r="E2689" i="2"/>
  <c r="F2689" i="2"/>
  <c r="I2689" i="2"/>
  <c r="E2690" i="2"/>
  <c r="I2690" i="2"/>
  <c r="J2690" i="2"/>
  <c r="E2691" i="2"/>
  <c r="I2691" i="2"/>
  <c r="J2691" i="2"/>
  <c r="E2692" i="2"/>
  <c r="I2692" i="2"/>
  <c r="J2692" i="2"/>
  <c r="E2693" i="2"/>
  <c r="F2693" i="2"/>
  <c r="I2693" i="2"/>
  <c r="J2693" i="2"/>
  <c r="E2694" i="2"/>
  <c r="I2694" i="2"/>
  <c r="J2694" i="2"/>
  <c r="E2695" i="2"/>
  <c r="I2695" i="2"/>
  <c r="E2696" i="2"/>
  <c r="I2696" i="2"/>
  <c r="J2696" i="2"/>
  <c r="E2697" i="2"/>
  <c r="I2697" i="2"/>
  <c r="J2697" i="2"/>
  <c r="E2698" i="2"/>
  <c r="I2698" i="2"/>
  <c r="J2698" i="2"/>
  <c r="E2699" i="2"/>
  <c r="F2699" i="2"/>
  <c r="I2699" i="2"/>
  <c r="J2699" i="2"/>
  <c r="E2700" i="2"/>
  <c r="F2700" i="2"/>
  <c r="I2700" i="2"/>
  <c r="J2700" i="2"/>
  <c r="E2701" i="2"/>
  <c r="F2701" i="2"/>
  <c r="I2701" i="2"/>
  <c r="J2701" i="2"/>
  <c r="E2702" i="2"/>
  <c r="F2702" i="2"/>
  <c r="I2702" i="2"/>
  <c r="J2702" i="2"/>
  <c r="E2703" i="2"/>
  <c r="F2703" i="2"/>
  <c r="I2703" i="2"/>
  <c r="J2703" i="2"/>
  <c r="E2704" i="2"/>
  <c r="I2704" i="2"/>
  <c r="J2704" i="2"/>
  <c r="E2705" i="2"/>
  <c r="I2705" i="2"/>
  <c r="J2705" i="2"/>
  <c r="E2706" i="2"/>
  <c r="I2706" i="2"/>
  <c r="J2706" i="2"/>
  <c r="E2707" i="2"/>
  <c r="I2707" i="2"/>
  <c r="J2707" i="2"/>
  <c r="E2708" i="2"/>
  <c r="I2708" i="2"/>
  <c r="J2708" i="2"/>
  <c r="E2709" i="2"/>
  <c r="F2709" i="2"/>
  <c r="I2709" i="2"/>
  <c r="E2710" i="2"/>
  <c r="F2710" i="2"/>
  <c r="I2710" i="2"/>
  <c r="J2710" i="2"/>
  <c r="E2711" i="2"/>
  <c r="F2711" i="2"/>
  <c r="I2711" i="2"/>
  <c r="J2711" i="2"/>
  <c r="E2712" i="2"/>
  <c r="F2712" i="2"/>
  <c r="I2712" i="2"/>
  <c r="J2712" i="2"/>
  <c r="E2713" i="2"/>
  <c r="F2713" i="2"/>
  <c r="I2713" i="2"/>
  <c r="J2713" i="2"/>
  <c r="E2714" i="2"/>
  <c r="F2714" i="2"/>
  <c r="I2714" i="2"/>
  <c r="J2714" i="2"/>
  <c r="E2715" i="2"/>
  <c r="F2715" i="2"/>
  <c r="I2715" i="2"/>
  <c r="J2715" i="2"/>
  <c r="E2716" i="2"/>
  <c r="I2716" i="2"/>
  <c r="J2716" i="2"/>
  <c r="E2717" i="2"/>
  <c r="F2717" i="2"/>
  <c r="I2717" i="2"/>
  <c r="J2717" i="2"/>
  <c r="E2718" i="2"/>
  <c r="F2718" i="2"/>
  <c r="I2718" i="2"/>
  <c r="J2718" i="2"/>
  <c r="E2719" i="2"/>
  <c r="F2719" i="2"/>
  <c r="I2719" i="2"/>
  <c r="J2719" i="2"/>
  <c r="E2720" i="2"/>
  <c r="I2720" i="2"/>
  <c r="J2720" i="2"/>
  <c r="E2721" i="2"/>
  <c r="F2721" i="2"/>
  <c r="I2721" i="2"/>
  <c r="J2721" i="2"/>
  <c r="E2722" i="2"/>
  <c r="I2722" i="2"/>
  <c r="J2722" i="2"/>
  <c r="E2723" i="2"/>
  <c r="I2723" i="2"/>
  <c r="J2723" i="2"/>
  <c r="E2724" i="2"/>
  <c r="F2724" i="2"/>
  <c r="I2724" i="2"/>
  <c r="J2724" i="2"/>
  <c r="E2725" i="2"/>
  <c r="F2725" i="2"/>
  <c r="I2725" i="2"/>
  <c r="J2725" i="2"/>
  <c r="E2726" i="2"/>
  <c r="F2726" i="2"/>
  <c r="I2726" i="2"/>
  <c r="J2726" i="2"/>
  <c r="E2727" i="2"/>
  <c r="F2727" i="2"/>
  <c r="I2727" i="2"/>
  <c r="E2728" i="2"/>
  <c r="F2728" i="2"/>
  <c r="I2728" i="2"/>
  <c r="E2729" i="2"/>
  <c r="F2729" i="2"/>
  <c r="I2729" i="2"/>
  <c r="J2729" i="2"/>
  <c r="E2730" i="2"/>
  <c r="F2730" i="2"/>
  <c r="I2730" i="2"/>
  <c r="E2731" i="2"/>
  <c r="F2731" i="2"/>
  <c r="I2731" i="2"/>
  <c r="E2732" i="2"/>
  <c r="F2732" i="2"/>
  <c r="I2732" i="2"/>
  <c r="E2733" i="2"/>
  <c r="F2733" i="2"/>
  <c r="I2733" i="2"/>
  <c r="E2734" i="2"/>
  <c r="F2734" i="2"/>
  <c r="I2734" i="2"/>
  <c r="E2735" i="2"/>
  <c r="F2735" i="2"/>
  <c r="I2735" i="2"/>
  <c r="J2735" i="2"/>
  <c r="E2736" i="2"/>
  <c r="F2736" i="2"/>
  <c r="I2736" i="2"/>
  <c r="J2736" i="2"/>
  <c r="E2737" i="2"/>
  <c r="I2737" i="2"/>
  <c r="J2737" i="2"/>
  <c r="E2738" i="2"/>
  <c r="F2738" i="2"/>
  <c r="I2738" i="2"/>
  <c r="E2739" i="2"/>
  <c r="I2739" i="2"/>
  <c r="J2739" i="2"/>
  <c r="E2740" i="2"/>
  <c r="F2740" i="2"/>
  <c r="I2740" i="2"/>
  <c r="E2741" i="2"/>
  <c r="F2741" i="2"/>
  <c r="I2741" i="2"/>
  <c r="E2742" i="2"/>
  <c r="F2742" i="2"/>
  <c r="I2742" i="2"/>
  <c r="E2743" i="2"/>
  <c r="F2743" i="2"/>
  <c r="I2743" i="2"/>
  <c r="E2744" i="2"/>
  <c r="F2744" i="2"/>
  <c r="I2744" i="2"/>
  <c r="J2744" i="2"/>
  <c r="E2745" i="2"/>
  <c r="F2745" i="2"/>
  <c r="I2745" i="2"/>
  <c r="E2746" i="2"/>
  <c r="F2746" i="2"/>
  <c r="I2746" i="2"/>
  <c r="E2747" i="2"/>
  <c r="F2747" i="2"/>
  <c r="I2747" i="2"/>
  <c r="J2747" i="2"/>
  <c r="E2748" i="2"/>
  <c r="F2748" i="2"/>
  <c r="I2748" i="2"/>
  <c r="J2748" i="2"/>
  <c r="E2749" i="2"/>
  <c r="F2749" i="2"/>
  <c r="I2749" i="2"/>
  <c r="E2750" i="2"/>
  <c r="F2750" i="2"/>
  <c r="I2750" i="2"/>
  <c r="E2751" i="2"/>
  <c r="F2751" i="2"/>
  <c r="I2751" i="2"/>
  <c r="E2752" i="2"/>
  <c r="F2752" i="2"/>
  <c r="I2752" i="2"/>
  <c r="E2753" i="2"/>
  <c r="F2753" i="2"/>
  <c r="I2753" i="2"/>
  <c r="E2754" i="2"/>
  <c r="F2754" i="2"/>
  <c r="I2754" i="2"/>
  <c r="E2755" i="2"/>
  <c r="F2755" i="2"/>
  <c r="I2755" i="2"/>
  <c r="E2756" i="2"/>
  <c r="F2756" i="2"/>
  <c r="I2756" i="2"/>
  <c r="J2756" i="2"/>
  <c r="E2757" i="2"/>
  <c r="F2757" i="2"/>
  <c r="I2757" i="2"/>
  <c r="E2758" i="2"/>
  <c r="F2758" i="2"/>
  <c r="I2758" i="2"/>
  <c r="E2759" i="2"/>
  <c r="F2759" i="2"/>
  <c r="I2759" i="2"/>
  <c r="E2760" i="2"/>
  <c r="F2760" i="2"/>
  <c r="I2760" i="2"/>
  <c r="E2761" i="2"/>
  <c r="F2761" i="2"/>
  <c r="I2761" i="2"/>
  <c r="E2762" i="2"/>
  <c r="F2762" i="2"/>
  <c r="I2762" i="2"/>
  <c r="E2763" i="2"/>
  <c r="F2763" i="2"/>
  <c r="I2763" i="2"/>
  <c r="E2764" i="2"/>
  <c r="F2764" i="2"/>
  <c r="I2764" i="2"/>
  <c r="E2765" i="2"/>
  <c r="F2765" i="2"/>
  <c r="I2765" i="2"/>
  <c r="E2766" i="2"/>
  <c r="I2766" i="2"/>
  <c r="J2766" i="2"/>
  <c r="E2767" i="2"/>
  <c r="I2767" i="2"/>
  <c r="J2767" i="2"/>
  <c r="E2768" i="2"/>
  <c r="F2768" i="2"/>
  <c r="I2768" i="2"/>
  <c r="E2769" i="2"/>
  <c r="F2769" i="2"/>
  <c r="I2769" i="2"/>
  <c r="E2770" i="2"/>
  <c r="F2770" i="2"/>
  <c r="I2770" i="2"/>
  <c r="E2771" i="2"/>
  <c r="F2771" i="2"/>
  <c r="I2771" i="2"/>
  <c r="E2772" i="2"/>
  <c r="F2772" i="2"/>
  <c r="I2772" i="2"/>
  <c r="E2773" i="2"/>
  <c r="F2773" i="2"/>
  <c r="I2773" i="2"/>
  <c r="E2774" i="2"/>
  <c r="F2774" i="2"/>
  <c r="I2774" i="2"/>
  <c r="E2775" i="2"/>
  <c r="I2775" i="2"/>
  <c r="J2775" i="2"/>
  <c r="E2776" i="2"/>
  <c r="I2776" i="2"/>
  <c r="J2776" i="2"/>
  <c r="E2777" i="2"/>
  <c r="F2777" i="2"/>
  <c r="I2777" i="2"/>
  <c r="J2777" i="2"/>
  <c r="E2778" i="2"/>
  <c r="F2778" i="2"/>
  <c r="I2778" i="2"/>
  <c r="E2779" i="2"/>
  <c r="F2779" i="2"/>
  <c r="I2779" i="2"/>
  <c r="E2780" i="2"/>
  <c r="F2780" i="2"/>
  <c r="I2780" i="2"/>
  <c r="E2781" i="2"/>
  <c r="F2781" i="2"/>
  <c r="I2781" i="2"/>
  <c r="E2782" i="2"/>
  <c r="F2782" i="2"/>
  <c r="I2782" i="2"/>
  <c r="E2783" i="2"/>
  <c r="I2783" i="2"/>
  <c r="J2783" i="2"/>
  <c r="E2784" i="2"/>
  <c r="F2784" i="2"/>
  <c r="I2784" i="2"/>
  <c r="J2784" i="2"/>
  <c r="E2785" i="2"/>
  <c r="F2785" i="2"/>
  <c r="I2785" i="2"/>
  <c r="J2785" i="2"/>
  <c r="E2786" i="2"/>
  <c r="F2786" i="2"/>
  <c r="I2786" i="2"/>
  <c r="J2786" i="2"/>
  <c r="E2787" i="2"/>
  <c r="I2787" i="2"/>
  <c r="J2787" i="2"/>
  <c r="E2788" i="2"/>
  <c r="I2788" i="2"/>
  <c r="J2788" i="2"/>
  <c r="E2789" i="2"/>
  <c r="I2789" i="2"/>
  <c r="J2789" i="2"/>
  <c r="E2790" i="2"/>
  <c r="F2790" i="2"/>
  <c r="I2790" i="2"/>
  <c r="E2791" i="2"/>
  <c r="F2791" i="2"/>
  <c r="I2791" i="2"/>
  <c r="E2792" i="2"/>
  <c r="I2792" i="2"/>
  <c r="J2792" i="2"/>
  <c r="E2793" i="2"/>
  <c r="I2793" i="2"/>
  <c r="J2793" i="2"/>
  <c r="E2794" i="2"/>
  <c r="I2794" i="2"/>
  <c r="J2794" i="2"/>
  <c r="E2795" i="2"/>
  <c r="I2795" i="2"/>
  <c r="J2795" i="2"/>
  <c r="E2796" i="2"/>
  <c r="F2796" i="2"/>
  <c r="I2796" i="2"/>
  <c r="J2796" i="2"/>
  <c r="E2797" i="2"/>
  <c r="F2797" i="2"/>
  <c r="I2797" i="2"/>
  <c r="J2797" i="2"/>
  <c r="E2798" i="2"/>
  <c r="I2798" i="2"/>
  <c r="J2798" i="2"/>
  <c r="E2799" i="2"/>
  <c r="F2799" i="2"/>
  <c r="I2799" i="2"/>
  <c r="J2799" i="2"/>
  <c r="E2800" i="2"/>
  <c r="I2800" i="2"/>
  <c r="E2801" i="2"/>
  <c r="F2801" i="2"/>
  <c r="I2801" i="2"/>
  <c r="J2801" i="2"/>
  <c r="E2802" i="2"/>
  <c r="F2802" i="2"/>
  <c r="I2802" i="2"/>
  <c r="J2802" i="2"/>
  <c r="E2803" i="2"/>
  <c r="F2803" i="2"/>
  <c r="I2803" i="2"/>
  <c r="J2803" i="2"/>
  <c r="E2804" i="2"/>
  <c r="I2804" i="2"/>
  <c r="E2805" i="2"/>
  <c r="I2805" i="2"/>
  <c r="J2805" i="2"/>
  <c r="E2806" i="2"/>
  <c r="F2806" i="2"/>
  <c r="I2806" i="2"/>
  <c r="E2807" i="2"/>
  <c r="F2807" i="2"/>
  <c r="I2807" i="2"/>
  <c r="E2808" i="2"/>
  <c r="I2808" i="2"/>
  <c r="J2808" i="2"/>
  <c r="E2809" i="2"/>
  <c r="I2809" i="2"/>
  <c r="E2810" i="2"/>
  <c r="I2810" i="2"/>
  <c r="J2810" i="2"/>
  <c r="E2811" i="2"/>
  <c r="I2811" i="2"/>
  <c r="J2811" i="2"/>
  <c r="E2812" i="2"/>
  <c r="F2812" i="2"/>
  <c r="I2812" i="2"/>
  <c r="J2812" i="2"/>
  <c r="E2813" i="2"/>
  <c r="F2813" i="2"/>
  <c r="I2813" i="2"/>
  <c r="J2813" i="2"/>
  <c r="E2814" i="2"/>
  <c r="F2814" i="2"/>
  <c r="I2814" i="2"/>
  <c r="E2815" i="2"/>
  <c r="F2815" i="2"/>
  <c r="I2815" i="2"/>
  <c r="E2816" i="2"/>
  <c r="F2816" i="2"/>
  <c r="I2816" i="2"/>
  <c r="E2817" i="2"/>
  <c r="F2817" i="2"/>
  <c r="I2817" i="2"/>
  <c r="E2818" i="2"/>
  <c r="I2818" i="2"/>
  <c r="J2818" i="2"/>
  <c r="E2819" i="2"/>
  <c r="I2819" i="2"/>
  <c r="E2820" i="2"/>
  <c r="I2820" i="2"/>
  <c r="E2821" i="2"/>
  <c r="F2821" i="2"/>
  <c r="I2821" i="2"/>
  <c r="E2822" i="2"/>
  <c r="I2822" i="2"/>
  <c r="J2822" i="2"/>
  <c r="E2823" i="2"/>
  <c r="I2823" i="2"/>
  <c r="J2823" i="2"/>
  <c r="E2824" i="2"/>
  <c r="F2824" i="2"/>
  <c r="I2824" i="2"/>
  <c r="E2825" i="2"/>
  <c r="F2825" i="2"/>
  <c r="I2825" i="2"/>
  <c r="E2826" i="2"/>
  <c r="I2826" i="2"/>
  <c r="J2826" i="2"/>
  <c r="E2827" i="2"/>
  <c r="I2827" i="2"/>
  <c r="J2827" i="2"/>
  <c r="E2828" i="2"/>
  <c r="I2828" i="2"/>
  <c r="J2828" i="2"/>
  <c r="E2829" i="2"/>
  <c r="F2829" i="2"/>
  <c r="I2829" i="2"/>
  <c r="J2829" i="2"/>
  <c r="E2830" i="2"/>
  <c r="I2830" i="2"/>
  <c r="E2831" i="2"/>
  <c r="F2831" i="2"/>
  <c r="I2831" i="2"/>
  <c r="E2832" i="2"/>
  <c r="I2832" i="2"/>
  <c r="J2832" i="2"/>
  <c r="E2833" i="2"/>
  <c r="F2833" i="2"/>
  <c r="I2833" i="2"/>
  <c r="E2834" i="2"/>
  <c r="F2834" i="2"/>
  <c r="I2834" i="2"/>
  <c r="E2835" i="2"/>
  <c r="F2835" i="2"/>
  <c r="I2835" i="2"/>
  <c r="E2836" i="2"/>
  <c r="F2836" i="2"/>
  <c r="I2836" i="2"/>
  <c r="E2837" i="2"/>
  <c r="I2837" i="2"/>
  <c r="J2837" i="2"/>
  <c r="E2838" i="2"/>
  <c r="F2838" i="2"/>
  <c r="I2838" i="2"/>
  <c r="E2839" i="2"/>
  <c r="F2839" i="2"/>
  <c r="I2839" i="2"/>
  <c r="E2840" i="2"/>
  <c r="I2840" i="2"/>
  <c r="J2840" i="2"/>
  <c r="E2841" i="2"/>
  <c r="F2841" i="2"/>
  <c r="I2841" i="2"/>
  <c r="E2842" i="2"/>
  <c r="I2842" i="2"/>
  <c r="J2842" i="2"/>
  <c r="E2843" i="2"/>
  <c r="I2843" i="2"/>
  <c r="E2844" i="2"/>
  <c r="I2844" i="2"/>
  <c r="J2844" i="2"/>
  <c r="E2845" i="2"/>
  <c r="F2845" i="2"/>
  <c r="I2845" i="2"/>
  <c r="E2846" i="2"/>
  <c r="I2846" i="2"/>
  <c r="J2846" i="2"/>
  <c r="E2847" i="2"/>
  <c r="F2847" i="2"/>
  <c r="I2847" i="2"/>
  <c r="E2848" i="2"/>
  <c r="F2848" i="2"/>
  <c r="I2848" i="2"/>
  <c r="E2849" i="2"/>
  <c r="F2849" i="2"/>
  <c r="I2849" i="2"/>
  <c r="E2850" i="2"/>
  <c r="F2850" i="2"/>
  <c r="I2850" i="2"/>
  <c r="J2850" i="2"/>
  <c r="E2851" i="2"/>
  <c r="F2851" i="2"/>
  <c r="I2851" i="2"/>
  <c r="E2852" i="2"/>
  <c r="F2852" i="2"/>
  <c r="I2852" i="2"/>
  <c r="E2853" i="2"/>
  <c r="F2853" i="2"/>
  <c r="I2853" i="2"/>
  <c r="J2853" i="2"/>
  <c r="E2854" i="2"/>
  <c r="F2854" i="2"/>
  <c r="I2854" i="2"/>
  <c r="J2854" i="2"/>
  <c r="E2855" i="2"/>
  <c r="F2855" i="2"/>
  <c r="I2855" i="2"/>
  <c r="J2855" i="2"/>
  <c r="E2856" i="2"/>
  <c r="F2856" i="2"/>
  <c r="I2856" i="2"/>
  <c r="J2856" i="2"/>
  <c r="E2857" i="2"/>
  <c r="F2857" i="2"/>
  <c r="I2857" i="2"/>
  <c r="J2857" i="2"/>
  <c r="E2858" i="2"/>
  <c r="F2858" i="2"/>
  <c r="I2858" i="2"/>
  <c r="J2858" i="2"/>
  <c r="E2859" i="2"/>
  <c r="F2859" i="2"/>
  <c r="I2859" i="2"/>
  <c r="J2859" i="2"/>
  <c r="E2860" i="2"/>
  <c r="I2860" i="2"/>
  <c r="J2860" i="2"/>
  <c r="E2861" i="2"/>
  <c r="F2861" i="2"/>
  <c r="I2861" i="2"/>
  <c r="E2862" i="2"/>
  <c r="I2862" i="2"/>
  <c r="E2863" i="2"/>
  <c r="F2863" i="2"/>
  <c r="I2863" i="2"/>
  <c r="E2864" i="2"/>
  <c r="F2864" i="2"/>
  <c r="I2864" i="2"/>
  <c r="J2864" i="2"/>
  <c r="E2865" i="2"/>
  <c r="I2865" i="2"/>
  <c r="J2865" i="2"/>
  <c r="E2866" i="2"/>
  <c r="I2866" i="2"/>
  <c r="J2866" i="2"/>
  <c r="E2867" i="2"/>
  <c r="I2867" i="2"/>
  <c r="J2867" i="2"/>
  <c r="E2868" i="2"/>
  <c r="I2868" i="2"/>
  <c r="J2868" i="2"/>
  <c r="E2869" i="2"/>
  <c r="I2869" i="2"/>
  <c r="J2869" i="2"/>
  <c r="E2870" i="2"/>
  <c r="I2870" i="2"/>
  <c r="J2870" i="2"/>
  <c r="E2871" i="2"/>
  <c r="F2871" i="2"/>
  <c r="I2871" i="2"/>
  <c r="E2872" i="2"/>
  <c r="F2872" i="2"/>
  <c r="I2872" i="2"/>
  <c r="E2873" i="2"/>
  <c r="I2873" i="2"/>
  <c r="J2873" i="2"/>
  <c r="E2874" i="2"/>
  <c r="I2874" i="2"/>
  <c r="J2874" i="2"/>
  <c r="E2875" i="2"/>
  <c r="I2875" i="2"/>
  <c r="J2875" i="2"/>
  <c r="E2876" i="2"/>
  <c r="F2876" i="2"/>
  <c r="I2876" i="2"/>
  <c r="E2877" i="2"/>
  <c r="F2877" i="2"/>
  <c r="I2877" i="2"/>
  <c r="J2877" i="2"/>
  <c r="E2878" i="2"/>
  <c r="I2878" i="2"/>
  <c r="E2879" i="2"/>
  <c r="I2879" i="2"/>
  <c r="E2880" i="2"/>
  <c r="I2880" i="2"/>
  <c r="E2881" i="2"/>
  <c r="F2881" i="2"/>
  <c r="I2881" i="2"/>
  <c r="E2882" i="2"/>
  <c r="F2882" i="2"/>
  <c r="I2882" i="2"/>
  <c r="E2883" i="2"/>
  <c r="F2883" i="2"/>
  <c r="I2883" i="2"/>
  <c r="J2883" i="2"/>
  <c r="E2884" i="2"/>
  <c r="F2884" i="2"/>
  <c r="I2884" i="2"/>
  <c r="E2885" i="2"/>
  <c r="F2885" i="2"/>
  <c r="I2885" i="2"/>
  <c r="E2886" i="2"/>
  <c r="F2886" i="2"/>
  <c r="I2886" i="2"/>
  <c r="E2887" i="2"/>
  <c r="I2887" i="2"/>
  <c r="E2888" i="2"/>
  <c r="F2888" i="2"/>
  <c r="I2888" i="2"/>
  <c r="J2888" i="2"/>
  <c r="E2889" i="2"/>
  <c r="F2889" i="2"/>
  <c r="I2889" i="2"/>
  <c r="J2889" i="2"/>
  <c r="E2890" i="2"/>
  <c r="F2890" i="2"/>
  <c r="I2890" i="2"/>
  <c r="J2890" i="2"/>
  <c r="E2891" i="2"/>
  <c r="F2891" i="2"/>
  <c r="I2891" i="2"/>
  <c r="E2892" i="2"/>
  <c r="F2892" i="2"/>
  <c r="I2892" i="2"/>
  <c r="E2893" i="2"/>
  <c r="F2893" i="2"/>
  <c r="I2893" i="2"/>
  <c r="E2894" i="2"/>
  <c r="I2894" i="2"/>
  <c r="J2894" i="2"/>
  <c r="E2895" i="2"/>
  <c r="F2895" i="2"/>
  <c r="I2895" i="2"/>
  <c r="J2895" i="2"/>
  <c r="E2896" i="2"/>
  <c r="F2896" i="2"/>
  <c r="I2896" i="2"/>
  <c r="E2897" i="2"/>
  <c r="F2897" i="2"/>
  <c r="I2897" i="2"/>
  <c r="E2898" i="2"/>
  <c r="F2898" i="2"/>
  <c r="I2898" i="2"/>
  <c r="J2898" i="2"/>
  <c r="E2899" i="2"/>
  <c r="F2899" i="2"/>
  <c r="I2899" i="2"/>
  <c r="E2900" i="2"/>
  <c r="F2900" i="2"/>
  <c r="I2900" i="2"/>
  <c r="J2900" i="2"/>
  <c r="E2901" i="2"/>
  <c r="F2901" i="2"/>
  <c r="I2901" i="2"/>
  <c r="J2901" i="2"/>
  <c r="E2902" i="2"/>
  <c r="F2902" i="2"/>
  <c r="I2902" i="2"/>
  <c r="E2903" i="2"/>
  <c r="F2903" i="2"/>
  <c r="I2903" i="2"/>
  <c r="E2904" i="2"/>
  <c r="F2904" i="2"/>
  <c r="I2904" i="2"/>
  <c r="E2905" i="2"/>
  <c r="F2905" i="2"/>
  <c r="I2905" i="2"/>
  <c r="J2905" i="2"/>
  <c r="E2906" i="2"/>
  <c r="I2906" i="2"/>
  <c r="J2906" i="2"/>
  <c r="E2907" i="2"/>
  <c r="I2907" i="2"/>
  <c r="E2908" i="2"/>
  <c r="F2908" i="2"/>
  <c r="I2908" i="2"/>
  <c r="J2908" i="2"/>
  <c r="E2909" i="2"/>
  <c r="F2909" i="2"/>
  <c r="I2909" i="2"/>
  <c r="E2910" i="2"/>
  <c r="I2910" i="2"/>
  <c r="J2910" i="2"/>
  <c r="E2911" i="2"/>
  <c r="I2911" i="2"/>
  <c r="J2911" i="2"/>
  <c r="E2912" i="2"/>
  <c r="I2912" i="2"/>
  <c r="J2912" i="2"/>
  <c r="E2913" i="2"/>
  <c r="I2913" i="2"/>
  <c r="J2913" i="2"/>
  <c r="E2914" i="2"/>
  <c r="I2914" i="2"/>
  <c r="J2914" i="2"/>
  <c r="E2915" i="2"/>
  <c r="I2915" i="2"/>
  <c r="E2916" i="2"/>
  <c r="F2916" i="2"/>
  <c r="I2916" i="2"/>
  <c r="J2916" i="2"/>
  <c r="E2917" i="2"/>
  <c r="F2917" i="2"/>
  <c r="I2917" i="2"/>
  <c r="J2917" i="2"/>
  <c r="E2918" i="2"/>
  <c r="F2918" i="2"/>
  <c r="I2918" i="2"/>
  <c r="E2919" i="2"/>
  <c r="F2919" i="2"/>
  <c r="I2919" i="2"/>
  <c r="E2920" i="2"/>
  <c r="F2920" i="2"/>
  <c r="I2920" i="2"/>
  <c r="J2920" i="2"/>
  <c r="E2921" i="2"/>
  <c r="F2921" i="2"/>
  <c r="I2921" i="2"/>
  <c r="E2922" i="2"/>
  <c r="F2922" i="2"/>
  <c r="I2922" i="2"/>
  <c r="E2923" i="2"/>
  <c r="F2923" i="2"/>
  <c r="I2923" i="2"/>
  <c r="E2924" i="2"/>
  <c r="F2924" i="2"/>
  <c r="I2924" i="2"/>
  <c r="E2925" i="2"/>
  <c r="F2925" i="2"/>
  <c r="I2925" i="2"/>
  <c r="E2926" i="2"/>
  <c r="F2926" i="2"/>
  <c r="I2926" i="2"/>
  <c r="E2927" i="2"/>
  <c r="F2927" i="2"/>
  <c r="I2927" i="2"/>
  <c r="E2928" i="2"/>
  <c r="F2928" i="2"/>
  <c r="I2928" i="2"/>
  <c r="E2929" i="2"/>
  <c r="F2929" i="2"/>
  <c r="I2929" i="2"/>
  <c r="E2930" i="2"/>
  <c r="F2930" i="2"/>
  <c r="I2930" i="2"/>
  <c r="J2930" i="2"/>
  <c r="E2931" i="2"/>
  <c r="F2931" i="2"/>
  <c r="I2931" i="2"/>
  <c r="E2932" i="2"/>
  <c r="F2932" i="2"/>
  <c r="I2932" i="2"/>
  <c r="J2932" i="2"/>
  <c r="E2933" i="2"/>
  <c r="F2933" i="2"/>
  <c r="I2933" i="2"/>
  <c r="J2933" i="2"/>
  <c r="E2934" i="2"/>
  <c r="I2934" i="2"/>
  <c r="J2934" i="2"/>
  <c r="E2935" i="2"/>
  <c r="I2935" i="2"/>
  <c r="J2935" i="2"/>
  <c r="E2936" i="2"/>
  <c r="I2936" i="2"/>
  <c r="J2936" i="2"/>
  <c r="E2937" i="2"/>
  <c r="F2937" i="2"/>
  <c r="I2937" i="2"/>
  <c r="J2937" i="2"/>
  <c r="E2938" i="2"/>
  <c r="I2938" i="2"/>
  <c r="J2938" i="2"/>
  <c r="E2939" i="2"/>
  <c r="F2939" i="2"/>
  <c r="I2939" i="2"/>
  <c r="E2940" i="2"/>
  <c r="F2940" i="2"/>
  <c r="I2940" i="2"/>
  <c r="E2941" i="2"/>
  <c r="I2941" i="2"/>
  <c r="J2941" i="2"/>
  <c r="E2942" i="2"/>
  <c r="I2942" i="2"/>
  <c r="J2942" i="2"/>
  <c r="E2943" i="2"/>
  <c r="I2943" i="2"/>
  <c r="J2943" i="2"/>
  <c r="E2944" i="2"/>
  <c r="I2944" i="2"/>
  <c r="E2945" i="2"/>
  <c r="F2945" i="2"/>
  <c r="I2945" i="2"/>
  <c r="J2945" i="2"/>
  <c r="E2946" i="2"/>
  <c r="F2946" i="2"/>
  <c r="I2946" i="2"/>
  <c r="J2946" i="2"/>
  <c r="E2947" i="2"/>
  <c r="F2947" i="2"/>
  <c r="I2947" i="2"/>
  <c r="J2947" i="2"/>
  <c r="E2948" i="2"/>
  <c r="F2948" i="2"/>
  <c r="I2948" i="2"/>
  <c r="E2949" i="2"/>
  <c r="F2949" i="2"/>
  <c r="I2949" i="2"/>
  <c r="E2950" i="2"/>
  <c r="F2950" i="2"/>
  <c r="I2950" i="2"/>
  <c r="E2951" i="2"/>
  <c r="I2951" i="2"/>
  <c r="J2951" i="2"/>
  <c r="E2952" i="2"/>
  <c r="F2952" i="2"/>
  <c r="I2952" i="2"/>
  <c r="J2952" i="2"/>
  <c r="E2953" i="2"/>
  <c r="I2953" i="2"/>
  <c r="E2954" i="2"/>
  <c r="I2954" i="2"/>
  <c r="J2954" i="2"/>
  <c r="E2955" i="2"/>
  <c r="F2955" i="2"/>
  <c r="I2955" i="2"/>
  <c r="J2955" i="2"/>
  <c r="E2956" i="2"/>
  <c r="I2956" i="2"/>
  <c r="J2956" i="2"/>
  <c r="E2957" i="2"/>
  <c r="F2957" i="2"/>
  <c r="I2957" i="2"/>
  <c r="E2958" i="2"/>
  <c r="F2958" i="2"/>
  <c r="I2958" i="2"/>
  <c r="J2958" i="2"/>
  <c r="E2959" i="2"/>
  <c r="F2959" i="2"/>
  <c r="I2959" i="2"/>
  <c r="E2960" i="2"/>
  <c r="F2960" i="2"/>
  <c r="I2960" i="2"/>
  <c r="J2960" i="2"/>
  <c r="E2961" i="2"/>
  <c r="F2961" i="2"/>
  <c r="I2961" i="2"/>
  <c r="E2962" i="2"/>
  <c r="F2962" i="2"/>
  <c r="I2962" i="2"/>
  <c r="E2963" i="2"/>
  <c r="F2963" i="2"/>
  <c r="I2963" i="2"/>
  <c r="J2963" i="2"/>
  <c r="E2964" i="2"/>
  <c r="F2964" i="2"/>
  <c r="I2964" i="2"/>
  <c r="E2965" i="2"/>
  <c r="I2965" i="2"/>
  <c r="E2966" i="2"/>
  <c r="F2966" i="2"/>
  <c r="I2966" i="2"/>
  <c r="E2967" i="2"/>
  <c r="F2967" i="2"/>
  <c r="I2967" i="2"/>
  <c r="E2968" i="2"/>
  <c r="F2968" i="2"/>
  <c r="I2968" i="2"/>
  <c r="E2969" i="2"/>
  <c r="F2969" i="2"/>
  <c r="I2969" i="2"/>
  <c r="E2970" i="2"/>
  <c r="F2970" i="2"/>
  <c r="I2970" i="2"/>
  <c r="E2971" i="2"/>
  <c r="F2971" i="2"/>
  <c r="I2971" i="2"/>
  <c r="E2972" i="2"/>
  <c r="F2972" i="2"/>
  <c r="I2972" i="2"/>
  <c r="J2972" i="2"/>
  <c r="E2973" i="2"/>
  <c r="F2973" i="2"/>
  <c r="I2973" i="2"/>
  <c r="E2974" i="2"/>
  <c r="I2974" i="2"/>
  <c r="E2975" i="2"/>
  <c r="F2975" i="2"/>
  <c r="I2975" i="2"/>
  <c r="J2975" i="2"/>
  <c r="E2976" i="2"/>
  <c r="I2976" i="2"/>
  <c r="J2976" i="2"/>
  <c r="E2977" i="2"/>
  <c r="F2977" i="2"/>
  <c r="I2977" i="2"/>
  <c r="J2977" i="2"/>
  <c r="E2978" i="2"/>
  <c r="I2978" i="2"/>
  <c r="E2979" i="2"/>
  <c r="F2979" i="2"/>
  <c r="I2979" i="2"/>
  <c r="E2980" i="2"/>
  <c r="F2980" i="2"/>
  <c r="I2980" i="2"/>
  <c r="E2981" i="2"/>
  <c r="F2981" i="2"/>
  <c r="I2981" i="2"/>
  <c r="E2982" i="2"/>
  <c r="I2982" i="2"/>
  <c r="J2982" i="2"/>
  <c r="E2983" i="2"/>
  <c r="F2983" i="2"/>
  <c r="I2983" i="2"/>
  <c r="J2983" i="2"/>
  <c r="E2984" i="2"/>
  <c r="I2984" i="2"/>
  <c r="E2985" i="2"/>
  <c r="F2985" i="2"/>
  <c r="I2985" i="2"/>
  <c r="J2985" i="2"/>
  <c r="E2986" i="2"/>
  <c r="I2986" i="2"/>
  <c r="J2986" i="2"/>
  <c r="E2987" i="2"/>
  <c r="F2987" i="2"/>
  <c r="I2987" i="2"/>
  <c r="J2987" i="2"/>
  <c r="E2988" i="2"/>
  <c r="I2988" i="2"/>
  <c r="J2988" i="2"/>
  <c r="E2989" i="2"/>
  <c r="F2989" i="2"/>
  <c r="I2989" i="2"/>
  <c r="E2990" i="2"/>
  <c r="I2990" i="2"/>
  <c r="E2991" i="2"/>
  <c r="I2991" i="2"/>
  <c r="J2991" i="2"/>
  <c r="E2992" i="2"/>
  <c r="F2992" i="2"/>
  <c r="I2992" i="2"/>
  <c r="E2993" i="2"/>
  <c r="F2993" i="2"/>
  <c r="I2993" i="2"/>
  <c r="E2994" i="2"/>
  <c r="F2994" i="2"/>
  <c r="I2994" i="2"/>
  <c r="E2995" i="2"/>
  <c r="F2995" i="2"/>
  <c r="I2995" i="2"/>
  <c r="E2996" i="2"/>
  <c r="F2996" i="2"/>
  <c r="I2996" i="2"/>
  <c r="J2996" i="2"/>
  <c r="E2997" i="2"/>
  <c r="F2997" i="2"/>
  <c r="I2997" i="2"/>
  <c r="J2997" i="2"/>
  <c r="E2998" i="2"/>
  <c r="F2998" i="2"/>
  <c r="I2998" i="2"/>
  <c r="E2999" i="2"/>
  <c r="F2999" i="2"/>
  <c r="I2999" i="2"/>
  <c r="E3000" i="2"/>
  <c r="F3000" i="2"/>
  <c r="I3000" i="2"/>
  <c r="E3001" i="2"/>
  <c r="F3001" i="2"/>
  <c r="I3001" i="2"/>
  <c r="E3002" i="2"/>
  <c r="I3002" i="2"/>
  <c r="E3003" i="2"/>
  <c r="I3003" i="2"/>
  <c r="J3003" i="2"/>
  <c r="E3004" i="2"/>
  <c r="I3004" i="2"/>
  <c r="J3004" i="2"/>
  <c r="E3005" i="2"/>
  <c r="F3005" i="2"/>
  <c r="I3005" i="2"/>
  <c r="E3006" i="2"/>
  <c r="F3006" i="2"/>
  <c r="I3006" i="2"/>
  <c r="J3006" i="2"/>
  <c r="E3007" i="2"/>
  <c r="F3007" i="2"/>
  <c r="I3007" i="2"/>
  <c r="E3008" i="2"/>
  <c r="F3008" i="2"/>
  <c r="I3008" i="2"/>
  <c r="E3009" i="2"/>
  <c r="F3009" i="2"/>
  <c r="I3009" i="2"/>
  <c r="E3010" i="2"/>
  <c r="F3010" i="2"/>
  <c r="I3010" i="2"/>
  <c r="E3011" i="2"/>
  <c r="I3011" i="2"/>
  <c r="E3012" i="2"/>
  <c r="F3012" i="2"/>
  <c r="I3012" i="2"/>
  <c r="J3012" i="2"/>
  <c r="E3013" i="2"/>
  <c r="F3013" i="2"/>
  <c r="I3013" i="2"/>
  <c r="J3013" i="2"/>
  <c r="E3014" i="2"/>
  <c r="I3014" i="2"/>
  <c r="E3015" i="2"/>
  <c r="I3015" i="2"/>
  <c r="J3015" i="2"/>
  <c r="E3016" i="2"/>
  <c r="I3016" i="2"/>
  <c r="J3016" i="2"/>
  <c r="E3017" i="2"/>
  <c r="F3017" i="2"/>
  <c r="I3017" i="2"/>
  <c r="J3017" i="2"/>
  <c r="E3018" i="2"/>
  <c r="F3018" i="2"/>
  <c r="I3018" i="2"/>
  <c r="J3018" i="2"/>
  <c r="E3019" i="2"/>
  <c r="I3019" i="2"/>
  <c r="E3020" i="2"/>
  <c r="I3020" i="2"/>
  <c r="J3020" i="2"/>
  <c r="E3021" i="2"/>
  <c r="I3021" i="2"/>
  <c r="J3021" i="2"/>
  <c r="E3022" i="2"/>
  <c r="I3022" i="2"/>
  <c r="E3023" i="2"/>
  <c r="I3023" i="2"/>
  <c r="J3023" i="2"/>
  <c r="E3024" i="2"/>
  <c r="F3024" i="2"/>
  <c r="I3024" i="2"/>
  <c r="J3024" i="2"/>
  <c r="E3025" i="2"/>
  <c r="I3025" i="2"/>
  <c r="J3025" i="2"/>
  <c r="E3026" i="2"/>
  <c r="I3026" i="2"/>
  <c r="E3027" i="2"/>
  <c r="I3027" i="2"/>
  <c r="J3027" i="2"/>
  <c r="E3028" i="2"/>
  <c r="F3028" i="2"/>
  <c r="I3028" i="2"/>
  <c r="J3028" i="2"/>
  <c r="E3029" i="2"/>
  <c r="F3029" i="2"/>
  <c r="I3029" i="2"/>
  <c r="E3030" i="2"/>
  <c r="I3030" i="2"/>
  <c r="J3030" i="2"/>
  <c r="E3031" i="2"/>
  <c r="I3031" i="2"/>
  <c r="J3031" i="2"/>
  <c r="E3032" i="2"/>
  <c r="F3032" i="2"/>
  <c r="I3032" i="2"/>
  <c r="J3032" i="2"/>
  <c r="E3033" i="2"/>
  <c r="I3033" i="2"/>
  <c r="J3033" i="2"/>
  <c r="E3034" i="2"/>
  <c r="I3034" i="2"/>
  <c r="J3034" i="2"/>
  <c r="E3035" i="2"/>
  <c r="I3035" i="2"/>
  <c r="J3035" i="2"/>
  <c r="E3036" i="2"/>
  <c r="I3036" i="2"/>
  <c r="J3036" i="2"/>
  <c r="E3037" i="2"/>
  <c r="I3037" i="2"/>
  <c r="J3037" i="2"/>
  <c r="E3038" i="2"/>
  <c r="I3038" i="2"/>
  <c r="E3039" i="2"/>
  <c r="I3039" i="2"/>
  <c r="J3039" i="2"/>
  <c r="E3040" i="2"/>
  <c r="I3040" i="2"/>
  <c r="J3040" i="2"/>
  <c r="E3041" i="2"/>
  <c r="I3041" i="2"/>
  <c r="J3041" i="2"/>
  <c r="E3042" i="2"/>
  <c r="I3042" i="2"/>
  <c r="J3042" i="2"/>
  <c r="E3043" i="2"/>
  <c r="F3043" i="2"/>
  <c r="I3043" i="2"/>
  <c r="J3043" i="2"/>
  <c r="E3044" i="2"/>
  <c r="I3044" i="2"/>
  <c r="E3045" i="2"/>
  <c r="F3045" i="2"/>
  <c r="I3045" i="2"/>
  <c r="E3046" i="2"/>
  <c r="F3046" i="2"/>
  <c r="I3046" i="2"/>
  <c r="J3046" i="2"/>
  <c r="E3047" i="2"/>
  <c r="I3047" i="2"/>
  <c r="J3047" i="2"/>
  <c r="E3048" i="2"/>
  <c r="F3048" i="2"/>
  <c r="I3048" i="2"/>
  <c r="E3049" i="2"/>
  <c r="F3049" i="2"/>
  <c r="I3049" i="2"/>
  <c r="E3050" i="2"/>
  <c r="I3050" i="2"/>
  <c r="E3051" i="2"/>
  <c r="I3051" i="2"/>
  <c r="E3052" i="2"/>
  <c r="F3052" i="2"/>
  <c r="I3052" i="2"/>
  <c r="J3052" i="2"/>
  <c r="E3053" i="2"/>
  <c r="I3053" i="2"/>
  <c r="J3053" i="2"/>
  <c r="E3054" i="2"/>
  <c r="F3054" i="2"/>
  <c r="I3054" i="2"/>
  <c r="J3054" i="2"/>
  <c r="E3055" i="2"/>
  <c r="F3055" i="2"/>
  <c r="I3055" i="2"/>
  <c r="J3055" i="2"/>
  <c r="E3056" i="2"/>
  <c r="I3056" i="2"/>
  <c r="J3056" i="2"/>
  <c r="E3057" i="2"/>
  <c r="I3057" i="2"/>
  <c r="J3057" i="2"/>
  <c r="E3058" i="2"/>
  <c r="I3058" i="2"/>
  <c r="J3058" i="2"/>
  <c r="E3059" i="2"/>
  <c r="I3059" i="2"/>
  <c r="J3059" i="2"/>
  <c r="E3060" i="2"/>
  <c r="I3060" i="2"/>
  <c r="J3060" i="2"/>
  <c r="E3061" i="2"/>
  <c r="I3061" i="2"/>
  <c r="J3061" i="2"/>
  <c r="E3062" i="2"/>
  <c r="I3062" i="2"/>
  <c r="J3062" i="2"/>
  <c r="E3063" i="2"/>
  <c r="F3063" i="2"/>
  <c r="I3063" i="2"/>
  <c r="J3063" i="2"/>
  <c r="E3064" i="2"/>
  <c r="F3064" i="2"/>
  <c r="I3064" i="2"/>
  <c r="E3065" i="2"/>
  <c r="F3065" i="2"/>
  <c r="I3065" i="2"/>
  <c r="E3066" i="2"/>
  <c r="F3066" i="2"/>
  <c r="I3066" i="2"/>
  <c r="E3067" i="2"/>
  <c r="F3067" i="2"/>
  <c r="I3067" i="2"/>
  <c r="E3068" i="2"/>
  <c r="F3068" i="2"/>
  <c r="I3068" i="2"/>
  <c r="E3069" i="2"/>
  <c r="F3069" i="2"/>
  <c r="I3069" i="2"/>
  <c r="J3069" i="2"/>
  <c r="E3070" i="2"/>
  <c r="F3070" i="2"/>
  <c r="I3070" i="2"/>
  <c r="J3070" i="2"/>
  <c r="E3071" i="2"/>
  <c r="F3071" i="2"/>
  <c r="I3071" i="2"/>
  <c r="J3071" i="2"/>
  <c r="E3072" i="2"/>
  <c r="F3072" i="2"/>
  <c r="I3072" i="2"/>
  <c r="J3072" i="2"/>
  <c r="E3073" i="2"/>
  <c r="I3073" i="2"/>
  <c r="J3073" i="2"/>
  <c r="E3074" i="2"/>
  <c r="F3074" i="2"/>
  <c r="I3074" i="2"/>
  <c r="J3074" i="2"/>
  <c r="E3075" i="2"/>
  <c r="F3075" i="2"/>
  <c r="I3075" i="2"/>
  <c r="J3075" i="2"/>
  <c r="E3076" i="2"/>
  <c r="I3076" i="2"/>
  <c r="E3077" i="2"/>
  <c r="F3077" i="2"/>
  <c r="I3077" i="2"/>
  <c r="E3078" i="2"/>
  <c r="I3078" i="2"/>
  <c r="J3078" i="2"/>
  <c r="E3079" i="2"/>
  <c r="I3079" i="2"/>
  <c r="J3079" i="2"/>
  <c r="E3080" i="2"/>
  <c r="F3080" i="2"/>
  <c r="I3080" i="2"/>
  <c r="J3080" i="2"/>
  <c r="E3081" i="2"/>
  <c r="F3081" i="2"/>
  <c r="I3081" i="2"/>
  <c r="J3081" i="2"/>
  <c r="E3082" i="2"/>
  <c r="F3082" i="2"/>
  <c r="I3082" i="2"/>
  <c r="J3082" i="2"/>
  <c r="E3083" i="2"/>
  <c r="F3083" i="2"/>
  <c r="I3083" i="2"/>
  <c r="E3084" i="2"/>
  <c r="I3084" i="2"/>
  <c r="J3084" i="2"/>
  <c r="E3085" i="2"/>
  <c r="I3085" i="2"/>
  <c r="J3085" i="2"/>
  <c r="E3086" i="2"/>
  <c r="I3086" i="2"/>
  <c r="J3086" i="2"/>
  <c r="E3087" i="2"/>
  <c r="I3087" i="2"/>
  <c r="J3087" i="2"/>
  <c r="E3088" i="2"/>
  <c r="I3088" i="2"/>
  <c r="J3088" i="2"/>
  <c r="E3089" i="2"/>
  <c r="I3089" i="2"/>
  <c r="J3089" i="2"/>
  <c r="E3090" i="2"/>
  <c r="F3090" i="2"/>
  <c r="I3090" i="2"/>
  <c r="J3090" i="2"/>
  <c r="E3091" i="2"/>
  <c r="F3091" i="2"/>
  <c r="I3091" i="2"/>
  <c r="J3091" i="2"/>
  <c r="E3092" i="2"/>
  <c r="I3092" i="2"/>
  <c r="J3092" i="2"/>
  <c r="E3093" i="2"/>
  <c r="I3093" i="2"/>
  <c r="J3093" i="2"/>
  <c r="E3094" i="2"/>
  <c r="I3094" i="2"/>
  <c r="E3095" i="2"/>
  <c r="F3095" i="2"/>
  <c r="I3095" i="2"/>
  <c r="J3095" i="2"/>
  <c r="E3096" i="2"/>
  <c r="F3096" i="2"/>
  <c r="I3096" i="2"/>
  <c r="J3096" i="2"/>
  <c r="E3097" i="2"/>
  <c r="F3097" i="2"/>
  <c r="I3097" i="2"/>
  <c r="J3097" i="2"/>
  <c r="E3098" i="2"/>
  <c r="F3098" i="2"/>
  <c r="I3098" i="2"/>
  <c r="E3099" i="2"/>
  <c r="I3099" i="2"/>
  <c r="J3099" i="2"/>
  <c r="E3100" i="2"/>
  <c r="I3100" i="2"/>
  <c r="E3101" i="2"/>
  <c r="F3101" i="2"/>
  <c r="I3101" i="2"/>
  <c r="E3102" i="2"/>
  <c r="I3102" i="2"/>
  <c r="J3102" i="2"/>
  <c r="E3103" i="2"/>
  <c r="I3103" i="2"/>
  <c r="E3104" i="2"/>
  <c r="I3104" i="2"/>
  <c r="E3105" i="2"/>
  <c r="F3105" i="2"/>
  <c r="I3105" i="2"/>
  <c r="E3106" i="2"/>
  <c r="I3106" i="2"/>
  <c r="J3106" i="2"/>
  <c r="E3107" i="2"/>
  <c r="F3107" i="2"/>
  <c r="I3107" i="2"/>
  <c r="E3108" i="2"/>
  <c r="I3108" i="2"/>
  <c r="J3108" i="2"/>
  <c r="E3109" i="2"/>
  <c r="I3109" i="2"/>
  <c r="E3110" i="2"/>
  <c r="I3110" i="2"/>
  <c r="J3110" i="2"/>
  <c r="E3111" i="2"/>
  <c r="F3111" i="2"/>
  <c r="I3111" i="2"/>
  <c r="J3111" i="2"/>
  <c r="E3112" i="2"/>
  <c r="F3112" i="2"/>
  <c r="I3112" i="2"/>
  <c r="J3112" i="2"/>
  <c r="E3113" i="2"/>
  <c r="F3113" i="2"/>
  <c r="I3113" i="2"/>
  <c r="J3113" i="2"/>
  <c r="E3114" i="2"/>
  <c r="F3114" i="2"/>
  <c r="I3114" i="2"/>
  <c r="E3115" i="2"/>
  <c r="F3115" i="2"/>
  <c r="I3115" i="2"/>
  <c r="E3116" i="2"/>
  <c r="F3116" i="2"/>
  <c r="I3116" i="2"/>
  <c r="E3117" i="2"/>
  <c r="F3117" i="2"/>
  <c r="I3117" i="2"/>
  <c r="E3118" i="2"/>
  <c r="F3118" i="2"/>
  <c r="I3118" i="2"/>
  <c r="J3118" i="2"/>
  <c r="E3119" i="2"/>
  <c r="F3119" i="2"/>
  <c r="I3119" i="2"/>
  <c r="J3119" i="2"/>
  <c r="E3120" i="2"/>
  <c r="F3120" i="2"/>
  <c r="I3120" i="2"/>
  <c r="J3120" i="2"/>
  <c r="E3121" i="2"/>
  <c r="F3121" i="2"/>
  <c r="I3121" i="2"/>
  <c r="E3122" i="2"/>
  <c r="F3122" i="2"/>
  <c r="I3122" i="2"/>
  <c r="J3122" i="2"/>
  <c r="E3123" i="2"/>
  <c r="I3123" i="2"/>
  <c r="J3123" i="2"/>
  <c r="E3124" i="2"/>
  <c r="I3124" i="2"/>
  <c r="J3124" i="2"/>
  <c r="E3125" i="2"/>
  <c r="I3125" i="2"/>
  <c r="J3125" i="2"/>
  <c r="E3126" i="2"/>
  <c r="I3126" i="2"/>
  <c r="J3126" i="2"/>
  <c r="E3127" i="2"/>
  <c r="I3127" i="2"/>
  <c r="J3127" i="2"/>
  <c r="E3128" i="2"/>
  <c r="F3128" i="2"/>
  <c r="I3128" i="2"/>
  <c r="E3129" i="2"/>
  <c r="F3129" i="2"/>
  <c r="I3129" i="2"/>
  <c r="E3130" i="2"/>
  <c r="F3130" i="2"/>
  <c r="I3130" i="2"/>
  <c r="E3131" i="2"/>
  <c r="I3131" i="2"/>
  <c r="J3131" i="2"/>
  <c r="E3132" i="2"/>
  <c r="F3132" i="2"/>
  <c r="I3132" i="2"/>
  <c r="J3132" i="2"/>
  <c r="E3133" i="2"/>
  <c r="F3133" i="2"/>
  <c r="I3133" i="2"/>
  <c r="E3134" i="2"/>
  <c r="F3134" i="2"/>
  <c r="I3134" i="2"/>
  <c r="J3134" i="2"/>
  <c r="E3135" i="2"/>
  <c r="F3135" i="2"/>
  <c r="I3135" i="2"/>
  <c r="J3135" i="2"/>
  <c r="E3136" i="2"/>
  <c r="F3136" i="2"/>
  <c r="I3136" i="2"/>
  <c r="J3136" i="2"/>
  <c r="E3137" i="2"/>
  <c r="I3137" i="2"/>
  <c r="J3137" i="2"/>
  <c r="E3138" i="2"/>
  <c r="F3138" i="2"/>
  <c r="I3138" i="2"/>
  <c r="J3138" i="2"/>
  <c r="E3139" i="2"/>
  <c r="F3139" i="2"/>
  <c r="I3139" i="2"/>
  <c r="J3139" i="2"/>
  <c r="E3140" i="2"/>
  <c r="F3140" i="2"/>
  <c r="I3140" i="2"/>
  <c r="J3140" i="2"/>
  <c r="E3141" i="2"/>
  <c r="I3141" i="2"/>
  <c r="J3141" i="2"/>
  <c r="E3142" i="2"/>
  <c r="I3142" i="2"/>
  <c r="J3142" i="2"/>
  <c r="E3143" i="2"/>
  <c r="F3143" i="2"/>
  <c r="I3143" i="2"/>
  <c r="J3143" i="2"/>
  <c r="E3144" i="2"/>
  <c r="I3144" i="2"/>
  <c r="J3144" i="2"/>
  <c r="E3145" i="2"/>
  <c r="I3145" i="2"/>
  <c r="J3145" i="2"/>
  <c r="E3146" i="2"/>
  <c r="I3146" i="2"/>
  <c r="J3146" i="2"/>
  <c r="E3147" i="2"/>
  <c r="I3147" i="2"/>
  <c r="J3147" i="2"/>
  <c r="E3148" i="2"/>
  <c r="I3148" i="2"/>
  <c r="J3148" i="2"/>
  <c r="E3149" i="2"/>
  <c r="I3149" i="2"/>
  <c r="J3149" i="2"/>
  <c r="E3150" i="2"/>
  <c r="F3150" i="2"/>
  <c r="I3150" i="2"/>
  <c r="E3151" i="2"/>
  <c r="F3151" i="2"/>
  <c r="I3151" i="2"/>
  <c r="E3152" i="2"/>
  <c r="F3152" i="2"/>
  <c r="I3152" i="2"/>
  <c r="E3153" i="2"/>
  <c r="F3153" i="2"/>
  <c r="I3153" i="2"/>
  <c r="E3154" i="2"/>
  <c r="I3154" i="2"/>
  <c r="J3154" i="2"/>
  <c r="E3155" i="2"/>
  <c r="I3155" i="2"/>
  <c r="J3155" i="2"/>
  <c r="E3156" i="2"/>
  <c r="F3156" i="2"/>
  <c r="I3156" i="2"/>
  <c r="E3157" i="2"/>
  <c r="F3157" i="2"/>
  <c r="I3157" i="2"/>
  <c r="E3158" i="2"/>
  <c r="F3158" i="2"/>
  <c r="I3158" i="2"/>
  <c r="E3159" i="2"/>
  <c r="F3159" i="2"/>
  <c r="I3159" i="2"/>
  <c r="E3160" i="2"/>
  <c r="I3160" i="2"/>
  <c r="E3161" i="2"/>
  <c r="F3161" i="2"/>
  <c r="I3161" i="2"/>
  <c r="E3162" i="2"/>
  <c r="F3162" i="2"/>
  <c r="I3162" i="2"/>
  <c r="E3163" i="2"/>
  <c r="I3163" i="2"/>
  <c r="J3163" i="2"/>
  <c r="E3164" i="2"/>
  <c r="F3164" i="2"/>
  <c r="I3164" i="2"/>
  <c r="E3165" i="2"/>
  <c r="F3165" i="2"/>
  <c r="I3165" i="2"/>
  <c r="J3165" i="2"/>
  <c r="E3166" i="2"/>
  <c r="I3166" i="2"/>
  <c r="E3167" i="2"/>
  <c r="F3167" i="2"/>
  <c r="I3167" i="2"/>
  <c r="J3167" i="2"/>
  <c r="E3168" i="2"/>
  <c r="I3168" i="2"/>
  <c r="E3169" i="2"/>
  <c r="F3169" i="2"/>
  <c r="I3169" i="2"/>
  <c r="E3170" i="2"/>
  <c r="F3170" i="2"/>
  <c r="I3170" i="2"/>
  <c r="J3170" i="2"/>
  <c r="E3171" i="2"/>
  <c r="F3171" i="2"/>
  <c r="I3171" i="2"/>
  <c r="J3171" i="2"/>
  <c r="E3172" i="2"/>
  <c r="F3172" i="2"/>
  <c r="I3172" i="2"/>
  <c r="J3172" i="2"/>
  <c r="E3173" i="2"/>
  <c r="F3173" i="2"/>
  <c r="I3173" i="2"/>
  <c r="E3174" i="2"/>
  <c r="I3174" i="2"/>
  <c r="J3174" i="2"/>
  <c r="E3175" i="2"/>
  <c r="F3175" i="2"/>
  <c r="I3175" i="2"/>
  <c r="J3175" i="2"/>
  <c r="E3176" i="2"/>
  <c r="I3176" i="2"/>
  <c r="J3176" i="2"/>
  <c r="E3177" i="2"/>
  <c r="I3177" i="2"/>
  <c r="J3177" i="2"/>
  <c r="E3178" i="2"/>
  <c r="F3178" i="2"/>
  <c r="I3178" i="2"/>
  <c r="E3179" i="2"/>
  <c r="I3179" i="2"/>
  <c r="J3179" i="2"/>
  <c r="E3180" i="2"/>
  <c r="F3180" i="2"/>
  <c r="I3180" i="2"/>
  <c r="E3181" i="2"/>
  <c r="F3181" i="2"/>
  <c r="I3181" i="2"/>
  <c r="E3182" i="2"/>
  <c r="I3182" i="2"/>
  <c r="J3182" i="2"/>
  <c r="E3183" i="2"/>
  <c r="I3183" i="2"/>
  <c r="J3183" i="2"/>
  <c r="E3184" i="2"/>
  <c r="I3184" i="2"/>
  <c r="J3184" i="2"/>
  <c r="E3185" i="2"/>
  <c r="F3185" i="2"/>
  <c r="I3185" i="2"/>
  <c r="E3186" i="2"/>
  <c r="I3186" i="2"/>
  <c r="E3187" i="2"/>
  <c r="F3187" i="2"/>
  <c r="I3187" i="2"/>
  <c r="E3188" i="2"/>
  <c r="F3188" i="2"/>
  <c r="I3188" i="2"/>
  <c r="E3189" i="2"/>
  <c r="F3189" i="2"/>
  <c r="I3189" i="2"/>
  <c r="E3190" i="2"/>
  <c r="I3190" i="2"/>
  <c r="E3191" i="2"/>
  <c r="F3191" i="2"/>
  <c r="I3191" i="2"/>
  <c r="J3191" i="2"/>
  <c r="E3192" i="2"/>
  <c r="I3192" i="2"/>
  <c r="J3192" i="2"/>
  <c r="E3193" i="2"/>
  <c r="I3193" i="2"/>
  <c r="J3193" i="2"/>
  <c r="E3194" i="2"/>
  <c r="I3194" i="2"/>
  <c r="J3194" i="2"/>
  <c r="E3195" i="2"/>
  <c r="I3195" i="2"/>
  <c r="J3195" i="2"/>
  <c r="E3196" i="2"/>
  <c r="F3196" i="2"/>
  <c r="I3196" i="2"/>
  <c r="J3196" i="2"/>
  <c r="E3197" i="2"/>
  <c r="I3197" i="2"/>
  <c r="E3198" i="2"/>
  <c r="I3198" i="2"/>
  <c r="J3198" i="2"/>
  <c r="E3199" i="2"/>
  <c r="I3199" i="2"/>
  <c r="E3200" i="2"/>
  <c r="I3200" i="2"/>
  <c r="E3201" i="2"/>
  <c r="I3201" i="2"/>
  <c r="J3201" i="2"/>
  <c r="D3" i="1"/>
  <c r="E3" i="1"/>
  <c r="H3" i="1"/>
  <c r="D10" i="1"/>
  <c r="E10" i="1"/>
  <c r="H10" i="1"/>
  <c r="D11" i="1"/>
  <c r="E11" i="1"/>
  <c r="H11" i="1"/>
  <c r="D12" i="1"/>
  <c r="E12" i="1"/>
  <c r="H12" i="1"/>
  <c r="D13" i="1"/>
  <c r="E13" i="1"/>
  <c r="H13" i="1"/>
  <c r="D14" i="1"/>
  <c r="E14" i="1"/>
  <c r="H14" i="1"/>
  <c r="D15" i="1"/>
  <c r="E15" i="1"/>
  <c r="H15" i="1"/>
  <c r="D16" i="1"/>
  <c r="E16" i="1"/>
  <c r="H16" i="1"/>
  <c r="D17" i="1"/>
  <c r="E17" i="1"/>
  <c r="H17" i="1"/>
  <c r="D18" i="1"/>
  <c r="E18" i="1"/>
  <c r="H18" i="1"/>
  <c r="D19" i="1"/>
  <c r="E19" i="1"/>
  <c r="H19" i="1"/>
  <c r="D20" i="1"/>
  <c r="E20" i="1"/>
  <c r="H20" i="1"/>
  <c r="D21" i="1"/>
  <c r="E21" i="1"/>
  <c r="H21" i="1"/>
  <c r="D22" i="1"/>
  <c r="E22" i="1"/>
  <c r="H22" i="1"/>
  <c r="D23" i="1"/>
  <c r="E23" i="1"/>
  <c r="H23" i="1"/>
  <c r="D24" i="1"/>
  <c r="E24" i="1"/>
  <c r="H24" i="1"/>
  <c r="D25" i="1"/>
  <c r="E25" i="1"/>
  <c r="H25" i="1"/>
  <c r="D26" i="1"/>
  <c r="E26" i="1"/>
  <c r="H26" i="1"/>
  <c r="D27" i="1"/>
  <c r="E27" i="1"/>
  <c r="H27" i="1"/>
  <c r="D28" i="1"/>
  <c r="E28" i="1"/>
  <c r="H28" i="1"/>
  <c r="D29" i="1"/>
  <c r="E29" i="1"/>
  <c r="H29" i="1"/>
  <c r="I29" i="1"/>
  <c r="D30" i="1"/>
  <c r="E30" i="1"/>
  <c r="H30" i="1"/>
  <c r="I30" i="1"/>
  <c r="D31" i="1"/>
  <c r="E31" i="1"/>
  <c r="H31" i="1"/>
  <c r="D32" i="1"/>
  <c r="E32" i="1"/>
  <c r="H32" i="1"/>
  <c r="D33" i="1"/>
  <c r="E33" i="1"/>
  <c r="H33" i="1"/>
  <c r="D34" i="1"/>
  <c r="E34" i="1"/>
  <c r="H34" i="1"/>
  <c r="D4" i="1"/>
  <c r="E4" i="1"/>
  <c r="H4" i="1"/>
  <c r="D5" i="1"/>
  <c r="E5" i="1"/>
  <c r="H5" i="1"/>
  <c r="D2" i="1"/>
  <c r="E2" i="1"/>
  <c r="H2" i="1"/>
  <c r="D7" i="1"/>
  <c r="E7" i="1"/>
  <c r="H7" i="1"/>
  <c r="D8" i="1"/>
  <c r="E8" i="1"/>
  <c r="H8" i="1"/>
  <c r="D9" i="1"/>
  <c r="E9" i="1"/>
  <c r="H9" i="1"/>
  <c r="D6" i="1"/>
  <c r="E6" i="1"/>
  <c r="H6" i="1"/>
  <c r="I6" i="1"/>
  <c r="D79" i="1"/>
  <c r="E79" i="1"/>
  <c r="H79" i="1"/>
  <c r="D80" i="1"/>
  <c r="E80" i="1"/>
  <c r="H80" i="1"/>
  <c r="D36" i="1"/>
  <c r="H36" i="1"/>
  <c r="I36" i="1"/>
  <c r="D37" i="1"/>
  <c r="H37" i="1"/>
  <c r="I37" i="1"/>
  <c r="D99" i="1"/>
  <c r="H99" i="1"/>
  <c r="I99" i="1"/>
  <c r="D95" i="1"/>
  <c r="H95" i="1"/>
  <c r="I95" i="1"/>
  <c r="D114" i="1"/>
  <c r="H114" i="1"/>
  <c r="I114" i="1"/>
  <c r="D97" i="1"/>
  <c r="H97" i="1"/>
  <c r="I97" i="1"/>
  <c r="D100" i="1"/>
  <c r="H100" i="1"/>
  <c r="I100" i="1"/>
  <c r="D101" i="1"/>
  <c r="H101" i="1"/>
  <c r="I101" i="1"/>
  <c r="D102" i="1"/>
  <c r="H102" i="1"/>
  <c r="I102" i="1"/>
  <c r="D103" i="1"/>
  <c r="H103" i="1"/>
  <c r="I103" i="1"/>
  <c r="D104" i="1"/>
  <c r="H104" i="1"/>
  <c r="I104" i="1"/>
  <c r="D115" i="1"/>
  <c r="H115" i="1"/>
  <c r="D105" i="1"/>
  <c r="E105" i="1"/>
  <c r="H105" i="1"/>
  <c r="D72" i="1"/>
  <c r="H72" i="1"/>
  <c r="I72" i="1"/>
  <c r="D116" i="1"/>
  <c r="H116" i="1"/>
  <c r="I116" i="1"/>
  <c r="D106" i="1"/>
  <c r="E106" i="1"/>
  <c r="H106" i="1"/>
  <c r="I106" i="1"/>
  <c r="D107" i="1"/>
  <c r="E107" i="1"/>
  <c r="H107" i="1"/>
  <c r="D77" i="1"/>
  <c r="H77" i="1"/>
  <c r="D73" i="1"/>
  <c r="H73" i="1"/>
  <c r="D108" i="1"/>
  <c r="E108" i="1"/>
  <c r="H108" i="1"/>
  <c r="D109" i="1"/>
  <c r="E109" i="1"/>
  <c r="H109" i="1"/>
  <c r="D119" i="1"/>
  <c r="E119" i="1"/>
  <c r="H119" i="1"/>
  <c r="I119" i="1"/>
  <c r="D110" i="1"/>
  <c r="H110" i="1"/>
  <c r="I110" i="1"/>
  <c r="D74" i="1"/>
  <c r="H74" i="1"/>
  <c r="I74" i="1"/>
  <c r="D75" i="1"/>
  <c r="H75" i="1"/>
  <c r="I75" i="1"/>
  <c r="D117" i="1"/>
  <c r="E117" i="1"/>
  <c r="H117" i="1"/>
  <c r="D76" i="1"/>
  <c r="E76" i="1"/>
  <c r="H76" i="1"/>
  <c r="D111" i="1"/>
  <c r="H111" i="1"/>
  <c r="I111" i="1"/>
  <c r="D71" i="1"/>
  <c r="H71" i="1"/>
  <c r="I71" i="1"/>
  <c r="D118" i="1"/>
  <c r="E118" i="1"/>
  <c r="H118" i="1"/>
  <c r="I118" i="1"/>
  <c r="D35" i="1"/>
  <c r="H35" i="1"/>
  <c r="D87" i="1"/>
  <c r="E87" i="1"/>
  <c r="H87" i="1"/>
  <c r="D88" i="1"/>
  <c r="E88" i="1"/>
  <c r="H88" i="1"/>
  <c r="D89" i="1"/>
  <c r="E89" i="1"/>
  <c r="H89" i="1"/>
  <c r="D90" i="1"/>
  <c r="E90" i="1"/>
  <c r="H90" i="1"/>
  <c r="D91" i="1"/>
  <c r="E91" i="1"/>
  <c r="H91" i="1"/>
  <c r="D96" i="1"/>
  <c r="E96" i="1"/>
  <c r="H96" i="1"/>
  <c r="D92" i="1"/>
  <c r="E92" i="1"/>
  <c r="H92" i="1"/>
  <c r="D94" i="1"/>
  <c r="E94" i="1"/>
  <c r="H94" i="1"/>
  <c r="I94" i="1"/>
  <c r="D81" i="1"/>
  <c r="E81" i="1"/>
  <c r="H81" i="1"/>
  <c r="D82" i="1"/>
  <c r="E82" i="1"/>
  <c r="H82" i="1"/>
  <c r="D83" i="1"/>
  <c r="E83" i="1"/>
  <c r="H83" i="1"/>
  <c r="D84" i="1"/>
  <c r="E84" i="1"/>
  <c r="H84" i="1"/>
  <c r="I84" i="1"/>
  <c r="D85" i="1"/>
  <c r="E85" i="1"/>
  <c r="H85" i="1"/>
  <c r="D86" i="1"/>
  <c r="E86" i="1"/>
  <c r="H86" i="1"/>
  <c r="D93" i="1"/>
  <c r="E93" i="1"/>
  <c r="H93" i="1"/>
  <c r="I93" i="1"/>
  <c r="D38" i="1"/>
  <c r="E38" i="1"/>
  <c r="H38" i="1"/>
  <c r="I38" i="1"/>
  <c r="D39" i="1"/>
  <c r="E39" i="1"/>
  <c r="H39" i="1"/>
  <c r="I39" i="1"/>
  <c r="D120" i="1"/>
  <c r="E120" i="1"/>
  <c r="H120" i="1"/>
  <c r="D121" i="1"/>
  <c r="E121" i="1"/>
  <c r="H121" i="1"/>
  <c r="D40" i="1"/>
  <c r="H40" i="1"/>
  <c r="I40" i="1"/>
  <c r="D41" i="1"/>
  <c r="H41" i="1"/>
  <c r="D42" i="1"/>
  <c r="H42" i="1"/>
  <c r="I42" i="1"/>
  <c r="D43" i="1"/>
  <c r="H43" i="1"/>
  <c r="I43" i="1"/>
  <c r="D44" i="1"/>
  <c r="H44" i="1"/>
  <c r="I44" i="1"/>
  <c r="D45" i="1"/>
  <c r="E45" i="1"/>
  <c r="H45" i="1"/>
  <c r="D78" i="1"/>
  <c r="E78" i="1"/>
  <c r="H78" i="1"/>
  <c r="D46" i="1"/>
  <c r="H46" i="1"/>
  <c r="D47" i="1"/>
  <c r="E47" i="1"/>
  <c r="H47" i="1"/>
  <c r="D48" i="1"/>
  <c r="E48" i="1"/>
  <c r="H48" i="1"/>
  <c r="D49" i="1"/>
  <c r="E49" i="1"/>
  <c r="H49" i="1"/>
  <c r="D50" i="1"/>
  <c r="E50" i="1"/>
  <c r="H50" i="1"/>
  <c r="D51" i="1"/>
  <c r="E51" i="1"/>
  <c r="H51" i="1"/>
  <c r="I51" i="1"/>
  <c r="D52" i="1"/>
  <c r="H52" i="1"/>
  <c r="I52" i="1"/>
  <c r="D53" i="1"/>
  <c r="H53" i="1"/>
  <c r="D54" i="1"/>
  <c r="H54" i="1"/>
  <c r="D122" i="1"/>
  <c r="E122" i="1"/>
  <c r="H122" i="1"/>
  <c r="D55" i="1"/>
  <c r="H55" i="1"/>
  <c r="D56" i="1"/>
  <c r="E56" i="1"/>
  <c r="H56" i="1"/>
  <c r="D57" i="1"/>
  <c r="E57" i="1"/>
  <c r="H57" i="1"/>
  <c r="D58" i="1"/>
  <c r="E58" i="1"/>
  <c r="H58" i="1"/>
  <c r="D59" i="1"/>
  <c r="E59" i="1"/>
  <c r="H59" i="1"/>
  <c r="D60" i="1"/>
  <c r="E60" i="1"/>
  <c r="H60" i="1"/>
  <c r="D61" i="1"/>
  <c r="E61" i="1"/>
  <c r="H61" i="1"/>
  <c r="D62" i="1"/>
  <c r="E62" i="1"/>
  <c r="H62" i="1"/>
  <c r="D63" i="1"/>
  <c r="E63" i="1"/>
  <c r="H63" i="1"/>
  <c r="D64" i="1"/>
  <c r="E64" i="1"/>
  <c r="H64" i="1"/>
  <c r="D65" i="1"/>
  <c r="E65" i="1"/>
  <c r="H65" i="1"/>
  <c r="D66" i="1"/>
  <c r="E66" i="1"/>
  <c r="H66" i="1"/>
  <c r="D67" i="1"/>
  <c r="E67" i="1"/>
  <c r="H67" i="1"/>
  <c r="D68" i="1"/>
  <c r="E68" i="1"/>
  <c r="H68" i="1"/>
  <c r="D69" i="1"/>
  <c r="E69" i="1"/>
  <c r="H69" i="1"/>
  <c r="D70" i="1"/>
  <c r="E70" i="1"/>
  <c r="H70" i="1"/>
  <c r="D123" i="1"/>
  <c r="E123" i="1"/>
  <c r="H123" i="1"/>
  <c r="D112" i="1"/>
  <c r="E112" i="1"/>
  <c r="H112" i="1"/>
  <c r="D98" i="1"/>
  <c r="H98" i="1"/>
  <c r="I98" i="1"/>
  <c r="D113" i="1"/>
  <c r="E113" i="1"/>
  <c r="H113" i="1"/>
  <c r="D142" i="1"/>
  <c r="E142" i="1"/>
  <c r="H142" i="1"/>
  <c r="I142" i="1"/>
  <c r="D131" i="1"/>
  <c r="E131" i="1"/>
  <c r="H131" i="1"/>
  <c r="D137" i="1"/>
  <c r="E137" i="1"/>
  <c r="H137" i="1"/>
  <c r="D138" i="1"/>
  <c r="H138" i="1"/>
  <c r="I138" i="1"/>
  <c r="D132" i="1"/>
  <c r="E132" i="1"/>
  <c r="H132" i="1"/>
  <c r="D141" i="1"/>
  <c r="E141" i="1"/>
  <c r="H141" i="1"/>
  <c r="D139" i="1"/>
  <c r="E139" i="1"/>
  <c r="H139" i="1"/>
  <c r="D140" i="1"/>
  <c r="E140" i="1"/>
  <c r="H140" i="1"/>
  <c r="D124" i="1"/>
  <c r="E124" i="1"/>
  <c r="H124" i="1"/>
  <c r="D128" i="1"/>
  <c r="H128" i="1"/>
  <c r="I128" i="1"/>
  <c r="D129" i="1"/>
  <c r="H129" i="1"/>
  <c r="I129" i="1"/>
  <c r="D130" i="1"/>
  <c r="H130" i="1"/>
  <c r="I130" i="1"/>
  <c r="D125" i="1"/>
  <c r="E125" i="1"/>
  <c r="H125" i="1"/>
  <c r="D126" i="1"/>
  <c r="H126" i="1"/>
  <c r="D127" i="1"/>
  <c r="E127" i="1"/>
  <c r="H127" i="1"/>
  <c r="D144" i="1"/>
  <c r="H144" i="1"/>
  <c r="I144" i="1"/>
  <c r="D133" i="1"/>
  <c r="E133" i="1"/>
  <c r="H133" i="1"/>
  <c r="D134" i="1"/>
  <c r="H134" i="1"/>
  <c r="D135" i="1"/>
  <c r="E135" i="1"/>
  <c r="H135" i="1"/>
  <c r="D136" i="1"/>
  <c r="E136" i="1"/>
  <c r="H136" i="1"/>
  <c r="I136" i="1"/>
  <c r="D143" i="1"/>
  <c r="E143" i="1"/>
  <c r="H143" i="1"/>
  <c r="D145" i="1"/>
  <c r="H145" i="1"/>
  <c r="I145" i="1"/>
  <c r="D151" i="1"/>
  <c r="E151" i="1"/>
  <c r="H151" i="1"/>
  <c r="I151" i="1"/>
  <c r="D152" i="1"/>
  <c r="E152" i="1"/>
  <c r="H152" i="1"/>
  <c r="D149" i="1"/>
  <c r="H149" i="1"/>
  <c r="D158" i="1"/>
  <c r="E158" i="1"/>
  <c r="H158" i="1"/>
  <c r="I158" i="1"/>
  <c r="D147" i="1"/>
  <c r="E147" i="1"/>
  <c r="H147" i="1"/>
  <c r="I147" i="1"/>
  <c r="D148" i="1"/>
  <c r="E148" i="1"/>
  <c r="H148" i="1"/>
  <c r="I148" i="1"/>
  <c r="D153" i="1"/>
  <c r="H153" i="1"/>
  <c r="I153" i="1"/>
  <c r="D146" i="1"/>
  <c r="E146" i="1"/>
  <c r="H146" i="1"/>
  <c r="D159" i="1"/>
  <c r="E159" i="1"/>
  <c r="H159" i="1"/>
  <c r="D150" i="1"/>
  <c r="H150" i="1"/>
  <c r="D157" i="1"/>
  <c r="H157" i="1"/>
  <c r="I157" i="1"/>
  <c r="D154" i="1"/>
  <c r="H154" i="1"/>
  <c r="D155" i="1"/>
  <c r="E155" i="1"/>
  <c r="H155" i="1"/>
  <c r="I155" i="1"/>
  <c r="D156" i="1"/>
  <c r="E156" i="1"/>
  <c r="H156" i="1"/>
  <c r="I156" i="1"/>
  <c r="D161" i="1"/>
  <c r="E161" i="1"/>
  <c r="H161" i="1"/>
  <c r="D222" i="1"/>
  <c r="E222" i="1"/>
  <c r="H222" i="1"/>
  <c r="D162" i="1"/>
  <c r="E162" i="1"/>
  <c r="H162" i="1"/>
  <c r="D253" i="1"/>
  <c r="H253" i="1"/>
  <c r="D241" i="1"/>
  <c r="H241" i="1"/>
  <c r="D163" i="1"/>
  <c r="H163" i="1"/>
  <c r="I163" i="1"/>
  <c r="D213" i="1"/>
  <c r="E213" i="1"/>
  <c r="H213" i="1"/>
  <c r="I213" i="1"/>
  <c r="D214" i="1"/>
  <c r="E214" i="1"/>
  <c r="H214" i="1"/>
  <c r="I214" i="1"/>
  <c r="D254" i="1"/>
  <c r="E254" i="1"/>
  <c r="H254" i="1"/>
  <c r="D223" i="1"/>
  <c r="H223" i="1"/>
  <c r="I223" i="1"/>
  <c r="D255" i="1"/>
  <c r="E255" i="1"/>
  <c r="H255" i="1"/>
  <c r="D224" i="1"/>
  <c r="E224" i="1"/>
  <c r="H224" i="1"/>
  <c r="D160" i="1"/>
  <c r="H160" i="1"/>
  <c r="I160" i="1"/>
  <c r="D215" i="1"/>
  <c r="E215" i="1"/>
  <c r="H215" i="1"/>
  <c r="I215" i="1"/>
  <c r="D212" i="1"/>
  <c r="E212" i="1"/>
  <c r="H212" i="1"/>
  <c r="I212" i="1"/>
  <c r="D242" i="1"/>
  <c r="H242" i="1"/>
  <c r="D225" i="1"/>
  <c r="H225" i="1"/>
  <c r="I225" i="1"/>
  <c r="D226" i="1"/>
  <c r="H226" i="1"/>
  <c r="I226" i="1"/>
  <c r="D216" i="1"/>
  <c r="E216" i="1"/>
  <c r="H216" i="1"/>
  <c r="D181" i="1"/>
  <c r="H181" i="1"/>
  <c r="I181" i="1"/>
  <c r="D164" i="1"/>
  <c r="H164" i="1"/>
  <c r="I164" i="1"/>
  <c r="D217" i="1"/>
  <c r="E217" i="1"/>
  <c r="H217" i="1"/>
  <c r="D165" i="1"/>
  <c r="E165" i="1"/>
  <c r="H165" i="1"/>
  <c r="D173" i="1"/>
  <c r="E173" i="1"/>
  <c r="H173" i="1"/>
  <c r="D182" i="1"/>
  <c r="E182" i="1"/>
  <c r="H182" i="1"/>
  <c r="D174" i="1"/>
  <c r="E174" i="1"/>
  <c r="H174" i="1"/>
  <c r="D175" i="1"/>
  <c r="E175" i="1"/>
  <c r="H175" i="1"/>
  <c r="D183" i="1"/>
  <c r="E183" i="1"/>
  <c r="H183" i="1"/>
  <c r="D176" i="1"/>
  <c r="E176" i="1"/>
  <c r="H176" i="1"/>
  <c r="D184" i="1"/>
  <c r="E184" i="1"/>
  <c r="H184" i="1"/>
  <c r="D185" i="1"/>
  <c r="E185" i="1"/>
  <c r="H185" i="1"/>
  <c r="D186" i="1"/>
  <c r="E186" i="1"/>
  <c r="H186" i="1"/>
  <c r="D187" i="1"/>
  <c r="E187" i="1"/>
  <c r="H187" i="1"/>
  <c r="D188" i="1"/>
  <c r="E188" i="1"/>
  <c r="H188" i="1"/>
  <c r="D189" i="1"/>
  <c r="H189" i="1"/>
  <c r="D190" i="1"/>
  <c r="H190" i="1"/>
  <c r="I190" i="1"/>
  <c r="D191" i="1"/>
  <c r="H191" i="1"/>
  <c r="I191" i="1"/>
  <c r="D227" i="1"/>
  <c r="E227" i="1"/>
  <c r="H227" i="1"/>
  <c r="D192" i="1"/>
  <c r="E192" i="1"/>
  <c r="H192" i="1"/>
  <c r="D228" i="1"/>
  <c r="E228" i="1"/>
  <c r="H228" i="1"/>
  <c r="D229" i="1"/>
  <c r="E229" i="1"/>
  <c r="H229" i="1"/>
  <c r="D230" i="1"/>
  <c r="E230" i="1"/>
  <c r="H230" i="1"/>
  <c r="D231" i="1"/>
  <c r="E231" i="1"/>
  <c r="H231" i="1"/>
  <c r="D232" i="1"/>
  <c r="E232" i="1"/>
  <c r="H232" i="1"/>
  <c r="D218" i="1"/>
  <c r="E218" i="1"/>
  <c r="H218" i="1"/>
  <c r="D193" i="1"/>
  <c r="H193" i="1"/>
  <c r="D194" i="1"/>
  <c r="E194" i="1"/>
  <c r="H194" i="1"/>
  <c r="D195" i="1"/>
  <c r="H195" i="1"/>
  <c r="I195" i="1"/>
  <c r="D196" i="1"/>
  <c r="H196" i="1"/>
  <c r="I196" i="1"/>
  <c r="D197" i="1"/>
  <c r="H197" i="1"/>
  <c r="I197" i="1"/>
  <c r="D198" i="1"/>
  <c r="H198" i="1"/>
  <c r="I198" i="1"/>
  <c r="D199" i="1"/>
  <c r="H199" i="1"/>
  <c r="I199" i="1"/>
  <c r="D200" i="1"/>
  <c r="H200" i="1"/>
  <c r="D201" i="1"/>
  <c r="H201" i="1"/>
  <c r="I201" i="1"/>
  <c r="D202" i="1"/>
  <c r="H202" i="1"/>
  <c r="I202" i="1"/>
  <c r="D203" i="1"/>
  <c r="H203" i="1"/>
  <c r="I203" i="1"/>
  <c r="D204" i="1"/>
  <c r="H204" i="1"/>
  <c r="I204" i="1"/>
  <c r="D205" i="1"/>
  <c r="H205" i="1"/>
  <c r="D208" i="1"/>
  <c r="E208" i="1"/>
  <c r="H208" i="1"/>
  <c r="D219" i="1"/>
  <c r="H219" i="1"/>
  <c r="D220" i="1"/>
  <c r="H220" i="1"/>
  <c r="I220" i="1"/>
  <c r="D177" i="1"/>
  <c r="E177" i="1"/>
  <c r="H177" i="1"/>
  <c r="D178" i="1"/>
  <c r="E178" i="1"/>
  <c r="H178" i="1"/>
  <c r="D166" i="1"/>
  <c r="E166" i="1"/>
  <c r="H166" i="1"/>
  <c r="D233" i="1"/>
  <c r="E233" i="1"/>
  <c r="H233" i="1"/>
  <c r="D179" i="1"/>
  <c r="E179" i="1"/>
  <c r="H179" i="1"/>
  <c r="D243" i="1"/>
  <c r="E243" i="1"/>
  <c r="H243" i="1"/>
  <c r="D244" i="1"/>
  <c r="E244" i="1"/>
  <c r="H244" i="1"/>
  <c r="D245" i="1"/>
  <c r="E245" i="1"/>
  <c r="H245" i="1"/>
  <c r="D246" i="1"/>
  <c r="E246" i="1"/>
  <c r="H246" i="1"/>
  <c r="D247" i="1"/>
  <c r="E247" i="1"/>
  <c r="H247" i="1"/>
  <c r="D234" i="1"/>
  <c r="H234" i="1"/>
  <c r="D209" i="1"/>
  <c r="E209" i="1"/>
  <c r="H209" i="1"/>
  <c r="D235" i="1"/>
  <c r="H235" i="1"/>
  <c r="D167" i="1"/>
  <c r="E167" i="1"/>
  <c r="H167" i="1"/>
  <c r="D206" i="1"/>
  <c r="E206" i="1"/>
  <c r="H206" i="1"/>
  <c r="D207" i="1"/>
  <c r="E207" i="1"/>
  <c r="H207" i="1"/>
  <c r="D221" i="1"/>
  <c r="H221" i="1"/>
  <c r="D236" i="1"/>
  <c r="E236" i="1"/>
  <c r="H236" i="1"/>
  <c r="D210" i="1"/>
  <c r="E210" i="1"/>
  <c r="H210" i="1"/>
  <c r="D237" i="1"/>
  <c r="E237" i="1"/>
  <c r="H237" i="1"/>
  <c r="I237" i="1"/>
  <c r="D168" i="1"/>
  <c r="H168" i="1"/>
  <c r="I168" i="1"/>
  <c r="D180" i="1"/>
  <c r="E180" i="1"/>
  <c r="H180" i="1"/>
  <c r="D169" i="1"/>
  <c r="E169" i="1"/>
  <c r="H169" i="1"/>
  <c r="D248" i="1"/>
  <c r="E248" i="1"/>
  <c r="H248" i="1"/>
  <c r="D211" i="1"/>
  <c r="E211" i="1"/>
  <c r="H211" i="1"/>
  <c r="D238" i="1"/>
  <c r="E238" i="1"/>
  <c r="H238" i="1"/>
  <c r="D249" i="1"/>
  <c r="H249" i="1"/>
  <c r="I249" i="1"/>
  <c r="D250" i="1"/>
  <c r="H250" i="1"/>
  <c r="I250" i="1"/>
  <c r="D170" i="1"/>
  <c r="E170" i="1"/>
  <c r="H170" i="1"/>
  <c r="D171" i="1"/>
  <c r="E171" i="1"/>
  <c r="H171" i="1"/>
  <c r="D251" i="1"/>
  <c r="E251" i="1"/>
  <c r="H251" i="1"/>
  <c r="D239" i="1"/>
  <c r="E239" i="1"/>
  <c r="H239" i="1"/>
  <c r="D240" i="1"/>
  <c r="E240" i="1"/>
  <c r="H240" i="1"/>
  <c r="D172" i="1"/>
  <c r="E172" i="1"/>
  <c r="H172" i="1"/>
  <c r="D252" i="1"/>
  <c r="E252" i="1"/>
  <c r="H252" i="1"/>
  <c r="D271" i="1"/>
  <c r="E271" i="1"/>
  <c r="H271" i="1"/>
  <c r="D272" i="1"/>
  <c r="E272" i="1"/>
  <c r="H272" i="1"/>
  <c r="D273" i="1"/>
  <c r="E273" i="1"/>
  <c r="H273" i="1"/>
  <c r="D277" i="1"/>
  <c r="E277" i="1"/>
  <c r="H277" i="1"/>
  <c r="I277" i="1"/>
  <c r="D278" i="1"/>
  <c r="E278" i="1"/>
  <c r="H278" i="1"/>
  <c r="I278" i="1"/>
  <c r="D297" i="1"/>
  <c r="E297" i="1"/>
  <c r="H297" i="1"/>
  <c r="I297" i="1"/>
  <c r="D298" i="1"/>
  <c r="E298" i="1"/>
  <c r="H298" i="1"/>
  <c r="I298" i="1"/>
  <c r="D299" i="1"/>
  <c r="E299" i="1"/>
  <c r="H299" i="1"/>
  <c r="I299" i="1"/>
  <c r="D300" i="1"/>
  <c r="E300" i="1"/>
  <c r="H300" i="1"/>
  <c r="I300" i="1"/>
  <c r="D256" i="1"/>
  <c r="H256" i="1"/>
  <c r="D295" i="1"/>
  <c r="H295" i="1"/>
  <c r="I295" i="1"/>
  <c r="D303" i="1"/>
  <c r="H303" i="1"/>
  <c r="I303" i="1"/>
  <c r="D292" i="1"/>
  <c r="E292" i="1"/>
  <c r="H292" i="1"/>
  <c r="I292" i="1"/>
  <c r="D304" i="1"/>
  <c r="E304" i="1"/>
  <c r="H304" i="1"/>
  <c r="I304" i="1"/>
  <c r="D296" i="1"/>
  <c r="E296" i="1"/>
  <c r="H296" i="1"/>
  <c r="D274" i="1"/>
  <c r="E274" i="1"/>
  <c r="H274" i="1"/>
  <c r="D293" i="1"/>
  <c r="E293" i="1"/>
  <c r="H293" i="1"/>
  <c r="D268" i="1"/>
  <c r="E268" i="1"/>
  <c r="H268" i="1"/>
  <c r="I268" i="1"/>
  <c r="D279" i="1"/>
  <c r="E279" i="1"/>
  <c r="H279" i="1"/>
  <c r="D275" i="1"/>
  <c r="E275" i="1"/>
  <c r="H275" i="1"/>
  <c r="I275" i="1"/>
  <c r="D276" i="1"/>
  <c r="H276" i="1"/>
  <c r="I276" i="1"/>
  <c r="D305" i="1"/>
  <c r="H305" i="1"/>
  <c r="I305" i="1"/>
  <c r="D306" i="1"/>
  <c r="E306" i="1"/>
  <c r="H306" i="1"/>
  <c r="D269" i="1"/>
  <c r="E269" i="1"/>
  <c r="H269" i="1"/>
  <c r="D257" i="1"/>
  <c r="E257" i="1"/>
  <c r="H257" i="1"/>
  <c r="D280" i="1"/>
  <c r="E280" i="1"/>
  <c r="H280" i="1"/>
  <c r="D281" i="1"/>
  <c r="E281" i="1"/>
  <c r="H281" i="1"/>
  <c r="D282" i="1"/>
  <c r="E282" i="1"/>
  <c r="H282" i="1"/>
  <c r="D283" i="1"/>
  <c r="E283" i="1"/>
  <c r="H283" i="1"/>
  <c r="D284" i="1"/>
  <c r="E284" i="1"/>
  <c r="H284" i="1"/>
  <c r="D285" i="1"/>
  <c r="E285" i="1"/>
  <c r="H285" i="1"/>
  <c r="D286" i="1"/>
  <c r="E286" i="1"/>
  <c r="H286" i="1"/>
  <c r="D287" i="1"/>
  <c r="E287" i="1"/>
  <c r="H287" i="1"/>
  <c r="D288" i="1"/>
  <c r="E288" i="1"/>
  <c r="H288" i="1"/>
  <c r="D289" i="1"/>
  <c r="E289" i="1"/>
  <c r="H289" i="1"/>
  <c r="D290" i="1"/>
  <c r="E290" i="1"/>
  <c r="H290" i="1"/>
  <c r="D258" i="1"/>
  <c r="E258" i="1"/>
  <c r="H258" i="1"/>
  <c r="D259" i="1"/>
  <c r="E259" i="1"/>
  <c r="H259" i="1"/>
  <c r="D291" i="1"/>
  <c r="E291" i="1"/>
  <c r="H291" i="1"/>
  <c r="D260" i="1"/>
  <c r="E260" i="1"/>
  <c r="H260" i="1"/>
  <c r="D261" i="1"/>
  <c r="E261" i="1"/>
  <c r="H261" i="1"/>
  <c r="D262" i="1"/>
  <c r="E262" i="1"/>
  <c r="H262" i="1"/>
  <c r="D263" i="1"/>
  <c r="E263" i="1"/>
  <c r="H263" i="1"/>
  <c r="D264" i="1"/>
  <c r="E264" i="1"/>
  <c r="H264" i="1"/>
  <c r="D265" i="1"/>
  <c r="E265" i="1"/>
  <c r="H265" i="1"/>
  <c r="D266" i="1"/>
  <c r="E266" i="1"/>
  <c r="H266" i="1"/>
  <c r="D267" i="1"/>
  <c r="E267" i="1"/>
  <c r="H267" i="1"/>
  <c r="D307" i="1"/>
  <c r="H307" i="1"/>
  <c r="D308" i="1"/>
  <c r="E308" i="1"/>
  <c r="H308" i="1"/>
  <c r="D294" i="1"/>
  <c r="H294" i="1"/>
  <c r="I294" i="1"/>
  <c r="D270" i="1"/>
  <c r="E270" i="1"/>
  <c r="H270" i="1"/>
  <c r="I270" i="1"/>
  <c r="D301" i="1"/>
  <c r="E301" i="1"/>
  <c r="H301" i="1"/>
  <c r="I301" i="1"/>
  <c r="D302" i="1"/>
  <c r="E302" i="1"/>
  <c r="H302" i="1"/>
  <c r="I302" i="1"/>
  <c r="D310" i="1"/>
  <c r="H310" i="1"/>
  <c r="I310" i="1"/>
  <c r="D311" i="1"/>
  <c r="E311" i="1"/>
  <c r="H311" i="1"/>
  <c r="D309" i="1"/>
  <c r="E309" i="1"/>
  <c r="H309" i="1"/>
  <c r="I309" i="1"/>
  <c r="D312" i="1"/>
  <c r="H312" i="1"/>
  <c r="I312" i="1"/>
  <c r="D313" i="1"/>
  <c r="H313" i="1"/>
  <c r="I313" i="1"/>
  <c r="D314" i="1"/>
  <c r="E314" i="1"/>
  <c r="H314" i="1"/>
  <c r="D315" i="1"/>
  <c r="E315" i="1"/>
  <c r="H315" i="1"/>
  <c r="D316" i="1"/>
  <c r="E316" i="1"/>
  <c r="H316" i="1"/>
  <c r="D317" i="1"/>
  <c r="E317" i="1"/>
  <c r="H317" i="1"/>
  <c r="D318" i="1"/>
  <c r="E318" i="1"/>
  <c r="H318" i="1"/>
  <c r="D319" i="1"/>
  <c r="E319" i="1"/>
  <c r="H319" i="1"/>
  <c r="D320" i="1"/>
  <c r="E320" i="1"/>
  <c r="H320" i="1"/>
  <c r="D321" i="1"/>
  <c r="E321" i="1"/>
  <c r="H321" i="1"/>
  <c r="D331" i="1"/>
  <c r="H331" i="1"/>
  <c r="D322" i="1"/>
  <c r="E322" i="1"/>
  <c r="H322" i="1"/>
  <c r="D323" i="1"/>
  <c r="E323" i="1"/>
  <c r="H323" i="1"/>
  <c r="D324" i="1"/>
  <c r="H324" i="1"/>
  <c r="D325" i="1"/>
  <c r="E325" i="1"/>
  <c r="H325" i="1"/>
  <c r="D326" i="1"/>
  <c r="E326" i="1"/>
  <c r="H326" i="1"/>
  <c r="D327" i="1"/>
  <c r="E327" i="1"/>
  <c r="H327" i="1"/>
  <c r="D328" i="1"/>
  <c r="E328" i="1"/>
  <c r="H328" i="1"/>
  <c r="D329" i="1"/>
  <c r="E329" i="1"/>
  <c r="H329" i="1"/>
  <c r="D330" i="1"/>
  <c r="E330" i="1"/>
  <c r="H330" i="1"/>
  <c r="D332" i="1"/>
  <c r="H332" i="1"/>
  <c r="I332" i="1"/>
  <c r="D333" i="1"/>
  <c r="H333" i="1"/>
  <c r="I333" i="1"/>
  <c r="D334" i="1"/>
  <c r="H334" i="1"/>
  <c r="I334" i="1"/>
  <c r="D335" i="1"/>
  <c r="H335" i="1"/>
  <c r="I335" i="1"/>
  <c r="D336" i="1"/>
  <c r="H336" i="1"/>
  <c r="I336" i="1"/>
  <c r="D337" i="1"/>
  <c r="H337" i="1"/>
  <c r="D338" i="1"/>
  <c r="H338" i="1"/>
  <c r="D343" i="1"/>
  <c r="E343" i="1"/>
  <c r="H343" i="1"/>
  <c r="D344" i="1"/>
  <c r="E344" i="1"/>
  <c r="H344" i="1"/>
  <c r="D345" i="1"/>
  <c r="E345" i="1"/>
  <c r="H345" i="1"/>
  <c r="D346" i="1"/>
  <c r="E346" i="1"/>
  <c r="H346" i="1"/>
  <c r="I346" i="1"/>
  <c r="D347" i="1"/>
  <c r="E347" i="1"/>
  <c r="H347" i="1"/>
  <c r="D340" i="1"/>
  <c r="E340" i="1"/>
  <c r="H340" i="1"/>
  <c r="D341" i="1"/>
  <c r="E341" i="1"/>
  <c r="H341" i="1"/>
  <c r="D348" i="1"/>
  <c r="E348" i="1"/>
  <c r="H348" i="1"/>
  <c r="D339" i="1"/>
  <c r="E339" i="1"/>
  <c r="H339" i="1"/>
  <c r="D342" i="1"/>
  <c r="E342" i="1"/>
  <c r="H342" i="1"/>
  <c r="D349" i="1"/>
  <c r="H349" i="1"/>
  <c r="I349" i="1"/>
  <c r="D355" i="1"/>
  <c r="E355" i="1"/>
  <c r="H355" i="1"/>
  <c r="D356" i="1"/>
  <c r="E356" i="1"/>
  <c r="H356" i="1"/>
  <c r="D350" i="1"/>
  <c r="E350" i="1"/>
  <c r="H350" i="1"/>
  <c r="D352" i="1"/>
  <c r="E352" i="1"/>
  <c r="H352" i="1"/>
  <c r="D353" i="1"/>
  <c r="E353" i="1"/>
  <c r="H353" i="1"/>
  <c r="D354" i="1"/>
  <c r="E354" i="1"/>
  <c r="H354" i="1"/>
  <c r="D351" i="1"/>
  <c r="E351" i="1"/>
  <c r="H351" i="1"/>
  <c r="D386" i="1"/>
  <c r="H386" i="1"/>
  <c r="I386" i="1"/>
  <c r="D387" i="1"/>
  <c r="H387" i="1"/>
  <c r="I387" i="1"/>
  <c r="D358" i="1"/>
  <c r="E358" i="1"/>
  <c r="H358" i="1"/>
  <c r="I358" i="1"/>
  <c r="D395" i="1"/>
  <c r="E395" i="1"/>
  <c r="H395" i="1"/>
  <c r="D366" i="1"/>
  <c r="E366" i="1"/>
  <c r="H366" i="1"/>
  <c r="D367" i="1"/>
  <c r="E367" i="1"/>
  <c r="H367" i="1"/>
  <c r="I367" i="1"/>
  <c r="D388" i="1"/>
  <c r="E388" i="1"/>
  <c r="H388" i="1"/>
  <c r="I388" i="1"/>
  <c r="D396" i="1"/>
  <c r="E396" i="1"/>
  <c r="H396" i="1"/>
  <c r="D363" i="1"/>
  <c r="E363" i="1"/>
  <c r="H363" i="1"/>
  <c r="D364" i="1"/>
  <c r="E364" i="1"/>
  <c r="H364" i="1"/>
  <c r="I364" i="1"/>
  <c r="D361" i="1"/>
  <c r="E361" i="1"/>
  <c r="H361" i="1"/>
  <c r="D362" i="1"/>
  <c r="E362" i="1"/>
  <c r="H362" i="1"/>
  <c r="D359" i="1"/>
  <c r="H359" i="1"/>
  <c r="I359" i="1"/>
  <c r="D360" i="1"/>
  <c r="H360" i="1"/>
  <c r="I360" i="1"/>
  <c r="D357" i="1"/>
  <c r="E357" i="1"/>
  <c r="H357" i="1"/>
  <c r="I357" i="1"/>
  <c r="D397" i="1"/>
  <c r="E397" i="1"/>
  <c r="H397" i="1"/>
  <c r="I397" i="1"/>
  <c r="D390" i="1"/>
  <c r="E390" i="1"/>
  <c r="H390" i="1"/>
  <c r="D391" i="1"/>
  <c r="E391" i="1"/>
  <c r="H391" i="1"/>
  <c r="D392" i="1"/>
  <c r="E392" i="1"/>
  <c r="H392" i="1"/>
  <c r="D393" i="1"/>
  <c r="E393" i="1"/>
  <c r="H393" i="1"/>
  <c r="D394" i="1"/>
  <c r="H394" i="1"/>
  <c r="I394" i="1"/>
  <c r="D365" i="1"/>
  <c r="E365" i="1"/>
  <c r="H365" i="1"/>
  <c r="D389" i="1"/>
  <c r="E389" i="1"/>
  <c r="H389" i="1"/>
  <c r="I389" i="1"/>
  <c r="D377" i="1"/>
  <c r="H377" i="1"/>
  <c r="I377" i="1"/>
  <c r="D378" i="1"/>
  <c r="H378" i="1"/>
  <c r="I378" i="1"/>
  <c r="D379" i="1"/>
  <c r="H379" i="1"/>
  <c r="I379" i="1"/>
  <c r="D380" i="1"/>
  <c r="H380" i="1"/>
  <c r="I380" i="1"/>
  <c r="D368" i="1"/>
  <c r="E368" i="1"/>
  <c r="H368" i="1"/>
  <c r="D381" i="1"/>
  <c r="E381" i="1"/>
  <c r="H381" i="1"/>
  <c r="D382" i="1"/>
  <c r="E382" i="1"/>
  <c r="H382" i="1"/>
  <c r="D369" i="1"/>
  <c r="E369" i="1"/>
  <c r="H369" i="1"/>
  <c r="D370" i="1"/>
  <c r="E370" i="1"/>
  <c r="H370" i="1"/>
  <c r="D371" i="1"/>
  <c r="E371" i="1"/>
  <c r="H371" i="1"/>
  <c r="D372" i="1"/>
  <c r="E372" i="1"/>
  <c r="H372" i="1"/>
  <c r="D373" i="1"/>
  <c r="E373" i="1"/>
  <c r="H373" i="1"/>
  <c r="D374" i="1"/>
  <c r="E374" i="1"/>
  <c r="H374" i="1"/>
  <c r="D375" i="1"/>
  <c r="E375" i="1"/>
  <c r="H375" i="1"/>
  <c r="D376" i="1"/>
  <c r="E376" i="1"/>
  <c r="H376" i="1"/>
  <c r="D383" i="1"/>
  <c r="E383" i="1"/>
  <c r="H383" i="1"/>
  <c r="D384" i="1"/>
  <c r="H384" i="1"/>
  <c r="I384" i="1"/>
  <c r="D385" i="1"/>
  <c r="H385" i="1"/>
  <c r="I385" i="1"/>
  <c r="D430" i="1"/>
  <c r="H430" i="1"/>
  <c r="D413" i="1"/>
  <c r="H413" i="1"/>
  <c r="I413" i="1"/>
  <c r="D418" i="1"/>
  <c r="E418" i="1"/>
  <c r="H418" i="1"/>
  <c r="I418" i="1"/>
  <c r="D398" i="1"/>
  <c r="E398" i="1"/>
  <c r="H398" i="1"/>
  <c r="D433" i="1"/>
  <c r="E433" i="1"/>
  <c r="H433" i="1"/>
  <c r="D431" i="1"/>
  <c r="E431" i="1"/>
  <c r="H431" i="1"/>
  <c r="I431" i="1"/>
  <c r="D438" i="1"/>
  <c r="E438" i="1"/>
  <c r="H438" i="1"/>
  <c r="I438" i="1"/>
  <c r="D435" i="1"/>
  <c r="H435" i="1"/>
  <c r="I435" i="1"/>
  <c r="D405" i="1"/>
  <c r="E405" i="1"/>
  <c r="H405" i="1"/>
  <c r="D406" i="1"/>
  <c r="E406" i="1"/>
  <c r="H406" i="1"/>
  <c r="D402" i="1"/>
  <c r="E402" i="1"/>
  <c r="H402" i="1"/>
  <c r="D432" i="1"/>
  <c r="H432" i="1"/>
  <c r="I432" i="1"/>
  <c r="D414" i="1"/>
  <c r="H414" i="1"/>
  <c r="D415" i="1"/>
  <c r="H415" i="1"/>
  <c r="D416" i="1"/>
  <c r="H416" i="1"/>
  <c r="D417" i="1"/>
  <c r="H417" i="1"/>
  <c r="I417" i="1"/>
  <c r="D428" i="1"/>
  <c r="H428" i="1"/>
  <c r="I428" i="1"/>
  <c r="D422" i="1"/>
  <c r="E422" i="1"/>
  <c r="H422" i="1"/>
  <c r="D419" i="1"/>
  <c r="E419" i="1"/>
  <c r="H419" i="1"/>
  <c r="D420" i="1"/>
  <c r="E420" i="1"/>
  <c r="H420" i="1"/>
  <c r="I420" i="1"/>
  <c r="D403" i="1"/>
  <c r="H403" i="1"/>
  <c r="I403" i="1"/>
  <c r="D411" i="1"/>
  <c r="E411" i="1"/>
  <c r="H411" i="1"/>
  <c r="D412" i="1"/>
  <c r="E412" i="1"/>
  <c r="H412" i="1"/>
  <c r="D407" i="1"/>
  <c r="E407" i="1"/>
  <c r="H407" i="1"/>
  <c r="I407" i="1"/>
  <c r="D424" i="1"/>
  <c r="E424" i="1"/>
  <c r="H424" i="1"/>
  <c r="D425" i="1"/>
  <c r="E425" i="1"/>
  <c r="H425" i="1"/>
  <c r="I425" i="1"/>
  <c r="D404" i="1"/>
  <c r="E404" i="1"/>
  <c r="H404" i="1"/>
  <c r="D434" i="1"/>
  <c r="E434" i="1"/>
  <c r="H434" i="1"/>
  <c r="D427" i="1"/>
  <c r="H427" i="1"/>
  <c r="D436" i="1"/>
  <c r="E436" i="1"/>
  <c r="H436" i="1"/>
  <c r="D437" i="1"/>
  <c r="E437" i="1"/>
  <c r="H437" i="1"/>
  <c r="D399" i="1"/>
  <c r="E399" i="1"/>
  <c r="H399" i="1"/>
  <c r="D400" i="1"/>
  <c r="E400" i="1"/>
  <c r="H400" i="1"/>
  <c r="D401" i="1"/>
  <c r="E401" i="1"/>
  <c r="H401" i="1"/>
  <c r="D429" i="1"/>
  <c r="E429" i="1"/>
  <c r="H429" i="1"/>
  <c r="I429" i="1"/>
  <c r="D426" i="1"/>
  <c r="E426" i="1"/>
  <c r="H426" i="1"/>
  <c r="I426" i="1"/>
  <c r="D423" i="1"/>
  <c r="E423" i="1"/>
  <c r="H423" i="1"/>
  <c r="I423" i="1"/>
  <c r="D409" i="1"/>
  <c r="E409" i="1"/>
  <c r="H409" i="1"/>
  <c r="I409" i="1"/>
  <c r="D421" i="1"/>
  <c r="E421" i="1"/>
  <c r="H421" i="1"/>
  <c r="I421" i="1"/>
  <c r="D410" i="1"/>
  <c r="E410" i="1"/>
  <c r="H410" i="1"/>
  <c r="I410" i="1"/>
  <c r="D408" i="1"/>
  <c r="E408" i="1"/>
  <c r="H408" i="1"/>
  <c r="I408" i="1"/>
  <c r="D440" i="1"/>
  <c r="H440" i="1"/>
  <c r="I440" i="1"/>
  <c r="D439" i="1"/>
  <c r="H439" i="1"/>
  <c r="I439" i="1"/>
  <c r="D454" i="1"/>
  <c r="E454" i="1"/>
  <c r="H454" i="1"/>
  <c r="D455" i="1"/>
  <c r="H455" i="1"/>
  <c r="I455" i="1"/>
  <c r="D456" i="1"/>
  <c r="H456" i="1"/>
  <c r="D457" i="1"/>
  <c r="E457" i="1"/>
  <c r="H457" i="1"/>
  <c r="I457" i="1"/>
  <c r="D458" i="1"/>
  <c r="E458" i="1"/>
  <c r="H458" i="1"/>
  <c r="I458" i="1"/>
  <c r="D448" i="1"/>
  <c r="E448" i="1"/>
  <c r="H448" i="1"/>
  <c r="I448" i="1"/>
  <c r="D449" i="1"/>
  <c r="E449" i="1"/>
  <c r="H449" i="1"/>
  <c r="D450" i="1"/>
  <c r="E450" i="1"/>
  <c r="H450" i="1"/>
  <c r="D442" i="1"/>
  <c r="E442" i="1"/>
  <c r="H442" i="1"/>
  <c r="D443" i="1"/>
  <c r="E443" i="1"/>
  <c r="H443" i="1"/>
  <c r="D444" i="1"/>
  <c r="E444" i="1"/>
  <c r="H444" i="1"/>
  <c r="D445" i="1"/>
  <c r="E445" i="1"/>
  <c r="H445" i="1"/>
  <c r="D446" i="1"/>
  <c r="E446" i="1"/>
  <c r="H446" i="1"/>
  <c r="D447" i="1"/>
  <c r="E447" i="1"/>
  <c r="H447" i="1"/>
  <c r="D451" i="1"/>
  <c r="E451" i="1"/>
  <c r="H451" i="1"/>
  <c r="I451" i="1"/>
  <c r="D452" i="1"/>
  <c r="E452" i="1"/>
  <c r="H452" i="1"/>
  <c r="I452" i="1"/>
  <c r="D453" i="1"/>
  <c r="E453" i="1"/>
  <c r="H453" i="1"/>
  <c r="D441" i="1"/>
  <c r="H441" i="1"/>
  <c r="I441" i="1"/>
  <c r="D468" i="1"/>
  <c r="E468" i="1"/>
  <c r="H468" i="1"/>
  <c r="I468" i="1"/>
  <c r="D469" i="1"/>
  <c r="E469" i="1"/>
  <c r="H469" i="1"/>
  <c r="I469" i="1"/>
  <c r="D484" i="1"/>
  <c r="E484" i="1"/>
  <c r="H484" i="1"/>
  <c r="D467" i="1"/>
  <c r="E467" i="1"/>
  <c r="H467" i="1"/>
  <c r="I467" i="1"/>
  <c r="D482" i="1"/>
  <c r="H482" i="1"/>
  <c r="I482" i="1"/>
  <c r="D494" i="1"/>
  <c r="E494" i="1"/>
  <c r="H494" i="1"/>
  <c r="D491" i="1"/>
  <c r="H491" i="1"/>
  <c r="D495" i="1"/>
  <c r="H495" i="1"/>
  <c r="I495" i="1"/>
  <c r="D483" i="1"/>
  <c r="H483" i="1"/>
  <c r="I483" i="1"/>
  <c r="D492" i="1"/>
  <c r="E492" i="1"/>
  <c r="H492" i="1"/>
  <c r="I492" i="1"/>
  <c r="D463" i="1"/>
  <c r="H463" i="1"/>
  <c r="I463" i="1"/>
  <c r="D466" i="1"/>
  <c r="E466" i="1"/>
  <c r="H466" i="1"/>
  <c r="I466" i="1"/>
  <c r="D462" i="1"/>
  <c r="H462" i="1"/>
  <c r="D485" i="1"/>
  <c r="E485" i="1"/>
  <c r="H485" i="1"/>
  <c r="I485" i="1"/>
  <c r="D472" i="1"/>
  <c r="E472" i="1"/>
  <c r="H472" i="1"/>
  <c r="D473" i="1"/>
  <c r="E473" i="1"/>
  <c r="H473" i="1"/>
  <c r="D474" i="1"/>
  <c r="E474" i="1"/>
  <c r="H474" i="1"/>
  <c r="D475" i="1"/>
  <c r="E475" i="1"/>
  <c r="H475" i="1"/>
  <c r="D486" i="1"/>
  <c r="E486" i="1"/>
  <c r="H486" i="1"/>
  <c r="D487" i="1"/>
  <c r="H487" i="1"/>
  <c r="D488" i="1"/>
  <c r="E488" i="1"/>
  <c r="H488" i="1"/>
  <c r="I488" i="1"/>
  <c r="D489" i="1"/>
  <c r="E489" i="1"/>
  <c r="H489" i="1"/>
  <c r="D490" i="1"/>
  <c r="H490" i="1"/>
  <c r="D476" i="1"/>
  <c r="E476" i="1"/>
  <c r="H476" i="1"/>
  <c r="D477" i="1"/>
  <c r="E477" i="1"/>
  <c r="H477" i="1"/>
  <c r="D478" i="1"/>
  <c r="E478" i="1"/>
  <c r="H478" i="1"/>
  <c r="D465" i="1"/>
  <c r="H465" i="1"/>
  <c r="D459" i="1"/>
  <c r="H459" i="1"/>
  <c r="I459" i="1"/>
  <c r="D471" i="1"/>
  <c r="E471" i="1"/>
  <c r="H471" i="1"/>
  <c r="D493" i="1"/>
  <c r="E493" i="1"/>
  <c r="H493" i="1"/>
  <c r="D460" i="1"/>
  <c r="E460" i="1"/>
  <c r="H460" i="1"/>
  <c r="D461" i="1"/>
  <c r="E461" i="1"/>
  <c r="H461" i="1"/>
  <c r="D470" i="1"/>
  <c r="E470" i="1"/>
  <c r="H470" i="1"/>
  <c r="I470" i="1"/>
  <c r="D479" i="1"/>
  <c r="E479" i="1"/>
  <c r="H479" i="1"/>
  <c r="I479" i="1"/>
  <c r="D464" i="1"/>
  <c r="E464" i="1"/>
  <c r="H464" i="1"/>
  <c r="D481" i="1"/>
  <c r="E481" i="1"/>
  <c r="H481" i="1"/>
  <c r="D480" i="1"/>
  <c r="E480" i="1"/>
  <c r="H480" i="1"/>
  <c r="I480" i="1"/>
  <c r="D497" i="1"/>
  <c r="E497" i="1"/>
  <c r="H497" i="1"/>
  <c r="I497" i="1"/>
  <c r="D496" i="1"/>
  <c r="E496" i="1"/>
  <c r="H496" i="1"/>
  <c r="I496" i="1"/>
  <c r="D498" i="1"/>
  <c r="E498" i="1"/>
  <c r="H498" i="1"/>
  <c r="I498" i="1"/>
  <c r="D499" i="1"/>
  <c r="H499" i="1"/>
  <c r="I499" i="1"/>
  <c r="D500" i="1"/>
  <c r="E500" i="1"/>
  <c r="H500" i="1"/>
  <c r="I500" i="1"/>
  <c r="D501" i="1"/>
  <c r="E501" i="1"/>
  <c r="H501" i="1"/>
  <c r="I501" i="1"/>
  <c r="D502" i="1"/>
  <c r="E502" i="1"/>
  <c r="H502" i="1"/>
  <c r="I502" i="1"/>
  <c r="D503" i="1"/>
  <c r="E503" i="1"/>
  <c r="H503" i="1"/>
  <c r="I503" i="1"/>
  <c r="D553" i="1"/>
  <c r="H553" i="1"/>
  <c r="I553" i="1"/>
  <c r="D554" i="1"/>
  <c r="H554" i="1"/>
  <c r="I554" i="1"/>
  <c r="D522" i="1"/>
  <c r="E522" i="1"/>
  <c r="H522" i="1"/>
  <c r="D555" i="1"/>
  <c r="E555" i="1"/>
  <c r="H555" i="1"/>
  <c r="I555" i="1"/>
  <c r="D556" i="1"/>
  <c r="E556" i="1"/>
  <c r="H556" i="1"/>
  <c r="I556" i="1"/>
  <c r="D513" i="1"/>
  <c r="H513" i="1"/>
  <c r="I513" i="1"/>
  <c r="D514" i="1"/>
  <c r="H514" i="1"/>
  <c r="I514" i="1"/>
  <c r="D509" i="1"/>
  <c r="H509" i="1"/>
  <c r="I509" i="1"/>
  <c r="D534" i="1"/>
  <c r="H534" i="1"/>
  <c r="I534" i="1"/>
  <c r="D535" i="1"/>
  <c r="H535" i="1"/>
  <c r="I535" i="1"/>
  <c r="D533" i="1"/>
  <c r="E533" i="1"/>
  <c r="H533" i="1"/>
  <c r="D528" i="1"/>
  <c r="E528" i="1"/>
  <c r="H528" i="1"/>
  <c r="D529" i="1"/>
  <c r="E529" i="1"/>
  <c r="H529" i="1"/>
  <c r="I529" i="1"/>
  <c r="D530" i="1"/>
  <c r="E530" i="1"/>
  <c r="H530" i="1"/>
  <c r="I530" i="1"/>
  <c r="D520" i="1"/>
  <c r="E520" i="1"/>
  <c r="H520" i="1"/>
  <c r="I520" i="1"/>
  <c r="D545" i="1"/>
  <c r="E545" i="1"/>
  <c r="H545" i="1"/>
  <c r="D546" i="1"/>
  <c r="E546" i="1"/>
  <c r="H546" i="1"/>
  <c r="D540" i="1"/>
  <c r="E540" i="1"/>
  <c r="H540" i="1"/>
  <c r="D541" i="1"/>
  <c r="E541" i="1"/>
  <c r="H541" i="1"/>
  <c r="D558" i="1"/>
  <c r="E558" i="1"/>
  <c r="H558" i="1"/>
  <c r="D504" i="1"/>
  <c r="H504" i="1"/>
  <c r="D505" i="1"/>
  <c r="H505" i="1"/>
  <c r="D537" i="1"/>
  <c r="E537" i="1"/>
  <c r="H537" i="1"/>
  <c r="D542" i="1"/>
  <c r="E542" i="1"/>
  <c r="H542" i="1"/>
  <c r="D543" i="1"/>
  <c r="E543" i="1"/>
  <c r="H543" i="1"/>
  <c r="D544" i="1"/>
  <c r="E544" i="1"/>
  <c r="H544" i="1"/>
  <c r="D506" i="1"/>
  <c r="E506" i="1"/>
  <c r="H506" i="1"/>
  <c r="D507" i="1"/>
  <c r="H507" i="1"/>
  <c r="D536" i="1"/>
  <c r="E536" i="1"/>
  <c r="H536" i="1"/>
  <c r="I536" i="1"/>
  <c r="D516" i="1"/>
  <c r="E516" i="1"/>
  <c r="H516" i="1"/>
  <c r="I516" i="1"/>
  <c r="D557" i="1"/>
  <c r="H557" i="1"/>
  <c r="I557" i="1"/>
  <c r="D517" i="1"/>
  <c r="E517" i="1"/>
  <c r="H517" i="1"/>
  <c r="D548" i="1"/>
  <c r="H548" i="1"/>
  <c r="I548" i="1"/>
  <c r="D508" i="1"/>
  <c r="E508" i="1"/>
  <c r="H508" i="1"/>
  <c r="I508" i="1"/>
  <c r="D547" i="1"/>
  <c r="E547" i="1"/>
  <c r="H547" i="1"/>
  <c r="I547" i="1"/>
  <c r="D515" i="1"/>
  <c r="E515" i="1"/>
  <c r="H515" i="1"/>
  <c r="D523" i="1"/>
  <c r="E523" i="1"/>
  <c r="H523" i="1"/>
  <c r="D531" i="1"/>
  <c r="E531" i="1"/>
  <c r="H531" i="1"/>
  <c r="D549" i="1"/>
  <c r="E549" i="1"/>
  <c r="H549" i="1"/>
  <c r="I549" i="1"/>
  <c r="D550" i="1"/>
  <c r="E550" i="1"/>
  <c r="H550" i="1"/>
  <c r="I550" i="1"/>
  <c r="D551" i="1"/>
  <c r="E551" i="1"/>
  <c r="H551" i="1"/>
  <c r="I551" i="1"/>
  <c r="D510" i="1"/>
  <c r="E510" i="1"/>
  <c r="H510" i="1"/>
  <c r="I510" i="1"/>
  <c r="D532" i="1"/>
  <c r="E532" i="1"/>
  <c r="H532" i="1"/>
  <c r="I532" i="1"/>
  <c r="D511" i="1"/>
  <c r="H511" i="1"/>
  <c r="I511" i="1"/>
  <c r="D524" i="1"/>
  <c r="E524" i="1"/>
  <c r="H524" i="1"/>
  <c r="D525" i="1"/>
  <c r="H525" i="1"/>
  <c r="I525" i="1"/>
  <c r="D526" i="1"/>
  <c r="E526" i="1"/>
  <c r="H526" i="1"/>
  <c r="I526" i="1"/>
  <c r="D521" i="1"/>
  <c r="E521" i="1"/>
  <c r="H521" i="1"/>
  <c r="I521" i="1"/>
  <c r="D527" i="1"/>
  <c r="E527" i="1"/>
  <c r="H527" i="1"/>
  <c r="D512" i="1"/>
  <c r="E512" i="1"/>
  <c r="H512" i="1"/>
  <c r="D552" i="1"/>
  <c r="H552" i="1"/>
  <c r="D538" i="1"/>
  <c r="E538" i="1"/>
  <c r="H538" i="1"/>
  <c r="D518" i="1"/>
  <c r="H518" i="1"/>
  <c r="I518" i="1"/>
  <c r="D539" i="1"/>
  <c r="H539" i="1"/>
  <c r="I539" i="1"/>
  <c r="D519" i="1"/>
  <c r="E519" i="1"/>
  <c r="H519" i="1"/>
  <c r="I519" i="1"/>
  <c r="D559" i="1"/>
  <c r="E559" i="1"/>
  <c r="H559" i="1"/>
  <c r="I559" i="1"/>
  <c r="D560" i="1"/>
  <c r="E560" i="1"/>
  <c r="H560" i="1"/>
  <c r="I560" i="1"/>
  <c r="D561" i="1"/>
  <c r="E561" i="1"/>
  <c r="H561" i="1"/>
  <c r="I561" i="1"/>
  <c r="D562" i="1"/>
  <c r="E562" i="1"/>
  <c r="H562" i="1"/>
  <c r="I562" i="1"/>
  <c r="D595" i="1"/>
  <c r="E595" i="1"/>
  <c r="H595" i="1"/>
  <c r="D596" i="1"/>
  <c r="E596" i="1"/>
  <c r="H596" i="1"/>
  <c r="D597" i="1"/>
  <c r="E597" i="1"/>
  <c r="H597" i="1"/>
  <c r="D598" i="1"/>
  <c r="E598" i="1"/>
  <c r="H598" i="1"/>
  <c r="D599" i="1"/>
  <c r="E599" i="1"/>
  <c r="H599" i="1"/>
  <c r="D600" i="1"/>
  <c r="E600" i="1"/>
  <c r="H600" i="1"/>
  <c r="D601" i="1"/>
  <c r="E601" i="1"/>
  <c r="H601" i="1"/>
  <c r="D602" i="1"/>
  <c r="E602" i="1"/>
  <c r="H602" i="1"/>
  <c r="D603" i="1"/>
  <c r="E603" i="1"/>
  <c r="H603" i="1"/>
  <c r="D604" i="1"/>
  <c r="E604" i="1"/>
  <c r="H604" i="1"/>
  <c r="D605" i="1"/>
  <c r="E605" i="1"/>
  <c r="H605" i="1"/>
  <c r="D606" i="1"/>
  <c r="E606" i="1"/>
  <c r="H606" i="1"/>
  <c r="D607" i="1"/>
  <c r="E607" i="1"/>
  <c r="H607" i="1"/>
  <c r="D563" i="1"/>
  <c r="E563" i="1"/>
  <c r="H563" i="1"/>
  <c r="D564" i="1"/>
  <c r="E564" i="1"/>
  <c r="H564" i="1"/>
  <c r="D565" i="1"/>
  <c r="E565" i="1"/>
  <c r="H565" i="1"/>
  <c r="D566" i="1"/>
  <c r="E566" i="1"/>
  <c r="H566" i="1"/>
  <c r="D567" i="1"/>
  <c r="E567" i="1"/>
  <c r="H567" i="1"/>
  <c r="D568" i="1"/>
  <c r="E568" i="1"/>
  <c r="H568" i="1"/>
  <c r="D569" i="1"/>
  <c r="E569" i="1"/>
  <c r="H569" i="1"/>
  <c r="D570" i="1"/>
  <c r="E570" i="1"/>
  <c r="H570" i="1"/>
  <c r="D571" i="1"/>
  <c r="E571" i="1"/>
  <c r="H571" i="1"/>
  <c r="D572" i="1"/>
  <c r="E572" i="1"/>
  <c r="H572" i="1"/>
  <c r="D573" i="1"/>
  <c r="E573" i="1"/>
  <c r="H573" i="1"/>
  <c r="D574" i="1"/>
  <c r="E574" i="1"/>
  <c r="H574" i="1"/>
  <c r="D577" i="1"/>
  <c r="E577" i="1"/>
  <c r="H577" i="1"/>
  <c r="D578" i="1"/>
  <c r="E578" i="1"/>
  <c r="H578" i="1"/>
  <c r="D579" i="1"/>
  <c r="E579" i="1"/>
  <c r="H579" i="1"/>
  <c r="D580" i="1"/>
  <c r="E580" i="1"/>
  <c r="H580" i="1"/>
  <c r="D581" i="1"/>
  <c r="E581" i="1"/>
  <c r="H581" i="1"/>
  <c r="D582" i="1"/>
  <c r="E582" i="1"/>
  <c r="H582" i="1"/>
  <c r="D575" i="1"/>
  <c r="E575" i="1"/>
  <c r="H575" i="1"/>
  <c r="D576" i="1"/>
  <c r="E576" i="1"/>
  <c r="H576" i="1"/>
  <c r="D583" i="1"/>
  <c r="E583" i="1"/>
  <c r="H583" i="1"/>
  <c r="D584" i="1"/>
  <c r="E584" i="1"/>
  <c r="H584" i="1"/>
  <c r="D585" i="1"/>
  <c r="E585" i="1"/>
  <c r="H585" i="1"/>
  <c r="D586" i="1"/>
  <c r="E586" i="1"/>
  <c r="H586" i="1"/>
  <c r="D587" i="1"/>
  <c r="E587" i="1"/>
  <c r="H587" i="1"/>
  <c r="D588" i="1"/>
  <c r="E588" i="1"/>
  <c r="H588" i="1"/>
  <c r="D589" i="1"/>
  <c r="E589" i="1"/>
  <c r="H589" i="1"/>
  <c r="D590" i="1"/>
  <c r="E590" i="1"/>
  <c r="H590" i="1"/>
  <c r="D591" i="1"/>
  <c r="E591" i="1"/>
  <c r="H591" i="1"/>
  <c r="D592" i="1"/>
  <c r="E592" i="1"/>
  <c r="H592" i="1"/>
  <c r="D593" i="1"/>
  <c r="E593" i="1"/>
  <c r="H593" i="1"/>
  <c r="D608" i="1"/>
  <c r="E608" i="1"/>
  <c r="H608" i="1"/>
  <c r="D609" i="1"/>
  <c r="E609" i="1"/>
  <c r="H609" i="1"/>
  <c r="D594" i="1"/>
  <c r="E594" i="1"/>
  <c r="H594" i="1"/>
  <c r="D610" i="1"/>
  <c r="E610" i="1"/>
  <c r="H610" i="1"/>
  <c r="D611" i="1"/>
  <c r="E611" i="1"/>
  <c r="H611" i="1"/>
  <c r="D629" i="1"/>
  <c r="E629" i="1"/>
  <c r="H629" i="1"/>
  <c r="I629" i="1"/>
  <c r="D627" i="1"/>
  <c r="E627" i="1"/>
  <c r="H627" i="1"/>
  <c r="I627" i="1"/>
  <c r="D637" i="1"/>
  <c r="H637" i="1"/>
  <c r="I637" i="1"/>
  <c r="D628" i="1"/>
  <c r="E628" i="1"/>
  <c r="H628" i="1"/>
  <c r="I628" i="1"/>
  <c r="D677" i="1"/>
  <c r="E677" i="1"/>
  <c r="H677" i="1"/>
  <c r="D669" i="1"/>
  <c r="H669" i="1"/>
  <c r="I669" i="1"/>
  <c r="D741" i="1"/>
  <c r="H741" i="1"/>
  <c r="D666" i="1"/>
  <c r="E666" i="1"/>
  <c r="H666" i="1"/>
  <c r="D678" i="1"/>
  <c r="E678" i="1"/>
  <c r="H678" i="1"/>
  <c r="I678" i="1"/>
  <c r="D654" i="1"/>
  <c r="E654" i="1"/>
  <c r="H654" i="1"/>
  <c r="I654" i="1"/>
  <c r="D679" i="1"/>
  <c r="H679" i="1"/>
  <c r="I679" i="1"/>
  <c r="D670" i="1"/>
  <c r="H670" i="1"/>
  <c r="I670" i="1"/>
  <c r="D675" i="1"/>
  <c r="E675" i="1"/>
  <c r="H675" i="1"/>
  <c r="D661" i="1"/>
  <c r="E661" i="1"/>
  <c r="H661" i="1"/>
  <c r="D680" i="1"/>
  <c r="E680" i="1"/>
  <c r="H680" i="1"/>
  <c r="I680" i="1"/>
  <c r="D681" i="1"/>
  <c r="E681" i="1"/>
  <c r="H681" i="1"/>
  <c r="D682" i="1"/>
  <c r="E682" i="1"/>
  <c r="H682" i="1"/>
  <c r="I682" i="1"/>
  <c r="D683" i="1"/>
  <c r="E683" i="1"/>
  <c r="H683" i="1"/>
  <c r="I683" i="1"/>
  <c r="D684" i="1"/>
  <c r="H684" i="1"/>
  <c r="D667" i="1"/>
  <c r="E667" i="1"/>
  <c r="H667" i="1"/>
  <c r="D668" i="1"/>
  <c r="E668" i="1"/>
  <c r="H668" i="1"/>
  <c r="D685" i="1"/>
  <c r="H685" i="1"/>
  <c r="D742" i="1"/>
  <c r="E742" i="1"/>
  <c r="H742" i="1"/>
  <c r="D743" i="1"/>
  <c r="E743" i="1"/>
  <c r="H743" i="1"/>
  <c r="I743" i="1"/>
  <c r="D744" i="1"/>
  <c r="E744" i="1"/>
  <c r="H744" i="1"/>
  <c r="I744" i="1"/>
  <c r="D686" i="1"/>
  <c r="E686" i="1"/>
  <c r="H686" i="1"/>
  <c r="D687" i="1"/>
  <c r="E687" i="1"/>
  <c r="H687" i="1"/>
  <c r="D688" i="1"/>
  <c r="E688" i="1"/>
  <c r="H688" i="1"/>
  <c r="D689" i="1"/>
  <c r="E689" i="1"/>
  <c r="H689" i="1"/>
  <c r="D690" i="1"/>
  <c r="E690" i="1"/>
  <c r="H690" i="1"/>
  <c r="D691" i="1"/>
  <c r="E691" i="1"/>
  <c r="H691" i="1"/>
  <c r="D692" i="1"/>
  <c r="E692" i="1"/>
  <c r="H692" i="1"/>
  <c r="D693" i="1"/>
  <c r="E693" i="1"/>
  <c r="H693" i="1"/>
  <c r="D694" i="1"/>
  <c r="E694" i="1"/>
  <c r="H694" i="1"/>
  <c r="D695" i="1"/>
  <c r="E695" i="1"/>
  <c r="H695" i="1"/>
  <c r="D696" i="1"/>
  <c r="E696" i="1"/>
  <c r="H696" i="1"/>
  <c r="D697" i="1"/>
  <c r="E697" i="1"/>
  <c r="H697" i="1"/>
  <c r="D698" i="1"/>
  <c r="E698" i="1"/>
  <c r="H698" i="1"/>
  <c r="D699" i="1"/>
  <c r="E699" i="1"/>
  <c r="H699" i="1"/>
  <c r="D700" i="1"/>
  <c r="E700" i="1"/>
  <c r="H700" i="1"/>
  <c r="D701" i="1"/>
  <c r="E701" i="1"/>
  <c r="H701" i="1"/>
  <c r="D702" i="1"/>
  <c r="E702" i="1"/>
  <c r="H702" i="1"/>
  <c r="D703" i="1"/>
  <c r="E703" i="1"/>
  <c r="H703" i="1"/>
  <c r="D704" i="1"/>
  <c r="E704" i="1"/>
  <c r="H704" i="1"/>
  <c r="D705" i="1"/>
  <c r="E705" i="1"/>
  <c r="H705" i="1"/>
  <c r="D706" i="1"/>
  <c r="E706" i="1"/>
  <c r="H706" i="1"/>
  <c r="D707" i="1"/>
  <c r="E707" i="1"/>
  <c r="H707" i="1"/>
  <c r="D708" i="1"/>
  <c r="E708" i="1"/>
  <c r="H708" i="1"/>
  <c r="D709" i="1"/>
  <c r="E709" i="1"/>
  <c r="H709" i="1"/>
  <c r="D710" i="1"/>
  <c r="E710" i="1"/>
  <c r="H710" i="1"/>
  <c r="D711" i="1"/>
  <c r="E711" i="1"/>
  <c r="H711" i="1"/>
  <c r="D712" i="1"/>
  <c r="E712" i="1"/>
  <c r="H712" i="1"/>
  <c r="D713" i="1"/>
  <c r="E713" i="1"/>
  <c r="H713" i="1"/>
  <c r="D714" i="1"/>
  <c r="E714" i="1"/>
  <c r="H714" i="1"/>
  <c r="D715" i="1"/>
  <c r="E715" i="1"/>
  <c r="H715" i="1"/>
  <c r="D716" i="1"/>
  <c r="E716" i="1"/>
  <c r="H716" i="1"/>
  <c r="D717" i="1"/>
  <c r="E717" i="1"/>
  <c r="H717" i="1"/>
  <c r="D718" i="1"/>
  <c r="E718" i="1"/>
  <c r="H718" i="1"/>
  <c r="D719" i="1"/>
  <c r="E719" i="1"/>
  <c r="H719" i="1"/>
  <c r="D720" i="1"/>
  <c r="E720" i="1"/>
  <c r="H720" i="1"/>
  <c r="D721" i="1"/>
  <c r="E721" i="1"/>
  <c r="H721" i="1"/>
  <c r="D722" i="1"/>
  <c r="E722" i="1"/>
  <c r="H722" i="1"/>
  <c r="D723" i="1"/>
  <c r="E723" i="1"/>
  <c r="H723" i="1"/>
  <c r="D724" i="1"/>
  <c r="E724" i="1"/>
  <c r="H724" i="1"/>
  <c r="D725" i="1"/>
  <c r="E725" i="1"/>
  <c r="H725" i="1"/>
  <c r="D726" i="1"/>
  <c r="E726" i="1"/>
  <c r="H726" i="1"/>
  <c r="D727" i="1"/>
  <c r="E727" i="1"/>
  <c r="H727" i="1"/>
  <c r="D728" i="1"/>
  <c r="E728" i="1"/>
  <c r="H728" i="1"/>
  <c r="D729" i="1"/>
  <c r="E729" i="1"/>
  <c r="H729" i="1"/>
  <c r="D730" i="1"/>
  <c r="E730" i="1"/>
  <c r="H730" i="1"/>
  <c r="D731" i="1"/>
  <c r="E731" i="1"/>
  <c r="H731" i="1"/>
  <c r="D732" i="1"/>
  <c r="E732" i="1"/>
  <c r="H732" i="1"/>
  <c r="D733" i="1"/>
  <c r="E733" i="1"/>
  <c r="H733" i="1"/>
  <c r="D734" i="1"/>
  <c r="E734" i="1"/>
  <c r="H734" i="1"/>
  <c r="D735" i="1"/>
  <c r="E735" i="1"/>
  <c r="H735" i="1"/>
  <c r="D736" i="1"/>
  <c r="E736" i="1"/>
  <c r="H736" i="1"/>
  <c r="D737" i="1"/>
  <c r="E737" i="1"/>
  <c r="H737" i="1"/>
  <c r="D738" i="1"/>
  <c r="E738" i="1"/>
  <c r="H738" i="1"/>
  <c r="D739" i="1"/>
  <c r="E739" i="1"/>
  <c r="H739" i="1"/>
  <c r="D740" i="1"/>
  <c r="E740" i="1"/>
  <c r="H740" i="1"/>
  <c r="D620" i="1"/>
  <c r="E620" i="1"/>
  <c r="H620" i="1"/>
  <c r="D621" i="1"/>
  <c r="E621" i="1"/>
  <c r="H621" i="1"/>
  <c r="D651" i="1"/>
  <c r="E651" i="1"/>
  <c r="H651" i="1"/>
  <c r="I651" i="1"/>
  <c r="D652" i="1"/>
  <c r="E652" i="1"/>
  <c r="H652" i="1"/>
  <c r="I652" i="1"/>
  <c r="D653" i="1"/>
  <c r="E653" i="1"/>
  <c r="H653" i="1"/>
  <c r="I653" i="1"/>
  <c r="D638" i="1"/>
  <c r="H638" i="1"/>
  <c r="I638" i="1"/>
  <c r="D615" i="1"/>
  <c r="H615" i="1"/>
  <c r="D612" i="1"/>
  <c r="H612" i="1"/>
  <c r="I612" i="1"/>
  <c r="D639" i="1"/>
  <c r="H639" i="1"/>
  <c r="I639" i="1"/>
  <c r="D616" i="1"/>
  <c r="H616" i="1"/>
  <c r="D613" i="1"/>
  <c r="H613" i="1"/>
  <c r="I613" i="1"/>
  <c r="D640" i="1"/>
  <c r="H640" i="1"/>
  <c r="D617" i="1"/>
  <c r="E617" i="1"/>
  <c r="H617" i="1"/>
  <c r="D623" i="1"/>
  <c r="E623" i="1"/>
  <c r="H623" i="1"/>
  <c r="D624" i="1"/>
  <c r="E624" i="1"/>
  <c r="H624" i="1"/>
  <c r="D625" i="1"/>
  <c r="E625" i="1"/>
  <c r="H625" i="1"/>
  <c r="D618" i="1"/>
  <c r="E618" i="1"/>
  <c r="H618" i="1"/>
  <c r="D630" i="1"/>
  <c r="E630" i="1"/>
  <c r="H630" i="1"/>
  <c r="D619" i="1"/>
  <c r="E619" i="1"/>
  <c r="H619" i="1"/>
  <c r="D631" i="1"/>
  <c r="H631" i="1"/>
  <c r="I631" i="1"/>
  <c r="D614" i="1"/>
  <c r="E614" i="1"/>
  <c r="H614" i="1"/>
  <c r="D641" i="1"/>
  <c r="H641" i="1"/>
  <c r="I641" i="1"/>
  <c r="D642" i="1"/>
  <c r="E642" i="1"/>
  <c r="H642" i="1"/>
  <c r="I642" i="1"/>
  <c r="D632" i="1"/>
  <c r="H632" i="1"/>
  <c r="D633" i="1"/>
  <c r="H633" i="1"/>
  <c r="D643" i="1"/>
  <c r="H643" i="1"/>
  <c r="I643" i="1"/>
  <c r="D655" i="1"/>
  <c r="H655" i="1"/>
  <c r="I655" i="1"/>
  <c r="D656" i="1"/>
  <c r="H656" i="1"/>
  <c r="I656" i="1"/>
  <c r="D644" i="1"/>
  <c r="H644" i="1"/>
  <c r="I644" i="1"/>
  <c r="D645" i="1"/>
  <c r="H645" i="1"/>
  <c r="I645" i="1"/>
  <c r="D646" i="1"/>
  <c r="H646" i="1"/>
  <c r="I646" i="1"/>
  <c r="D657" i="1"/>
  <c r="E657" i="1"/>
  <c r="H657" i="1"/>
  <c r="D634" i="1"/>
  <c r="E634" i="1"/>
  <c r="H634" i="1"/>
  <c r="D635" i="1"/>
  <c r="H635" i="1"/>
  <c r="D647" i="1"/>
  <c r="H647" i="1"/>
  <c r="I647" i="1"/>
  <c r="D636" i="1"/>
  <c r="H636" i="1"/>
  <c r="I636" i="1"/>
  <c r="D648" i="1"/>
  <c r="H648" i="1"/>
  <c r="I648" i="1"/>
  <c r="D649" i="1"/>
  <c r="E649" i="1"/>
  <c r="H649" i="1"/>
  <c r="D650" i="1"/>
  <c r="H650" i="1"/>
  <c r="I650" i="1"/>
  <c r="D622" i="1"/>
  <c r="E622" i="1"/>
  <c r="H622" i="1"/>
  <c r="D662" i="1"/>
  <c r="E662" i="1"/>
  <c r="H662" i="1"/>
  <c r="I662" i="1"/>
  <c r="D663" i="1"/>
  <c r="E663" i="1"/>
  <c r="H663" i="1"/>
  <c r="I663" i="1"/>
  <c r="D664" i="1"/>
  <c r="E664" i="1"/>
  <c r="H664" i="1"/>
  <c r="I664" i="1"/>
  <c r="D665" i="1"/>
  <c r="E665" i="1"/>
  <c r="H665" i="1"/>
  <c r="I665" i="1"/>
  <c r="D671" i="1"/>
  <c r="E671" i="1"/>
  <c r="H671" i="1"/>
  <c r="I671" i="1"/>
  <c r="D672" i="1"/>
  <c r="E672" i="1"/>
  <c r="H672" i="1"/>
  <c r="D658" i="1"/>
  <c r="E658" i="1"/>
  <c r="H658" i="1"/>
  <c r="I658" i="1"/>
  <c r="D676" i="1"/>
  <c r="E676" i="1"/>
  <c r="H676" i="1"/>
  <c r="I676" i="1"/>
  <c r="D673" i="1"/>
  <c r="E673" i="1"/>
  <c r="H673" i="1"/>
  <c r="I673" i="1"/>
  <c r="D674" i="1"/>
  <c r="E674" i="1"/>
  <c r="H674" i="1"/>
  <c r="I674" i="1"/>
  <c r="D659" i="1"/>
  <c r="E659" i="1"/>
  <c r="H659" i="1"/>
  <c r="D626" i="1"/>
  <c r="E626" i="1"/>
  <c r="H626" i="1"/>
  <c r="D660" i="1"/>
  <c r="E660" i="1"/>
  <c r="H660" i="1"/>
  <c r="I660" i="1"/>
  <c r="D745" i="1"/>
  <c r="E745" i="1"/>
  <c r="H745" i="1"/>
  <c r="I745" i="1"/>
  <c r="D746" i="1"/>
  <c r="E746" i="1"/>
  <c r="H746" i="1"/>
  <c r="I746" i="1"/>
  <c r="D812" i="1"/>
  <c r="H812" i="1"/>
  <c r="I812" i="1"/>
  <c r="D749" i="1"/>
  <c r="E749" i="1"/>
  <c r="H749" i="1"/>
  <c r="D753" i="1"/>
  <c r="E753" i="1"/>
  <c r="H753" i="1"/>
  <c r="D810" i="1"/>
  <c r="E810" i="1"/>
  <c r="H810" i="1"/>
  <c r="D754" i="1"/>
  <c r="H754" i="1"/>
  <c r="D803" i="1"/>
  <c r="E803" i="1"/>
  <c r="H803" i="1"/>
  <c r="D804" i="1"/>
  <c r="E804" i="1"/>
  <c r="H804" i="1"/>
  <c r="D783" i="1"/>
  <c r="E783" i="1"/>
  <c r="H783" i="1"/>
  <c r="I783" i="1"/>
  <c r="D811" i="1"/>
  <c r="E811" i="1"/>
  <c r="H811" i="1"/>
  <c r="D784" i="1"/>
  <c r="E784" i="1"/>
  <c r="H784" i="1"/>
  <c r="D785" i="1"/>
  <c r="E785" i="1"/>
  <c r="H785" i="1"/>
  <c r="D806" i="1"/>
  <c r="E806" i="1"/>
  <c r="H806" i="1"/>
  <c r="I806" i="1"/>
  <c r="D799" i="1"/>
  <c r="H799" i="1"/>
  <c r="I799" i="1"/>
  <c r="D817" i="1"/>
  <c r="E817" i="1"/>
  <c r="H817" i="1"/>
  <c r="D818" i="1"/>
  <c r="E818" i="1"/>
  <c r="H818" i="1"/>
  <c r="D819" i="1"/>
  <c r="H819" i="1"/>
  <c r="I819" i="1"/>
  <c r="D756" i="1"/>
  <c r="E756" i="1"/>
  <c r="H756" i="1"/>
  <c r="D757" i="1"/>
  <c r="E757" i="1"/>
  <c r="H757" i="1"/>
  <c r="D820" i="1"/>
  <c r="E820" i="1"/>
  <c r="H820" i="1"/>
  <c r="D751" i="1"/>
  <c r="H751" i="1"/>
  <c r="I751" i="1"/>
  <c r="D752" i="1"/>
  <c r="E752" i="1"/>
  <c r="H752" i="1"/>
  <c r="D750" i="1"/>
  <c r="E750" i="1"/>
  <c r="H750" i="1"/>
  <c r="D805" i="1"/>
  <c r="E805" i="1"/>
  <c r="H805" i="1"/>
  <c r="I805" i="1"/>
  <c r="D747" i="1"/>
  <c r="E747" i="1"/>
  <c r="H747" i="1"/>
  <c r="I747" i="1"/>
  <c r="D807" i="1"/>
  <c r="E807" i="1"/>
  <c r="H807" i="1"/>
  <c r="I807" i="1"/>
  <c r="D786" i="1"/>
  <c r="H786" i="1"/>
  <c r="I786" i="1"/>
  <c r="D792" i="1"/>
  <c r="H792" i="1"/>
  <c r="I792" i="1"/>
  <c r="D800" i="1"/>
  <c r="H800" i="1"/>
  <c r="I800" i="1"/>
  <c r="D759" i="1"/>
  <c r="E759" i="1"/>
  <c r="H759" i="1"/>
  <c r="D788" i="1"/>
  <c r="E788" i="1"/>
  <c r="H788" i="1"/>
  <c r="I788" i="1"/>
  <c r="D755" i="1"/>
  <c r="E755" i="1"/>
  <c r="H755" i="1"/>
  <c r="I755" i="1"/>
  <c r="D789" i="1"/>
  <c r="E789" i="1"/>
  <c r="H789" i="1"/>
  <c r="D760" i="1"/>
  <c r="E760" i="1"/>
  <c r="H760" i="1"/>
  <c r="D761" i="1"/>
  <c r="E761" i="1"/>
  <c r="H761" i="1"/>
  <c r="I761" i="1"/>
  <c r="D808" i="1"/>
  <c r="E808" i="1"/>
  <c r="H808" i="1"/>
  <c r="I808" i="1"/>
  <c r="D814" i="1"/>
  <c r="E814" i="1"/>
  <c r="H814" i="1"/>
  <c r="D809" i="1"/>
  <c r="H809" i="1"/>
  <c r="I809" i="1"/>
  <c r="D748" i="1"/>
  <c r="H748" i="1"/>
  <c r="I748" i="1"/>
  <c r="D758" i="1"/>
  <c r="E758" i="1"/>
  <c r="H758" i="1"/>
  <c r="I758" i="1"/>
  <c r="D801" i="1"/>
  <c r="E801" i="1"/>
  <c r="H801" i="1"/>
  <c r="I801" i="1"/>
  <c r="D815" i="1"/>
  <c r="E815" i="1"/>
  <c r="H815" i="1"/>
  <c r="I815" i="1"/>
  <c r="D816" i="1"/>
  <c r="E816" i="1"/>
  <c r="H816" i="1"/>
  <c r="I816" i="1"/>
  <c r="D790" i="1"/>
  <c r="E790" i="1"/>
  <c r="H790" i="1"/>
  <c r="I790" i="1"/>
  <c r="D813" i="1"/>
  <c r="E813" i="1"/>
  <c r="H813" i="1"/>
  <c r="I813" i="1"/>
  <c r="D791" i="1"/>
  <c r="E791" i="1"/>
  <c r="H791" i="1"/>
  <c r="I791" i="1"/>
  <c r="D802" i="1"/>
  <c r="E802" i="1"/>
  <c r="H802" i="1"/>
  <c r="D794" i="1"/>
  <c r="E794" i="1"/>
  <c r="H794" i="1"/>
  <c r="D795" i="1"/>
  <c r="E795" i="1"/>
  <c r="H795" i="1"/>
  <c r="D796" i="1"/>
  <c r="E796" i="1"/>
  <c r="H796" i="1"/>
  <c r="D797" i="1"/>
  <c r="E797" i="1"/>
  <c r="H797" i="1"/>
  <c r="D798" i="1"/>
  <c r="E798" i="1"/>
  <c r="H798" i="1"/>
  <c r="D787" i="1"/>
  <c r="E787" i="1"/>
  <c r="H787" i="1"/>
  <c r="I787" i="1"/>
  <c r="D762" i="1"/>
  <c r="E762" i="1"/>
  <c r="H762" i="1"/>
  <c r="D763" i="1"/>
  <c r="E763" i="1"/>
  <c r="H763" i="1"/>
  <c r="D764" i="1"/>
  <c r="E764" i="1"/>
  <c r="H764" i="1"/>
  <c r="I764" i="1"/>
  <c r="D765" i="1"/>
  <c r="E765" i="1"/>
  <c r="H765" i="1"/>
  <c r="I765" i="1"/>
  <c r="D766" i="1"/>
  <c r="E766" i="1"/>
  <c r="H766" i="1"/>
  <c r="D767" i="1"/>
  <c r="E767" i="1"/>
  <c r="H767" i="1"/>
  <c r="D768" i="1"/>
  <c r="E768" i="1"/>
  <c r="H768" i="1"/>
  <c r="D769" i="1"/>
  <c r="H769" i="1"/>
  <c r="D770" i="1"/>
  <c r="E770" i="1"/>
  <c r="H770" i="1"/>
  <c r="D771" i="1"/>
  <c r="E771" i="1"/>
  <c r="H771" i="1"/>
  <c r="D772" i="1"/>
  <c r="E772" i="1"/>
  <c r="H772" i="1"/>
  <c r="D773" i="1"/>
  <c r="E773" i="1"/>
  <c r="H773" i="1"/>
  <c r="D793" i="1"/>
  <c r="E793" i="1"/>
  <c r="H793" i="1"/>
  <c r="D774" i="1"/>
  <c r="H774" i="1"/>
  <c r="D775" i="1"/>
  <c r="E775" i="1"/>
  <c r="H775" i="1"/>
  <c r="D776" i="1"/>
  <c r="E776" i="1"/>
  <c r="H776" i="1"/>
  <c r="D777" i="1"/>
  <c r="E777" i="1"/>
  <c r="H777" i="1"/>
  <c r="D778" i="1"/>
  <c r="E778" i="1"/>
  <c r="H778" i="1"/>
  <c r="D779" i="1"/>
  <c r="E779" i="1"/>
  <c r="H779" i="1"/>
  <c r="D780" i="1"/>
  <c r="E780" i="1"/>
  <c r="H780" i="1"/>
  <c r="D781" i="1"/>
  <c r="E781" i="1"/>
  <c r="H781" i="1"/>
  <c r="D782" i="1"/>
  <c r="E782" i="1"/>
  <c r="H782" i="1"/>
  <c r="D821" i="1"/>
  <c r="E821" i="1"/>
  <c r="H821" i="1"/>
  <c r="D824" i="1"/>
  <c r="H824" i="1"/>
  <c r="I824" i="1"/>
  <c r="D825" i="1"/>
  <c r="H825" i="1"/>
  <c r="I825" i="1"/>
  <c r="D826" i="1"/>
  <c r="H826" i="1"/>
  <c r="I826" i="1"/>
  <c r="D827" i="1"/>
  <c r="E827" i="1"/>
  <c r="H827" i="1"/>
  <c r="D828" i="1"/>
  <c r="E828" i="1"/>
  <c r="H828" i="1"/>
  <c r="D822" i="1"/>
  <c r="E822" i="1"/>
  <c r="H822" i="1"/>
  <c r="D823" i="1"/>
  <c r="E823" i="1"/>
  <c r="H823" i="1"/>
  <c r="D904" i="1"/>
  <c r="H904" i="1"/>
  <c r="I904" i="1"/>
  <c r="D905" i="1"/>
  <c r="H905" i="1"/>
  <c r="I905" i="1"/>
  <c r="D866" i="1"/>
  <c r="E866" i="1"/>
  <c r="H866" i="1"/>
  <c r="I866" i="1"/>
  <c r="D867" i="1"/>
  <c r="H867" i="1"/>
  <c r="I867" i="1"/>
  <c r="D868" i="1"/>
  <c r="H868" i="1"/>
  <c r="I868" i="1"/>
  <c r="D869" i="1"/>
  <c r="H869" i="1"/>
  <c r="I869" i="1"/>
  <c r="D870" i="1"/>
  <c r="H870" i="1"/>
  <c r="I870" i="1"/>
  <c r="D871" i="1"/>
  <c r="E871" i="1"/>
  <c r="H871" i="1"/>
  <c r="D872" i="1"/>
  <c r="E872" i="1"/>
  <c r="H872" i="1"/>
  <c r="D873" i="1"/>
  <c r="E873" i="1"/>
  <c r="H873" i="1"/>
  <c r="D874" i="1"/>
  <c r="E874" i="1"/>
  <c r="H874" i="1"/>
  <c r="D875" i="1"/>
  <c r="E875" i="1"/>
  <c r="H875" i="1"/>
  <c r="K875" i="1"/>
  <c r="D876" i="1"/>
  <c r="E876" i="1"/>
  <c r="H876" i="1"/>
  <c r="D877" i="1"/>
  <c r="E877" i="1"/>
  <c r="H877" i="1"/>
  <c r="D878" i="1"/>
  <c r="E878" i="1"/>
  <c r="H878" i="1"/>
  <c r="D879" i="1"/>
  <c r="E879" i="1"/>
  <c r="H879" i="1"/>
  <c r="D893" i="1"/>
  <c r="E893" i="1"/>
  <c r="H893" i="1"/>
  <c r="I893" i="1"/>
  <c r="D890" i="1"/>
  <c r="H890" i="1"/>
  <c r="I890" i="1"/>
  <c r="D891" i="1"/>
  <c r="H891" i="1"/>
  <c r="I891" i="1"/>
  <c r="D894" i="1"/>
  <c r="H894" i="1"/>
  <c r="I894" i="1"/>
  <c r="D895" i="1"/>
  <c r="E895" i="1"/>
  <c r="H895" i="1"/>
  <c r="D896" i="1"/>
  <c r="E896" i="1"/>
  <c r="H896" i="1"/>
  <c r="D897" i="1"/>
  <c r="E897" i="1"/>
  <c r="H897" i="1"/>
  <c r="D865" i="1"/>
  <c r="E865" i="1"/>
  <c r="H865" i="1"/>
  <c r="D898" i="1"/>
  <c r="H898" i="1"/>
  <c r="I898" i="1"/>
  <c r="D892" i="1"/>
  <c r="H892" i="1"/>
  <c r="I892" i="1"/>
  <c r="D899" i="1"/>
  <c r="E899" i="1"/>
  <c r="H899" i="1"/>
  <c r="D900" i="1"/>
  <c r="E900" i="1"/>
  <c r="H900" i="1"/>
  <c r="D832" i="1"/>
  <c r="H832" i="1"/>
  <c r="I832" i="1"/>
  <c r="D882" i="1"/>
  <c r="E882" i="1"/>
  <c r="H882" i="1"/>
  <c r="I882" i="1"/>
  <c r="D883" i="1"/>
  <c r="E883" i="1"/>
  <c r="H883" i="1"/>
  <c r="I883" i="1"/>
  <c r="D884" i="1"/>
  <c r="E884" i="1"/>
  <c r="H884" i="1"/>
  <c r="I884" i="1"/>
  <c r="D860" i="1"/>
  <c r="E860" i="1"/>
  <c r="H860" i="1"/>
  <c r="D861" i="1"/>
  <c r="E861" i="1"/>
  <c r="H861" i="1"/>
  <c r="I861" i="1"/>
  <c r="D854" i="1"/>
  <c r="E854" i="1"/>
  <c r="H854" i="1"/>
  <c r="I854" i="1"/>
  <c r="D901" i="1"/>
  <c r="H901" i="1"/>
  <c r="I901" i="1"/>
  <c r="D855" i="1"/>
  <c r="E855" i="1"/>
  <c r="H855" i="1"/>
  <c r="I855" i="1"/>
  <c r="D902" i="1"/>
  <c r="E902" i="1"/>
  <c r="H902" i="1"/>
  <c r="I902" i="1"/>
  <c r="D885" i="1"/>
  <c r="H885" i="1"/>
  <c r="I885" i="1"/>
  <c r="D886" i="1"/>
  <c r="H886" i="1"/>
  <c r="I886" i="1"/>
  <c r="D887" i="1"/>
  <c r="H887" i="1"/>
  <c r="I887" i="1"/>
  <c r="D888" i="1"/>
  <c r="E888" i="1"/>
  <c r="H888" i="1"/>
  <c r="D889" i="1"/>
  <c r="E889" i="1"/>
  <c r="H889" i="1"/>
  <c r="D856" i="1"/>
  <c r="E856" i="1"/>
  <c r="H856" i="1"/>
  <c r="I856" i="1"/>
  <c r="D857" i="1"/>
  <c r="E857" i="1"/>
  <c r="H857" i="1"/>
  <c r="D862" i="1"/>
  <c r="H862" i="1"/>
  <c r="I862" i="1"/>
  <c r="D858" i="1"/>
  <c r="H858" i="1"/>
  <c r="I858" i="1"/>
  <c r="D859" i="1"/>
  <c r="E859" i="1"/>
  <c r="H859" i="1"/>
  <c r="D835" i="1"/>
  <c r="E835" i="1"/>
  <c r="H835" i="1"/>
  <c r="D836" i="1"/>
  <c r="H836" i="1"/>
  <c r="D829" i="1"/>
  <c r="H829" i="1"/>
  <c r="D837" i="1"/>
  <c r="H837" i="1"/>
  <c r="I837" i="1"/>
  <c r="D838" i="1"/>
  <c r="H838" i="1"/>
  <c r="I838" i="1"/>
  <c r="D839" i="1"/>
  <c r="E839" i="1"/>
  <c r="H839" i="1"/>
  <c r="D840" i="1"/>
  <c r="E840" i="1"/>
  <c r="H840" i="1"/>
  <c r="D841" i="1"/>
  <c r="E841" i="1"/>
  <c r="H841" i="1"/>
  <c r="D842" i="1"/>
  <c r="H842" i="1"/>
  <c r="I842" i="1"/>
  <c r="D843" i="1"/>
  <c r="E843" i="1"/>
  <c r="H843" i="1"/>
  <c r="I843" i="1"/>
  <c r="D844" i="1"/>
  <c r="E844" i="1"/>
  <c r="H844" i="1"/>
  <c r="D845" i="1"/>
  <c r="E845" i="1"/>
  <c r="H845" i="1"/>
  <c r="I845" i="1"/>
  <c r="D846" i="1"/>
  <c r="E846" i="1"/>
  <c r="H846" i="1"/>
  <c r="I846" i="1"/>
  <c r="D830" i="1"/>
  <c r="E830" i="1"/>
  <c r="H830" i="1"/>
  <c r="I830" i="1"/>
  <c r="D847" i="1"/>
  <c r="H847" i="1"/>
  <c r="I847" i="1"/>
  <c r="D848" i="1"/>
  <c r="H848" i="1"/>
  <c r="D831" i="1"/>
  <c r="E831" i="1"/>
  <c r="H831" i="1"/>
  <c r="D849" i="1"/>
  <c r="H849" i="1"/>
  <c r="I849" i="1"/>
  <c r="D850" i="1"/>
  <c r="H850" i="1"/>
  <c r="I850" i="1"/>
  <c r="D851" i="1"/>
  <c r="H851" i="1"/>
  <c r="I851" i="1"/>
  <c r="D852" i="1"/>
  <c r="H852" i="1"/>
  <c r="I852" i="1"/>
  <c r="D880" i="1"/>
  <c r="H880" i="1"/>
  <c r="I880" i="1"/>
  <c r="D903" i="1"/>
  <c r="E903" i="1"/>
  <c r="H903" i="1"/>
  <c r="I903" i="1"/>
  <c r="D881" i="1"/>
  <c r="E881" i="1"/>
  <c r="H881" i="1"/>
  <c r="D863" i="1"/>
  <c r="H863" i="1"/>
  <c r="I863" i="1"/>
  <c r="D864" i="1"/>
  <c r="H864" i="1"/>
  <c r="I864" i="1"/>
  <c r="D833" i="1"/>
  <c r="H833" i="1"/>
  <c r="I833" i="1"/>
  <c r="D834" i="1"/>
  <c r="H834" i="1"/>
  <c r="I834" i="1"/>
  <c r="D853" i="1"/>
  <c r="E853" i="1"/>
  <c r="H853" i="1"/>
  <c r="D916" i="1"/>
  <c r="E916" i="1"/>
  <c r="H916" i="1"/>
  <c r="D906" i="1"/>
  <c r="E906" i="1"/>
  <c r="H906" i="1"/>
  <c r="D941" i="1"/>
  <c r="E941" i="1"/>
  <c r="H941" i="1"/>
  <c r="I941" i="1"/>
  <c r="D927" i="1"/>
  <c r="E927" i="1"/>
  <c r="H927" i="1"/>
  <c r="I927" i="1"/>
  <c r="D940" i="1"/>
  <c r="E940" i="1"/>
  <c r="H940" i="1"/>
  <c r="D936" i="1"/>
  <c r="E936" i="1"/>
  <c r="H936" i="1"/>
  <c r="I936" i="1"/>
  <c r="D942" i="1"/>
  <c r="E942" i="1"/>
  <c r="H942" i="1"/>
  <c r="D943" i="1"/>
  <c r="H943" i="1"/>
  <c r="I943" i="1"/>
  <c r="D944" i="1"/>
  <c r="H944" i="1"/>
  <c r="I944" i="1"/>
  <c r="D917" i="1"/>
  <c r="E917" i="1"/>
  <c r="H917" i="1"/>
  <c r="D918" i="1"/>
  <c r="E918" i="1"/>
  <c r="H918" i="1"/>
  <c r="D919" i="1"/>
  <c r="E919" i="1"/>
  <c r="H919" i="1"/>
  <c r="D920" i="1"/>
  <c r="E920" i="1"/>
  <c r="H920" i="1"/>
  <c r="I920" i="1"/>
  <c r="D921" i="1"/>
  <c r="E921" i="1"/>
  <c r="H921" i="1"/>
  <c r="D922" i="1"/>
  <c r="E922" i="1"/>
  <c r="H922" i="1"/>
  <c r="D923" i="1"/>
  <c r="E923" i="1"/>
  <c r="H923" i="1"/>
  <c r="D924" i="1"/>
  <c r="E924" i="1"/>
  <c r="H924" i="1"/>
  <c r="D925" i="1"/>
  <c r="E925" i="1"/>
  <c r="H925" i="1"/>
  <c r="D926" i="1"/>
  <c r="E926" i="1"/>
  <c r="H926" i="1"/>
  <c r="D937" i="1"/>
  <c r="E937" i="1"/>
  <c r="H937" i="1"/>
  <c r="D945" i="1"/>
  <c r="E945" i="1"/>
  <c r="H945" i="1"/>
  <c r="D938" i="1"/>
  <c r="E938" i="1"/>
  <c r="H938" i="1"/>
  <c r="D939" i="1"/>
  <c r="E939" i="1"/>
  <c r="H939" i="1"/>
  <c r="D946" i="1"/>
  <c r="E946" i="1"/>
  <c r="H946" i="1"/>
  <c r="D907" i="1"/>
  <c r="E907" i="1"/>
  <c r="H907" i="1"/>
  <c r="I907" i="1"/>
  <c r="D947" i="1"/>
  <c r="H947" i="1"/>
  <c r="I947" i="1"/>
  <c r="D950" i="1"/>
  <c r="H950" i="1"/>
  <c r="I950" i="1"/>
  <c r="D976" i="1"/>
  <c r="H976" i="1"/>
  <c r="D951" i="1"/>
  <c r="H951" i="1"/>
  <c r="I951" i="1"/>
  <c r="D928" i="1"/>
  <c r="H928" i="1"/>
  <c r="I928" i="1"/>
  <c r="D975" i="1"/>
  <c r="H975" i="1"/>
  <c r="I975" i="1"/>
  <c r="D952" i="1"/>
  <c r="H952" i="1"/>
  <c r="I952" i="1"/>
  <c r="D977" i="1"/>
  <c r="H977" i="1"/>
  <c r="D978" i="1"/>
  <c r="H978" i="1"/>
  <c r="D953" i="1"/>
  <c r="E953" i="1"/>
  <c r="H953" i="1"/>
  <c r="D954" i="1"/>
  <c r="H954" i="1"/>
  <c r="I954" i="1"/>
  <c r="D955" i="1"/>
  <c r="E955" i="1"/>
  <c r="H955" i="1"/>
  <c r="D956" i="1"/>
  <c r="E956" i="1"/>
  <c r="H956" i="1"/>
  <c r="D957" i="1"/>
  <c r="E957" i="1"/>
  <c r="H957" i="1"/>
  <c r="D958" i="1"/>
  <c r="E958" i="1"/>
  <c r="H958" i="1"/>
  <c r="D959" i="1"/>
  <c r="E959" i="1"/>
  <c r="H959" i="1"/>
  <c r="D960" i="1"/>
  <c r="E960" i="1"/>
  <c r="H960" i="1"/>
  <c r="D961" i="1"/>
  <c r="E961" i="1"/>
  <c r="H961" i="1"/>
  <c r="D962" i="1"/>
  <c r="E962" i="1"/>
  <c r="H962" i="1"/>
  <c r="D963" i="1"/>
  <c r="E963" i="1"/>
  <c r="H963" i="1"/>
  <c r="D964" i="1"/>
  <c r="E964" i="1"/>
  <c r="H964" i="1"/>
  <c r="D965" i="1"/>
  <c r="E965" i="1"/>
  <c r="H965" i="1"/>
  <c r="D981" i="1"/>
  <c r="H981" i="1"/>
  <c r="D935" i="1"/>
  <c r="E935" i="1"/>
  <c r="H935" i="1"/>
  <c r="I935" i="1"/>
  <c r="D908" i="1"/>
  <c r="H908" i="1"/>
  <c r="I908" i="1"/>
  <c r="D909" i="1"/>
  <c r="H909" i="1"/>
  <c r="D910" i="1"/>
  <c r="H910" i="1"/>
  <c r="I910" i="1"/>
  <c r="D929" i="1"/>
  <c r="H929" i="1"/>
  <c r="D930" i="1"/>
  <c r="H930" i="1"/>
  <c r="D931" i="1"/>
  <c r="H931" i="1"/>
  <c r="I931" i="1"/>
  <c r="D932" i="1"/>
  <c r="H932" i="1"/>
  <c r="I932" i="1"/>
  <c r="D933" i="1"/>
  <c r="H933" i="1"/>
  <c r="D911" i="1"/>
  <c r="H911" i="1"/>
  <c r="D934" i="1"/>
  <c r="H934" i="1"/>
  <c r="I934" i="1"/>
  <c r="D912" i="1"/>
  <c r="H912" i="1"/>
  <c r="I912" i="1"/>
  <c r="D913" i="1"/>
  <c r="H913" i="1"/>
  <c r="I913" i="1"/>
  <c r="D914" i="1"/>
  <c r="H914" i="1"/>
  <c r="I914" i="1"/>
  <c r="D915" i="1"/>
  <c r="H915" i="1"/>
  <c r="I915" i="1"/>
  <c r="D949" i="1"/>
  <c r="E949" i="1"/>
  <c r="H949" i="1"/>
  <c r="D966" i="1"/>
  <c r="H966" i="1"/>
  <c r="I966" i="1"/>
  <c r="D948" i="1"/>
  <c r="E948" i="1"/>
  <c r="H948" i="1"/>
  <c r="D967" i="1"/>
  <c r="H967" i="1"/>
  <c r="I967" i="1"/>
  <c r="D968" i="1"/>
  <c r="E968" i="1"/>
  <c r="H968" i="1"/>
  <c r="D969" i="1"/>
  <c r="E969" i="1"/>
  <c r="H969" i="1"/>
  <c r="D970" i="1"/>
  <c r="E970" i="1"/>
  <c r="H970" i="1"/>
  <c r="D971" i="1"/>
  <c r="E971" i="1"/>
  <c r="H971" i="1"/>
  <c r="D972" i="1"/>
  <c r="E972" i="1"/>
  <c r="H972" i="1"/>
  <c r="D973" i="1"/>
  <c r="E973" i="1"/>
  <c r="H973" i="1"/>
  <c r="D979" i="1"/>
  <c r="E979" i="1"/>
  <c r="H979" i="1"/>
  <c r="I979" i="1"/>
  <c r="D980" i="1"/>
  <c r="H980" i="1"/>
  <c r="D974" i="1"/>
  <c r="E974" i="1"/>
  <c r="H974" i="1"/>
  <c r="D993" i="1"/>
  <c r="E993" i="1"/>
  <c r="H993" i="1"/>
  <c r="D994" i="1"/>
  <c r="E994" i="1"/>
  <c r="H994" i="1"/>
  <c r="D995" i="1"/>
  <c r="H995" i="1"/>
  <c r="D996" i="1"/>
  <c r="H996" i="1"/>
  <c r="I996" i="1"/>
  <c r="D997" i="1"/>
  <c r="H997" i="1"/>
  <c r="D998" i="1"/>
  <c r="E998" i="1"/>
  <c r="H998" i="1"/>
  <c r="D999" i="1"/>
  <c r="E999" i="1"/>
  <c r="H999" i="1"/>
  <c r="D1000" i="1"/>
  <c r="E1000" i="1"/>
  <c r="H1000" i="1"/>
  <c r="D1001" i="1"/>
  <c r="E1001" i="1"/>
  <c r="H1001" i="1"/>
  <c r="D1002" i="1"/>
  <c r="E1002" i="1"/>
  <c r="H1002" i="1"/>
  <c r="D1003" i="1"/>
  <c r="E1003" i="1"/>
  <c r="H1003" i="1"/>
  <c r="D1004" i="1"/>
  <c r="E1004" i="1"/>
  <c r="H1004" i="1"/>
  <c r="D1005" i="1"/>
  <c r="E1005" i="1"/>
  <c r="H1005" i="1"/>
  <c r="D1006" i="1"/>
  <c r="E1006" i="1"/>
  <c r="H1006" i="1"/>
  <c r="D1007" i="1"/>
  <c r="E1007" i="1"/>
  <c r="H1007" i="1"/>
  <c r="D1008" i="1"/>
  <c r="E1008" i="1"/>
  <c r="H1008" i="1"/>
  <c r="D1009" i="1"/>
  <c r="E1009" i="1"/>
  <c r="H1009" i="1"/>
  <c r="D1010" i="1"/>
  <c r="E1010" i="1"/>
  <c r="H1010" i="1"/>
  <c r="D1011" i="1"/>
  <c r="E1011" i="1"/>
  <c r="H1011" i="1"/>
  <c r="D1012" i="1"/>
  <c r="E1012" i="1"/>
  <c r="H1012" i="1"/>
  <c r="D1013" i="1"/>
  <c r="E1013" i="1"/>
  <c r="H1013" i="1"/>
  <c r="D1014" i="1"/>
  <c r="E1014" i="1"/>
  <c r="H1014" i="1"/>
  <c r="D1015" i="1"/>
  <c r="E1015" i="1"/>
  <c r="H1015" i="1"/>
  <c r="D1016" i="1"/>
  <c r="E1016" i="1"/>
  <c r="H1016" i="1"/>
  <c r="D1017" i="1"/>
  <c r="E1017" i="1"/>
  <c r="H1017" i="1"/>
  <c r="D1018" i="1"/>
  <c r="E1018" i="1"/>
  <c r="H1018" i="1"/>
  <c r="D1019" i="1"/>
  <c r="E1019" i="1"/>
  <c r="H1019" i="1"/>
  <c r="I1019" i="1"/>
  <c r="D1020" i="1"/>
  <c r="E1020" i="1"/>
  <c r="H1020" i="1"/>
  <c r="I1020" i="1"/>
  <c r="D1021" i="1"/>
  <c r="E1021" i="1"/>
  <c r="H1021" i="1"/>
  <c r="D1022" i="1"/>
  <c r="E1022" i="1"/>
  <c r="H1022" i="1"/>
  <c r="D1023" i="1"/>
  <c r="E1023" i="1"/>
  <c r="H1023" i="1"/>
  <c r="D1024" i="1"/>
  <c r="E1024" i="1"/>
  <c r="H1024" i="1"/>
  <c r="D1025" i="1"/>
  <c r="E1025" i="1"/>
  <c r="H1025" i="1"/>
  <c r="D1026" i="1"/>
  <c r="E1026" i="1"/>
  <c r="H1026" i="1"/>
  <c r="D1027" i="1"/>
  <c r="E1027" i="1"/>
  <c r="H1027" i="1"/>
  <c r="D1028" i="1"/>
  <c r="E1028" i="1"/>
  <c r="H1028" i="1"/>
  <c r="D1029" i="1"/>
  <c r="E1029" i="1"/>
  <c r="H1029" i="1"/>
  <c r="D1030" i="1"/>
  <c r="H1030" i="1"/>
  <c r="D1092" i="1"/>
  <c r="H1092" i="1"/>
  <c r="D1069" i="1"/>
  <c r="E1069" i="1"/>
  <c r="H1069" i="1"/>
  <c r="D1070" i="1"/>
  <c r="E1070" i="1"/>
  <c r="H1070" i="1"/>
  <c r="I1070" i="1"/>
  <c r="D1085" i="1"/>
  <c r="E1085" i="1"/>
  <c r="H1085" i="1"/>
  <c r="D1086" i="1"/>
  <c r="H1086" i="1"/>
  <c r="I1086" i="1"/>
  <c r="D1087" i="1"/>
  <c r="E1087" i="1"/>
  <c r="H1087" i="1"/>
  <c r="D1088" i="1"/>
  <c r="E1088" i="1"/>
  <c r="H1088" i="1"/>
  <c r="D1089" i="1"/>
  <c r="H1089" i="1"/>
  <c r="D1090" i="1"/>
  <c r="E1090" i="1"/>
  <c r="H1090" i="1"/>
  <c r="D1082" i="1"/>
  <c r="H1082" i="1"/>
  <c r="I1082" i="1"/>
  <c r="D1060" i="1"/>
  <c r="E1060" i="1"/>
  <c r="H1060" i="1"/>
  <c r="D1061" i="1"/>
  <c r="E1061" i="1"/>
  <c r="H1061" i="1"/>
  <c r="D1062" i="1"/>
  <c r="E1062" i="1"/>
  <c r="H1062" i="1"/>
  <c r="D1063" i="1"/>
  <c r="E1063" i="1"/>
  <c r="H1063" i="1"/>
  <c r="D1064" i="1"/>
  <c r="H1064" i="1"/>
  <c r="I1064" i="1"/>
  <c r="D1065" i="1"/>
  <c r="E1065" i="1"/>
  <c r="H1065" i="1"/>
  <c r="D1077" i="1"/>
  <c r="E1077" i="1"/>
  <c r="H1077" i="1"/>
  <c r="I1077" i="1"/>
  <c r="D1099" i="1"/>
  <c r="H1099" i="1"/>
  <c r="D1096" i="1"/>
  <c r="H1096" i="1"/>
  <c r="I1096" i="1"/>
  <c r="D1097" i="1"/>
  <c r="H1097" i="1"/>
  <c r="D1098" i="1"/>
  <c r="H1098" i="1"/>
  <c r="D1066" i="1"/>
  <c r="E1066" i="1"/>
  <c r="H1066" i="1"/>
  <c r="D1071" i="1"/>
  <c r="H1071" i="1"/>
  <c r="I1071" i="1"/>
  <c r="D1072" i="1"/>
  <c r="H1072" i="1"/>
  <c r="I1072" i="1"/>
  <c r="D1073" i="1"/>
  <c r="H1073" i="1"/>
  <c r="I1073" i="1"/>
  <c r="D1067" i="1"/>
  <c r="E1067" i="1"/>
  <c r="H1067" i="1"/>
  <c r="I1067" i="1"/>
  <c r="D1068" i="1"/>
  <c r="E1068" i="1"/>
  <c r="H1068" i="1"/>
  <c r="I1068" i="1"/>
  <c r="D1074" i="1"/>
  <c r="H1074" i="1"/>
  <c r="I1074" i="1"/>
  <c r="D1075" i="1"/>
  <c r="E1075" i="1"/>
  <c r="H1075" i="1"/>
  <c r="D1076" i="1"/>
  <c r="E1076" i="1"/>
  <c r="H1076" i="1"/>
  <c r="D1100" i="1"/>
  <c r="E1100" i="1"/>
  <c r="H1100" i="1"/>
  <c r="D982" i="1"/>
  <c r="E982" i="1"/>
  <c r="H982" i="1"/>
  <c r="I982" i="1"/>
  <c r="D1091" i="1"/>
  <c r="H1091" i="1"/>
  <c r="D1101" i="1"/>
  <c r="H1101" i="1"/>
  <c r="D983" i="1"/>
  <c r="E983" i="1"/>
  <c r="H983" i="1"/>
  <c r="D984" i="1"/>
  <c r="E984" i="1"/>
  <c r="H984" i="1"/>
  <c r="D985" i="1"/>
  <c r="E985" i="1"/>
  <c r="H985" i="1"/>
  <c r="D986" i="1"/>
  <c r="E986" i="1"/>
  <c r="H986" i="1"/>
  <c r="D1031" i="1"/>
  <c r="H1031" i="1"/>
  <c r="I1031" i="1"/>
  <c r="D1032" i="1"/>
  <c r="H1032" i="1"/>
  <c r="D1033" i="1"/>
  <c r="H1033" i="1"/>
  <c r="D1034" i="1"/>
  <c r="H1034" i="1"/>
  <c r="I1034" i="1"/>
  <c r="D1035" i="1"/>
  <c r="E1035" i="1"/>
  <c r="H1035" i="1"/>
  <c r="D987" i="1"/>
  <c r="H987" i="1"/>
  <c r="I987" i="1"/>
  <c r="D1093" i="1"/>
  <c r="H1093" i="1"/>
  <c r="I1093" i="1"/>
  <c r="D1094" i="1"/>
  <c r="H1094" i="1"/>
  <c r="I1094" i="1"/>
  <c r="D1095" i="1"/>
  <c r="H1095" i="1"/>
  <c r="I1095" i="1"/>
  <c r="D988" i="1"/>
  <c r="E988" i="1"/>
  <c r="H988" i="1"/>
  <c r="D1078" i="1"/>
  <c r="H1078" i="1"/>
  <c r="I1078" i="1"/>
  <c r="D989" i="1"/>
  <c r="H989" i="1"/>
  <c r="I989" i="1"/>
  <c r="D1079" i="1"/>
  <c r="H1079" i="1"/>
  <c r="I1079" i="1"/>
  <c r="D1080" i="1"/>
  <c r="E1080" i="1"/>
  <c r="H1080" i="1"/>
  <c r="I1080" i="1"/>
  <c r="D1081" i="1"/>
  <c r="H1081" i="1"/>
  <c r="I1081" i="1"/>
  <c r="D990" i="1"/>
  <c r="H990" i="1"/>
  <c r="D991" i="1"/>
  <c r="H991" i="1"/>
  <c r="I991" i="1"/>
  <c r="D1053" i="1"/>
  <c r="H1053" i="1"/>
  <c r="D992" i="1"/>
  <c r="E992" i="1"/>
  <c r="H992" i="1"/>
  <c r="I992" i="1"/>
  <c r="D1036" i="1"/>
  <c r="H1036" i="1"/>
  <c r="D1037" i="1"/>
  <c r="H1037" i="1"/>
  <c r="D1038" i="1"/>
  <c r="E1038" i="1"/>
  <c r="H1038" i="1"/>
  <c r="I1038" i="1"/>
  <c r="D1039" i="1"/>
  <c r="E1039" i="1"/>
  <c r="H1039" i="1"/>
  <c r="I1039" i="1"/>
  <c r="D1054" i="1"/>
  <c r="E1054" i="1"/>
  <c r="H1054" i="1"/>
  <c r="D1055" i="1"/>
  <c r="E1055" i="1"/>
  <c r="H1055" i="1"/>
  <c r="D1102" i="1"/>
  <c r="E1102" i="1"/>
  <c r="H1102" i="1"/>
  <c r="I1102" i="1"/>
  <c r="D1103" i="1"/>
  <c r="E1103" i="1"/>
  <c r="H1103" i="1"/>
  <c r="I1103" i="1"/>
  <c r="D1056" i="1"/>
  <c r="E1056" i="1"/>
  <c r="H1056" i="1"/>
  <c r="I1056" i="1"/>
  <c r="D1083" i="1"/>
  <c r="H1083" i="1"/>
  <c r="I1083" i="1"/>
  <c r="D1104" i="1"/>
  <c r="H1104" i="1"/>
  <c r="D1084" i="1"/>
  <c r="H1084" i="1"/>
  <c r="I1084" i="1"/>
  <c r="D1040" i="1"/>
  <c r="E1040" i="1"/>
  <c r="H1040" i="1"/>
  <c r="D1041" i="1"/>
  <c r="E1041" i="1"/>
  <c r="H1041" i="1"/>
  <c r="D1042" i="1"/>
  <c r="E1042" i="1"/>
  <c r="H1042" i="1"/>
  <c r="I1042" i="1"/>
  <c r="D1043" i="1"/>
  <c r="E1043" i="1"/>
  <c r="H1043" i="1"/>
  <c r="I1043" i="1"/>
  <c r="D1044" i="1"/>
  <c r="E1044" i="1"/>
  <c r="H1044" i="1"/>
  <c r="I1044" i="1"/>
  <c r="D1045" i="1"/>
  <c r="E1045" i="1"/>
  <c r="H1045" i="1"/>
  <c r="D1046" i="1"/>
  <c r="E1046" i="1"/>
  <c r="H1046" i="1"/>
  <c r="D1047" i="1"/>
  <c r="E1047" i="1"/>
  <c r="H1047" i="1"/>
  <c r="D1048" i="1"/>
  <c r="E1048" i="1"/>
  <c r="H1048" i="1"/>
  <c r="D1049" i="1"/>
  <c r="E1049" i="1"/>
  <c r="H1049" i="1"/>
  <c r="D1105" i="1"/>
  <c r="E1105" i="1"/>
  <c r="H1105" i="1"/>
  <c r="D1050" i="1"/>
  <c r="E1050" i="1"/>
  <c r="H1050" i="1"/>
  <c r="D1051" i="1"/>
  <c r="E1051" i="1"/>
  <c r="H1051" i="1"/>
  <c r="D1052" i="1"/>
  <c r="E1052" i="1"/>
  <c r="H1052" i="1"/>
  <c r="D1106" i="1"/>
  <c r="E1106" i="1"/>
  <c r="H1106" i="1"/>
  <c r="D1057" i="1"/>
  <c r="E1057" i="1"/>
  <c r="H1057" i="1"/>
  <c r="D1107" i="1"/>
  <c r="E1107" i="1"/>
  <c r="H1107" i="1"/>
  <c r="D1108" i="1"/>
  <c r="E1108" i="1"/>
  <c r="H1108" i="1"/>
  <c r="D1109" i="1"/>
  <c r="E1109" i="1"/>
  <c r="H1109" i="1"/>
  <c r="D1110" i="1"/>
  <c r="E1110" i="1"/>
  <c r="H1110" i="1"/>
  <c r="D1058" i="1"/>
  <c r="H1058" i="1"/>
  <c r="D1059" i="1"/>
  <c r="E1059" i="1"/>
  <c r="H1059" i="1"/>
  <c r="D1112" i="1"/>
  <c r="E1112" i="1"/>
  <c r="H1112" i="1"/>
  <c r="I1112" i="1"/>
  <c r="D1113" i="1"/>
  <c r="H1113" i="1"/>
  <c r="I1113" i="1"/>
  <c r="D1111" i="1"/>
  <c r="E1111" i="1"/>
  <c r="H1111" i="1"/>
  <c r="D1463" i="1"/>
  <c r="E1463" i="1"/>
  <c r="H1463" i="1"/>
  <c r="D1189" i="1"/>
  <c r="E1189" i="1"/>
  <c r="H1189" i="1"/>
  <c r="I1189" i="1"/>
  <c r="D1412" i="1"/>
  <c r="H1412" i="1"/>
  <c r="I1412" i="1"/>
  <c r="D1464" i="1"/>
  <c r="E1464" i="1"/>
  <c r="H1464" i="1"/>
  <c r="D1190" i="1"/>
  <c r="E1190" i="1"/>
  <c r="H1190" i="1"/>
  <c r="I1190" i="1"/>
  <c r="D1349" i="1"/>
  <c r="E1349" i="1"/>
  <c r="H1349" i="1"/>
  <c r="D1258" i="1"/>
  <c r="H1258" i="1"/>
  <c r="I1258" i="1"/>
  <c r="D1259" i="1"/>
  <c r="E1259" i="1"/>
  <c r="H1259" i="1"/>
  <c r="D1260" i="1"/>
  <c r="E1260" i="1"/>
  <c r="H1260" i="1"/>
  <c r="D1261" i="1"/>
  <c r="E1261" i="1"/>
  <c r="H1261" i="1"/>
  <c r="D1262" i="1"/>
  <c r="E1262" i="1"/>
  <c r="H1262" i="1"/>
  <c r="D1263" i="1"/>
  <c r="E1263" i="1"/>
  <c r="H1263" i="1"/>
  <c r="D1264" i="1"/>
  <c r="E1264" i="1"/>
  <c r="H1264" i="1"/>
  <c r="D1265" i="1"/>
  <c r="E1265" i="1"/>
  <c r="H1265" i="1"/>
  <c r="D1266" i="1"/>
  <c r="E1266" i="1"/>
  <c r="H1266" i="1"/>
  <c r="D1267" i="1"/>
  <c r="E1267" i="1"/>
  <c r="H1267" i="1"/>
  <c r="D1268" i="1"/>
  <c r="E1268" i="1"/>
  <c r="H1268" i="1"/>
  <c r="D1269" i="1"/>
  <c r="E1269" i="1"/>
  <c r="H1269" i="1"/>
  <c r="D1270" i="1"/>
  <c r="E1270" i="1"/>
  <c r="H1270" i="1"/>
  <c r="D1143" i="1"/>
  <c r="E1143" i="1"/>
  <c r="H1143" i="1"/>
  <c r="D1350" i="1"/>
  <c r="E1350" i="1"/>
  <c r="H1350" i="1"/>
  <c r="D1351" i="1"/>
  <c r="E1351" i="1"/>
  <c r="H1351" i="1"/>
  <c r="D1352" i="1"/>
  <c r="E1352" i="1"/>
  <c r="H1352" i="1"/>
  <c r="D1136" i="1"/>
  <c r="E1136" i="1"/>
  <c r="H1136" i="1"/>
  <c r="I1136" i="1"/>
  <c r="D1153" i="1"/>
  <c r="H1153" i="1"/>
  <c r="I1153" i="1"/>
  <c r="D1191" i="1"/>
  <c r="E1191" i="1"/>
  <c r="H1191" i="1"/>
  <c r="D1154" i="1"/>
  <c r="H1154" i="1"/>
  <c r="I1154" i="1"/>
  <c r="D1155" i="1"/>
  <c r="H1155" i="1"/>
  <c r="I1155" i="1"/>
  <c r="D1156" i="1"/>
  <c r="H1156" i="1"/>
  <c r="I1156" i="1"/>
  <c r="D1157" i="1"/>
  <c r="H1157" i="1"/>
  <c r="I1157" i="1"/>
  <c r="D1158" i="1"/>
  <c r="H1158" i="1"/>
  <c r="I1158" i="1"/>
  <c r="D1319" i="1"/>
  <c r="E1319" i="1"/>
  <c r="H1319" i="1"/>
  <c r="I1319" i="1"/>
  <c r="D1114" i="1"/>
  <c r="E1114" i="1"/>
  <c r="H1114" i="1"/>
  <c r="I1114" i="1"/>
  <c r="D1159" i="1"/>
  <c r="H1159" i="1"/>
  <c r="I1159" i="1"/>
  <c r="D1229" i="1"/>
  <c r="H1229" i="1"/>
  <c r="I1229" i="1"/>
  <c r="D1297" i="1"/>
  <c r="H1297" i="1"/>
  <c r="I1297" i="1"/>
  <c r="D1115" i="1"/>
  <c r="H1115" i="1"/>
  <c r="I1115" i="1"/>
  <c r="D1177" i="1"/>
  <c r="H1177" i="1"/>
  <c r="I1177" i="1"/>
  <c r="D1160" i="1"/>
  <c r="E1160" i="1"/>
  <c r="H1160" i="1"/>
  <c r="D1298" i="1"/>
  <c r="H1298" i="1"/>
  <c r="I1298" i="1"/>
  <c r="D1299" i="1"/>
  <c r="H1299" i="1"/>
  <c r="I1299" i="1"/>
  <c r="D1116" i="1"/>
  <c r="H1116" i="1"/>
  <c r="I1116" i="1"/>
  <c r="D1300" i="1"/>
  <c r="H1300" i="1"/>
  <c r="I1300" i="1"/>
  <c r="D1230" i="1"/>
  <c r="E1230" i="1"/>
  <c r="H1230" i="1"/>
  <c r="D1182" i="1"/>
  <c r="E1182" i="1"/>
  <c r="H1182" i="1"/>
  <c r="D1415" i="1"/>
  <c r="H1415" i="1"/>
  <c r="I1415" i="1"/>
  <c r="D1301" i="1"/>
  <c r="H1301" i="1"/>
  <c r="I1301" i="1"/>
  <c r="D1416" i="1"/>
  <c r="E1416" i="1"/>
  <c r="H1416" i="1"/>
  <c r="D1302" i="1"/>
  <c r="H1302" i="1"/>
  <c r="I1302" i="1"/>
  <c r="D1417" i="1"/>
  <c r="H1417" i="1"/>
  <c r="I1417" i="1"/>
  <c r="D1178" i="1"/>
  <c r="H1178" i="1"/>
  <c r="I1178" i="1"/>
  <c r="D1303" i="1"/>
  <c r="H1303" i="1"/>
  <c r="I1303" i="1"/>
  <c r="D1418" i="1"/>
  <c r="E1418" i="1"/>
  <c r="H1418" i="1"/>
  <c r="D1419" i="1"/>
  <c r="E1419" i="1"/>
  <c r="H1419" i="1"/>
  <c r="D1420" i="1"/>
  <c r="E1420" i="1"/>
  <c r="H1420" i="1"/>
  <c r="D1421" i="1"/>
  <c r="H1421" i="1"/>
  <c r="I1421" i="1"/>
  <c r="D1422" i="1"/>
  <c r="H1422" i="1"/>
  <c r="I1422" i="1"/>
  <c r="D1423" i="1"/>
  <c r="H1423" i="1"/>
  <c r="I1423" i="1"/>
  <c r="D1424" i="1"/>
  <c r="H1424" i="1"/>
  <c r="I1424" i="1"/>
  <c r="D1425" i="1"/>
  <c r="H1425" i="1"/>
  <c r="I1425" i="1"/>
  <c r="D1426" i="1"/>
  <c r="H1426" i="1"/>
  <c r="I1426" i="1"/>
  <c r="D1427" i="1"/>
  <c r="E1427" i="1"/>
  <c r="H1427" i="1"/>
  <c r="D1428" i="1"/>
  <c r="H1428" i="1"/>
  <c r="I1428" i="1"/>
  <c r="D1429" i="1"/>
  <c r="H1429" i="1"/>
  <c r="I1429" i="1"/>
  <c r="D1430" i="1"/>
  <c r="E1430" i="1"/>
  <c r="H1430" i="1"/>
  <c r="D1431" i="1"/>
  <c r="H1431" i="1"/>
  <c r="I1431" i="1"/>
  <c r="D1432" i="1"/>
  <c r="E1432" i="1"/>
  <c r="H1432" i="1"/>
  <c r="D1433" i="1"/>
  <c r="E1433" i="1"/>
  <c r="H1433" i="1"/>
  <c r="D1434" i="1"/>
  <c r="E1434" i="1"/>
  <c r="H1434" i="1"/>
  <c r="D1435" i="1"/>
  <c r="E1435" i="1"/>
  <c r="H1435" i="1"/>
  <c r="D1436" i="1"/>
  <c r="E1436" i="1"/>
  <c r="H1436" i="1"/>
  <c r="D1304" i="1"/>
  <c r="H1304" i="1"/>
  <c r="I1304" i="1"/>
  <c r="D1305" i="1"/>
  <c r="H1305" i="1"/>
  <c r="I1305" i="1"/>
  <c r="D1306" i="1"/>
  <c r="H1306" i="1"/>
  <c r="I1306" i="1"/>
  <c r="D1307" i="1"/>
  <c r="H1307" i="1"/>
  <c r="I1307" i="1"/>
  <c r="D1308" i="1"/>
  <c r="H1308" i="1"/>
  <c r="I1308" i="1"/>
  <c r="D1309" i="1"/>
  <c r="H1309" i="1"/>
  <c r="I1309" i="1"/>
  <c r="D1437" i="1"/>
  <c r="E1437" i="1"/>
  <c r="H1437" i="1"/>
  <c r="D1438" i="1"/>
  <c r="H1438" i="1"/>
  <c r="I1438" i="1"/>
  <c r="D1310" i="1"/>
  <c r="E1310" i="1"/>
  <c r="H1310" i="1"/>
  <c r="D1439" i="1"/>
  <c r="H1439" i="1"/>
  <c r="I1439" i="1"/>
  <c r="D1440" i="1"/>
  <c r="H1440" i="1"/>
  <c r="D1320" i="1"/>
  <c r="H1320" i="1"/>
  <c r="I1320" i="1"/>
  <c r="D1441" i="1"/>
  <c r="E1441" i="1"/>
  <c r="H1441" i="1"/>
  <c r="D1442" i="1"/>
  <c r="E1442" i="1"/>
  <c r="H1442" i="1"/>
  <c r="D1443" i="1"/>
  <c r="H1443" i="1"/>
  <c r="I1443" i="1"/>
  <c r="D1444" i="1"/>
  <c r="H1444" i="1"/>
  <c r="I1444" i="1"/>
  <c r="D1321" i="1"/>
  <c r="E1321" i="1"/>
  <c r="H1321" i="1"/>
  <c r="I1321" i="1"/>
  <c r="D1322" i="1"/>
  <c r="H1322" i="1"/>
  <c r="I1322" i="1"/>
  <c r="D1323" i="1"/>
  <c r="E1323" i="1"/>
  <c r="H1323" i="1"/>
  <c r="I1323" i="1"/>
  <c r="D1324" i="1"/>
  <c r="H1324" i="1"/>
  <c r="I1324" i="1"/>
  <c r="D1325" i="1"/>
  <c r="E1325" i="1"/>
  <c r="H1325" i="1"/>
  <c r="I1325" i="1"/>
  <c r="D1326" i="1"/>
  <c r="E1326" i="1"/>
  <c r="H1326" i="1"/>
  <c r="I1326" i="1"/>
  <c r="D1327" i="1"/>
  <c r="E1327" i="1"/>
  <c r="H1327" i="1"/>
  <c r="I1327" i="1"/>
  <c r="D1192" i="1"/>
  <c r="E1192" i="1"/>
  <c r="H1192" i="1"/>
  <c r="I1192" i="1"/>
  <c r="D1161" i="1"/>
  <c r="E1161" i="1"/>
  <c r="H1161" i="1"/>
  <c r="D1193" i="1"/>
  <c r="E1193" i="1"/>
  <c r="H1193" i="1"/>
  <c r="D1445" i="1"/>
  <c r="H1445" i="1"/>
  <c r="I1445" i="1"/>
  <c r="D1117" i="1"/>
  <c r="H1117" i="1"/>
  <c r="I1117" i="1"/>
  <c r="D1446" i="1"/>
  <c r="H1446" i="1"/>
  <c r="I1446" i="1"/>
  <c r="D1328" i="1"/>
  <c r="E1328" i="1"/>
  <c r="H1328" i="1"/>
  <c r="D1311" i="1"/>
  <c r="H1311" i="1"/>
  <c r="I1311" i="1"/>
  <c r="D1118" i="1"/>
  <c r="E1118" i="1"/>
  <c r="H1118" i="1"/>
  <c r="D1119" i="1"/>
  <c r="H1119" i="1"/>
  <c r="I1119" i="1"/>
  <c r="D1312" i="1"/>
  <c r="H1312" i="1"/>
  <c r="I1312" i="1"/>
  <c r="D1329" i="1"/>
  <c r="H1329" i="1"/>
  <c r="I1329" i="1"/>
  <c r="D1447" i="1"/>
  <c r="H1447" i="1"/>
  <c r="I1447" i="1"/>
  <c r="D1194" i="1"/>
  <c r="E1194" i="1"/>
  <c r="H1194" i="1"/>
  <c r="D1231" i="1"/>
  <c r="E1231" i="1"/>
  <c r="H1231" i="1"/>
  <c r="D1135" i="1"/>
  <c r="E1135" i="1"/>
  <c r="H1135" i="1"/>
  <c r="D1232" i="1"/>
  <c r="E1232" i="1"/>
  <c r="H1232" i="1"/>
  <c r="I1232" i="1"/>
  <c r="D1448" i="1"/>
  <c r="E1448" i="1"/>
  <c r="H1448" i="1"/>
  <c r="D1120" i="1"/>
  <c r="H1120" i="1"/>
  <c r="I1120" i="1"/>
  <c r="D1121" i="1"/>
  <c r="H1121" i="1"/>
  <c r="I1121" i="1"/>
  <c r="D1122" i="1"/>
  <c r="H1122" i="1"/>
  <c r="I1122" i="1"/>
  <c r="D1123" i="1"/>
  <c r="H1123" i="1"/>
  <c r="I1123" i="1"/>
  <c r="D1124" i="1"/>
  <c r="H1124" i="1"/>
  <c r="I1124" i="1"/>
  <c r="D1125" i="1"/>
  <c r="H1125" i="1"/>
  <c r="I1125" i="1"/>
  <c r="D1126" i="1"/>
  <c r="H1126" i="1"/>
  <c r="I1126" i="1"/>
  <c r="D1127" i="1"/>
  <c r="H1127" i="1"/>
  <c r="I1127" i="1"/>
  <c r="D1128" i="1"/>
  <c r="H1128" i="1"/>
  <c r="I1128" i="1"/>
  <c r="D1129" i="1"/>
  <c r="H1129" i="1"/>
  <c r="I1129" i="1"/>
  <c r="D1130" i="1"/>
  <c r="H1130" i="1"/>
  <c r="I1130" i="1"/>
  <c r="D1162" i="1"/>
  <c r="E1162" i="1"/>
  <c r="H1162" i="1"/>
  <c r="D1163" i="1"/>
  <c r="E1163" i="1"/>
  <c r="H1163" i="1"/>
  <c r="D1164" i="1"/>
  <c r="E1164" i="1"/>
  <c r="H1164" i="1"/>
  <c r="D1313" i="1"/>
  <c r="H1313" i="1"/>
  <c r="D1173" i="1"/>
  <c r="H1173" i="1"/>
  <c r="I1173" i="1"/>
  <c r="D1174" i="1"/>
  <c r="H1174" i="1"/>
  <c r="I1174" i="1"/>
  <c r="D1175" i="1"/>
  <c r="H1175" i="1"/>
  <c r="I1175" i="1"/>
  <c r="D1172" i="1"/>
  <c r="E1172" i="1"/>
  <c r="H1172" i="1"/>
  <c r="D1449" i="1"/>
  <c r="E1449" i="1"/>
  <c r="H1449" i="1"/>
  <c r="D1450" i="1"/>
  <c r="H1450" i="1"/>
  <c r="I1450" i="1"/>
  <c r="D1451" i="1"/>
  <c r="E1451" i="1"/>
  <c r="H1451" i="1"/>
  <c r="D1452" i="1"/>
  <c r="E1452" i="1"/>
  <c r="H1452" i="1"/>
  <c r="D1453" i="1"/>
  <c r="E1453" i="1"/>
  <c r="H1453" i="1"/>
  <c r="D1454" i="1"/>
  <c r="E1454" i="1"/>
  <c r="H1454" i="1"/>
  <c r="D1455" i="1"/>
  <c r="E1455" i="1"/>
  <c r="H1455" i="1"/>
  <c r="D1456" i="1"/>
  <c r="E1456" i="1"/>
  <c r="H1456" i="1"/>
  <c r="D1457" i="1"/>
  <c r="E1457" i="1"/>
  <c r="H1457" i="1"/>
  <c r="D1458" i="1"/>
  <c r="E1458" i="1"/>
  <c r="H1458" i="1"/>
  <c r="D1459" i="1"/>
  <c r="E1459" i="1"/>
  <c r="H1459" i="1"/>
  <c r="D1460" i="1"/>
  <c r="E1460" i="1"/>
  <c r="H1460" i="1"/>
  <c r="D1461" i="1"/>
  <c r="E1461" i="1"/>
  <c r="H1461" i="1"/>
  <c r="D1462" i="1"/>
  <c r="E1462" i="1"/>
  <c r="H1462" i="1"/>
  <c r="D1179" i="1"/>
  <c r="E1179" i="1"/>
  <c r="H1179" i="1"/>
  <c r="D1314" i="1"/>
  <c r="H1314" i="1"/>
  <c r="I1314" i="1"/>
  <c r="D1315" i="1"/>
  <c r="H1315" i="1"/>
  <c r="I1315" i="1"/>
  <c r="D1165" i="1"/>
  <c r="E1165" i="1"/>
  <c r="H1165" i="1"/>
  <c r="D1176" i="1"/>
  <c r="H1176" i="1"/>
  <c r="D1316" i="1"/>
  <c r="H1316" i="1"/>
  <c r="I1316" i="1"/>
  <c r="D1317" i="1"/>
  <c r="H1317" i="1"/>
  <c r="I1317" i="1"/>
  <c r="D1353" i="1"/>
  <c r="E1353" i="1"/>
  <c r="H1353" i="1"/>
  <c r="D1354" i="1"/>
  <c r="E1354" i="1"/>
  <c r="H1354" i="1"/>
  <c r="D1330" i="1"/>
  <c r="E1330" i="1"/>
  <c r="H1330" i="1"/>
  <c r="D1355" i="1"/>
  <c r="E1355" i="1"/>
  <c r="H1355" i="1"/>
  <c r="D1318" i="1"/>
  <c r="E1318" i="1"/>
  <c r="H1318" i="1"/>
  <c r="D1195" i="1"/>
  <c r="E1195" i="1"/>
  <c r="H1195" i="1"/>
  <c r="D1166" i="1"/>
  <c r="E1166" i="1"/>
  <c r="H1166" i="1"/>
  <c r="D1233" i="1"/>
  <c r="E1233" i="1"/>
  <c r="H1233" i="1"/>
  <c r="D1234" i="1"/>
  <c r="E1234" i="1"/>
  <c r="H1234" i="1"/>
  <c r="D1235" i="1"/>
  <c r="E1235" i="1"/>
  <c r="H1235" i="1"/>
  <c r="D1236" i="1"/>
  <c r="E1236" i="1"/>
  <c r="H1236" i="1"/>
  <c r="D1237" i="1"/>
  <c r="E1237" i="1"/>
  <c r="H1237" i="1"/>
  <c r="D1238" i="1"/>
  <c r="E1238" i="1"/>
  <c r="H1238" i="1"/>
  <c r="D1196" i="1"/>
  <c r="E1196" i="1"/>
  <c r="H1196" i="1"/>
  <c r="D1197" i="1"/>
  <c r="E1197" i="1"/>
  <c r="H1197" i="1"/>
  <c r="D1198" i="1"/>
  <c r="H1198" i="1"/>
  <c r="D1239" i="1"/>
  <c r="E1239" i="1"/>
  <c r="H1239" i="1"/>
  <c r="D1240" i="1"/>
  <c r="E1240" i="1"/>
  <c r="H1240" i="1"/>
  <c r="D1199" i="1"/>
  <c r="E1199" i="1"/>
  <c r="H1199" i="1"/>
  <c r="I1199" i="1"/>
  <c r="D1180" i="1"/>
  <c r="E1180" i="1"/>
  <c r="H1180" i="1"/>
  <c r="D1200" i="1"/>
  <c r="E1200" i="1"/>
  <c r="H1200" i="1"/>
  <c r="D1201" i="1"/>
  <c r="E1201" i="1"/>
  <c r="H1201" i="1"/>
  <c r="D1202" i="1"/>
  <c r="E1202" i="1"/>
  <c r="H1202" i="1"/>
  <c r="D1203" i="1"/>
  <c r="E1203" i="1"/>
  <c r="H1203" i="1"/>
  <c r="D1204" i="1"/>
  <c r="E1204" i="1"/>
  <c r="H1204" i="1"/>
  <c r="D1205" i="1"/>
  <c r="E1205" i="1"/>
  <c r="H1205" i="1"/>
  <c r="D1206" i="1"/>
  <c r="E1206" i="1"/>
  <c r="H1206" i="1"/>
  <c r="D1207" i="1"/>
  <c r="E1207" i="1"/>
  <c r="H1207" i="1"/>
  <c r="D1208" i="1"/>
  <c r="E1208" i="1"/>
  <c r="H1208" i="1"/>
  <c r="D1209" i="1"/>
  <c r="E1209" i="1"/>
  <c r="H1209" i="1"/>
  <c r="D1210" i="1"/>
  <c r="E1210" i="1"/>
  <c r="H1210" i="1"/>
  <c r="I1210" i="1"/>
  <c r="D1241" i="1"/>
  <c r="E1241" i="1"/>
  <c r="H1241" i="1"/>
  <c r="D1211" i="1"/>
  <c r="E1211" i="1"/>
  <c r="H1211" i="1"/>
  <c r="D1212" i="1"/>
  <c r="E1212" i="1"/>
  <c r="H1212" i="1"/>
  <c r="D1242" i="1"/>
  <c r="E1242" i="1"/>
  <c r="H1242" i="1"/>
  <c r="D1243" i="1"/>
  <c r="E1243" i="1"/>
  <c r="H1243" i="1"/>
  <c r="D1331" i="1"/>
  <c r="E1331" i="1"/>
  <c r="H1331" i="1"/>
  <c r="D1244" i="1"/>
  <c r="E1244" i="1"/>
  <c r="H1244" i="1"/>
  <c r="D1245" i="1"/>
  <c r="E1245" i="1"/>
  <c r="H1245" i="1"/>
  <c r="D1225" i="1"/>
  <c r="H1225" i="1"/>
  <c r="D1226" i="1"/>
  <c r="H1226" i="1"/>
  <c r="D1227" i="1"/>
  <c r="H1227" i="1"/>
  <c r="I1227" i="1"/>
  <c r="D1228" i="1"/>
  <c r="H1228" i="1"/>
  <c r="D1167" i="1"/>
  <c r="E1167" i="1"/>
  <c r="H1167" i="1"/>
  <c r="D1168" i="1"/>
  <c r="E1168" i="1"/>
  <c r="H1168" i="1"/>
  <c r="D1169" i="1"/>
  <c r="E1169" i="1"/>
  <c r="H1169" i="1"/>
  <c r="D1213" i="1"/>
  <c r="H1213" i="1"/>
  <c r="I1213" i="1"/>
  <c r="D1214" i="1"/>
  <c r="E1214" i="1"/>
  <c r="H1214" i="1"/>
  <c r="D1215" i="1"/>
  <c r="H1215" i="1"/>
  <c r="I1215" i="1"/>
  <c r="D1216" i="1"/>
  <c r="E1216" i="1"/>
  <c r="H1216" i="1"/>
  <c r="D1170" i="1"/>
  <c r="E1170" i="1"/>
  <c r="H1170" i="1"/>
  <c r="D1246" i="1"/>
  <c r="E1246" i="1"/>
  <c r="H1246" i="1"/>
  <c r="D1332" i="1"/>
  <c r="E1332" i="1"/>
  <c r="H1332" i="1"/>
  <c r="D1333" i="1"/>
  <c r="E1333" i="1"/>
  <c r="H1333" i="1"/>
  <c r="D1334" i="1"/>
  <c r="E1334" i="1"/>
  <c r="H1334" i="1"/>
  <c r="D1247" i="1"/>
  <c r="E1247" i="1"/>
  <c r="H1247" i="1"/>
  <c r="D1335" i="1"/>
  <c r="E1335" i="1"/>
  <c r="H1335" i="1"/>
  <c r="D1336" i="1"/>
  <c r="E1336" i="1"/>
  <c r="H1336" i="1"/>
  <c r="D1465" i="1"/>
  <c r="E1465" i="1"/>
  <c r="H1465" i="1"/>
  <c r="D1337" i="1"/>
  <c r="E1337" i="1"/>
  <c r="H1337" i="1"/>
  <c r="D1338" i="1"/>
  <c r="E1338" i="1"/>
  <c r="H1338" i="1"/>
  <c r="D1339" i="1"/>
  <c r="E1339" i="1"/>
  <c r="H1339" i="1"/>
  <c r="D1248" i="1"/>
  <c r="E1248" i="1"/>
  <c r="H1248" i="1"/>
  <c r="D1249" i="1"/>
  <c r="E1249" i="1"/>
  <c r="H1249" i="1"/>
  <c r="D1250" i="1"/>
  <c r="E1250" i="1"/>
  <c r="H1250" i="1"/>
  <c r="D1251" i="1"/>
  <c r="E1251" i="1"/>
  <c r="H1251" i="1"/>
  <c r="D1131" i="1"/>
  <c r="E1131" i="1"/>
  <c r="H1131" i="1"/>
  <c r="D1132" i="1"/>
  <c r="E1132" i="1"/>
  <c r="H1132" i="1"/>
  <c r="D1133" i="1"/>
  <c r="E1133" i="1"/>
  <c r="H1133" i="1"/>
  <c r="D1217" i="1"/>
  <c r="E1217" i="1"/>
  <c r="H1217" i="1"/>
  <c r="D1171" i="1"/>
  <c r="E1171" i="1"/>
  <c r="H1171" i="1"/>
  <c r="D1252" i="1"/>
  <c r="E1252" i="1"/>
  <c r="H1252" i="1"/>
  <c r="D1253" i="1"/>
  <c r="E1253" i="1"/>
  <c r="H1253" i="1"/>
  <c r="D1340" i="1"/>
  <c r="E1340" i="1"/>
  <c r="H1340" i="1"/>
  <c r="D1341" i="1"/>
  <c r="E1341" i="1"/>
  <c r="H1341" i="1"/>
  <c r="D1342" i="1"/>
  <c r="E1342" i="1"/>
  <c r="H1342" i="1"/>
  <c r="D1343" i="1"/>
  <c r="E1343" i="1"/>
  <c r="H1343" i="1"/>
  <c r="D1344" i="1"/>
  <c r="E1344" i="1"/>
  <c r="H1344" i="1"/>
  <c r="D1345" i="1"/>
  <c r="E1345" i="1"/>
  <c r="H1345" i="1"/>
  <c r="D1346" i="1"/>
  <c r="E1346" i="1"/>
  <c r="H1346" i="1"/>
  <c r="D1347" i="1"/>
  <c r="E1347" i="1"/>
  <c r="H1347" i="1"/>
  <c r="D1348" i="1"/>
  <c r="E1348" i="1"/>
  <c r="H1348" i="1"/>
  <c r="D1134" i="1"/>
  <c r="H1134" i="1"/>
  <c r="I1134" i="1"/>
  <c r="D1271" i="1"/>
  <c r="E1271" i="1"/>
  <c r="H1271" i="1"/>
  <c r="I1271" i="1"/>
  <c r="D1257" i="1"/>
  <c r="E1257" i="1"/>
  <c r="H1257" i="1"/>
  <c r="I1257" i="1"/>
  <c r="D1256" i="1"/>
  <c r="E1256" i="1"/>
  <c r="H1256" i="1"/>
  <c r="D1137" i="1"/>
  <c r="H1137" i="1"/>
  <c r="D1218" i="1"/>
  <c r="H1218" i="1"/>
  <c r="I1218" i="1"/>
  <c r="D1142" i="1"/>
  <c r="H1142" i="1"/>
  <c r="I1142" i="1"/>
  <c r="D1181" i="1"/>
  <c r="E1181" i="1"/>
  <c r="H1181" i="1"/>
  <c r="I1181" i="1"/>
  <c r="D1413" i="1"/>
  <c r="H1413" i="1"/>
  <c r="I1413" i="1"/>
  <c r="D1414" i="1"/>
  <c r="E1414" i="1"/>
  <c r="H1414" i="1"/>
  <c r="D1356" i="1"/>
  <c r="E1356" i="1"/>
  <c r="H1356" i="1"/>
  <c r="D1138" i="1"/>
  <c r="E1138" i="1"/>
  <c r="H1138" i="1"/>
  <c r="I1138" i="1"/>
  <c r="D1139" i="1"/>
  <c r="E1139" i="1"/>
  <c r="H1139" i="1"/>
  <c r="I1139" i="1"/>
  <c r="D1219" i="1"/>
  <c r="E1219" i="1"/>
  <c r="H1219" i="1"/>
  <c r="D1272" i="1"/>
  <c r="E1272" i="1"/>
  <c r="H1272" i="1"/>
  <c r="D1273" i="1"/>
  <c r="E1273" i="1"/>
  <c r="H1273" i="1"/>
  <c r="D1274" i="1"/>
  <c r="E1274" i="1"/>
  <c r="H1274" i="1"/>
  <c r="D1275" i="1"/>
  <c r="E1275" i="1"/>
  <c r="H1275" i="1"/>
  <c r="D1276" i="1"/>
  <c r="E1276" i="1"/>
  <c r="H1276" i="1"/>
  <c r="D1277" i="1"/>
  <c r="E1277" i="1"/>
  <c r="H1277" i="1"/>
  <c r="D1278" i="1"/>
  <c r="E1278" i="1"/>
  <c r="H1278" i="1"/>
  <c r="D1279" i="1"/>
  <c r="E1279" i="1"/>
  <c r="H1279" i="1"/>
  <c r="D1280" i="1"/>
  <c r="E1280" i="1"/>
  <c r="H1280" i="1"/>
  <c r="D1281" i="1"/>
  <c r="E1281" i="1"/>
  <c r="H1281" i="1"/>
  <c r="D1282" i="1"/>
  <c r="E1282" i="1"/>
  <c r="H1282" i="1"/>
  <c r="D1283" i="1"/>
  <c r="H1283" i="1"/>
  <c r="I1283" i="1"/>
  <c r="D1284" i="1"/>
  <c r="E1284" i="1"/>
  <c r="H1284" i="1"/>
  <c r="D1285" i="1"/>
  <c r="E1285" i="1"/>
  <c r="H1285" i="1"/>
  <c r="D1286" i="1"/>
  <c r="E1286" i="1"/>
  <c r="H1286" i="1"/>
  <c r="D1220" i="1"/>
  <c r="E1220" i="1"/>
  <c r="H1220" i="1"/>
  <c r="D1221" i="1"/>
  <c r="E1221" i="1"/>
  <c r="H1221" i="1"/>
  <c r="D1222" i="1"/>
  <c r="E1222" i="1"/>
  <c r="H1222" i="1"/>
  <c r="K1222" i="1"/>
  <c r="D1223" i="1"/>
  <c r="E1223" i="1"/>
  <c r="H1223" i="1"/>
  <c r="D1183" i="1"/>
  <c r="E1183" i="1"/>
  <c r="H1183" i="1"/>
  <c r="D1184" i="1"/>
  <c r="E1184" i="1"/>
  <c r="H1184" i="1"/>
  <c r="D1185" i="1"/>
  <c r="E1185" i="1"/>
  <c r="H1185" i="1"/>
  <c r="D1186" i="1"/>
  <c r="E1186" i="1"/>
  <c r="H1186" i="1"/>
  <c r="D1187" i="1"/>
  <c r="E1187" i="1"/>
  <c r="H1187" i="1"/>
  <c r="D1188" i="1"/>
  <c r="E1188" i="1"/>
  <c r="H1188" i="1"/>
  <c r="D1144" i="1"/>
  <c r="E1144" i="1"/>
  <c r="H1144" i="1"/>
  <c r="D1145" i="1"/>
  <c r="E1145" i="1"/>
  <c r="H1145" i="1"/>
  <c r="D1146" i="1"/>
  <c r="E1146" i="1"/>
  <c r="H1146" i="1"/>
  <c r="D1147" i="1"/>
  <c r="E1147" i="1"/>
  <c r="H1147" i="1"/>
  <c r="D1148" i="1"/>
  <c r="E1148" i="1"/>
  <c r="H1148" i="1"/>
  <c r="D1149" i="1"/>
  <c r="E1149" i="1"/>
  <c r="H1149" i="1"/>
  <c r="D1150" i="1"/>
  <c r="E1150" i="1"/>
  <c r="H1150" i="1"/>
  <c r="D1151" i="1"/>
  <c r="E1151" i="1"/>
  <c r="H1151" i="1"/>
  <c r="D1152" i="1"/>
  <c r="E1152" i="1"/>
  <c r="H1152" i="1"/>
  <c r="D1357" i="1"/>
  <c r="E1357" i="1"/>
  <c r="H1357" i="1"/>
  <c r="D1358" i="1"/>
  <c r="E1358" i="1"/>
  <c r="H1358" i="1"/>
  <c r="D1359" i="1"/>
  <c r="E1359" i="1"/>
  <c r="H1359" i="1"/>
  <c r="D1360" i="1"/>
  <c r="E1360" i="1"/>
  <c r="H1360" i="1"/>
  <c r="D1361" i="1"/>
  <c r="E1361" i="1"/>
  <c r="H1361" i="1"/>
  <c r="D1362" i="1"/>
  <c r="E1362" i="1"/>
  <c r="H1362" i="1"/>
  <c r="D1363" i="1"/>
  <c r="E1363" i="1"/>
  <c r="H1363" i="1"/>
  <c r="D1364" i="1"/>
  <c r="E1364" i="1"/>
  <c r="H1364" i="1"/>
  <c r="D1365" i="1"/>
  <c r="E1365" i="1"/>
  <c r="H1365" i="1"/>
  <c r="D1366" i="1"/>
  <c r="E1366" i="1"/>
  <c r="H1366" i="1"/>
  <c r="D1367" i="1"/>
  <c r="E1367" i="1"/>
  <c r="H1367" i="1"/>
  <c r="D1368" i="1"/>
  <c r="E1368" i="1"/>
  <c r="H1368" i="1"/>
  <c r="D1369" i="1"/>
  <c r="E1369" i="1"/>
  <c r="H1369" i="1"/>
  <c r="D1370" i="1"/>
  <c r="E1370" i="1"/>
  <c r="H1370" i="1"/>
  <c r="D1371" i="1"/>
  <c r="E1371" i="1"/>
  <c r="H1371" i="1"/>
  <c r="D1372" i="1"/>
  <c r="E1372" i="1"/>
  <c r="H1372" i="1"/>
  <c r="D1373" i="1"/>
  <c r="E1373" i="1"/>
  <c r="H1373" i="1"/>
  <c r="D1374" i="1"/>
  <c r="E1374" i="1"/>
  <c r="H1374" i="1"/>
  <c r="D1375" i="1"/>
  <c r="E1375" i="1"/>
  <c r="H1375" i="1"/>
  <c r="D1376" i="1"/>
  <c r="E1376" i="1"/>
  <c r="H1376" i="1"/>
  <c r="D1377" i="1"/>
  <c r="E1377" i="1"/>
  <c r="H1377" i="1"/>
  <c r="D1378" i="1"/>
  <c r="E1378" i="1"/>
  <c r="H1378" i="1"/>
  <c r="D1379" i="1"/>
  <c r="E1379" i="1"/>
  <c r="H1379" i="1"/>
  <c r="D1380" i="1"/>
  <c r="E1380" i="1"/>
  <c r="H1380" i="1"/>
  <c r="D1381" i="1"/>
  <c r="E1381" i="1"/>
  <c r="H1381" i="1"/>
  <c r="D1382" i="1"/>
  <c r="E1382" i="1"/>
  <c r="H1382" i="1"/>
  <c r="D1383" i="1"/>
  <c r="E1383" i="1"/>
  <c r="H1383" i="1"/>
  <c r="D1384" i="1"/>
  <c r="E1384" i="1"/>
  <c r="H1384" i="1"/>
  <c r="D1385" i="1"/>
  <c r="E1385" i="1"/>
  <c r="H1385" i="1"/>
  <c r="D1386" i="1"/>
  <c r="E1386" i="1"/>
  <c r="H1386" i="1"/>
  <c r="D1387" i="1"/>
  <c r="E1387" i="1"/>
  <c r="H1387" i="1"/>
  <c r="D1388" i="1"/>
  <c r="E1388" i="1"/>
  <c r="H1388" i="1"/>
  <c r="D1389" i="1"/>
  <c r="E1389" i="1"/>
  <c r="H1389" i="1"/>
  <c r="D1390" i="1"/>
  <c r="E1390" i="1"/>
  <c r="H1390" i="1"/>
  <c r="D1391" i="1"/>
  <c r="E1391" i="1"/>
  <c r="H1391" i="1"/>
  <c r="D1392" i="1"/>
  <c r="E1392" i="1"/>
  <c r="H1392" i="1"/>
  <c r="D1393" i="1"/>
  <c r="E1393" i="1"/>
  <c r="H1393" i="1"/>
  <c r="D1394" i="1"/>
  <c r="E1394" i="1"/>
  <c r="H1394" i="1"/>
  <c r="D1287" i="1"/>
  <c r="E1287" i="1"/>
  <c r="H1287" i="1"/>
  <c r="D1288" i="1"/>
  <c r="E1288" i="1"/>
  <c r="H1288" i="1"/>
  <c r="D1289" i="1"/>
  <c r="E1289" i="1"/>
  <c r="H1289" i="1"/>
  <c r="D1290" i="1"/>
  <c r="E1290" i="1"/>
  <c r="H1290" i="1"/>
  <c r="D1291" i="1"/>
  <c r="E1291" i="1"/>
  <c r="H1291" i="1"/>
  <c r="D1292" i="1"/>
  <c r="E1292" i="1"/>
  <c r="H1292" i="1"/>
  <c r="D1293" i="1"/>
  <c r="E1293" i="1"/>
  <c r="H1293" i="1"/>
  <c r="D1294" i="1"/>
  <c r="E1294" i="1"/>
  <c r="H1294" i="1"/>
  <c r="D1295" i="1"/>
  <c r="E1295" i="1"/>
  <c r="H1295" i="1"/>
  <c r="D1296" i="1"/>
  <c r="E1296" i="1"/>
  <c r="H1296" i="1"/>
  <c r="D1395" i="1"/>
  <c r="E1395" i="1"/>
  <c r="H1395" i="1"/>
  <c r="D1396" i="1"/>
  <c r="E1396" i="1"/>
  <c r="H1396" i="1"/>
  <c r="D1397" i="1"/>
  <c r="E1397" i="1"/>
  <c r="H1397" i="1"/>
  <c r="D1398" i="1"/>
  <c r="E1398" i="1"/>
  <c r="H1398" i="1"/>
  <c r="D1399" i="1"/>
  <c r="E1399" i="1"/>
  <c r="H1399" i="1"/>
  <c r="D1400" i="1"/>
  <c r="E1400" i="1"/>
  <c r="H1400" i="1"/>
  <c r="D1401" i="1"/>
  <c r="E1401" i="1"/>
  <c r="H1401" i="1"/>
  <c r="D1402" i="1"/>
  <c r="E1402" i="1"/>
  <c r="H1402" i="1"/>
  <c r="D1403" i="1"/>
  <c r="E1403" i="1"/>
  <c r="H1403" i="1"/>
  <c r="D1404" i="1"/>
  <c r="E1404" i="1"/>
  <c r="H1404" i="1"/>
  <c r="D1405" i="1"/>
  <c r="E1405" i="1"/>
  <c r="H1405" i="1"/>
  <c r="D1140" i="1"/>
  <c r="E1140" i="1"/>
  <c r="H1140" i="1"/>
  <c r="D1141" i="1"/>
  <c r="E1141" i="1"/>
  <c r="H1141" i="1"/>
  <c r="D1224" i="1"/>
  <c r="E1224" i="1"/>
  <c r="H1224" i="1"/>
  <c r="D1254" i="1"/>
  <c r="E1254" i="1"/>
  <c r="H1254" i="1"/>
  <c r="D1255" i="1"/>
  <c r="E1255" i="1"/>
  <c r="H1255" i="1"/>
  <c r="D1406" i="1"/>
  <c r="E1406" i="1"/>
  <c r="H1406" i="1"/>
  <c r="D1407" i="1"/>
  <c r="E1407" i="1"/>
  <c r="H1407" i="1"/>
  <c r="D1408" i="1"/>
  <c r="E1408" i="1"/>
  <c r="H1408" i="1"/>
  <c r="D1409" i="1"/>
  <c r="E1409" i="1"/>
  <c r="H1409" i="1"/>
  <c r="D1410" i="1"/>
  <c r="E1410" i="1"/>
  <c r="H1410" i="1"/>
  <c r="D1411" i="1"/>
  <c r="E1411" i="1"/>
  <c r="H1411" i="1"/>
  <c r="D1495" i="1"/>
  <c r="E1495" i="1"/>
  <c r="H1495" i="1"/>
  <c r="I1495" i="1"/>
  <c r="D1482" i="1"/>
  <c r="E1482" i="1"/>
  <c r="H1482" i="1"/>
  <c r="I1482" i="1"/>
  <c r="D1487" i="1"/>
  <c r="E1487" i="1"/>
  <c r="H1487" i="1"/>
  <c r="D1475" i="1"/>
  <c r="E1475" i="1"/>
  <c r="H1475" i="1"/>
  <c r="I1475" i="1"/>
  <c r="D1476" i="1"/>
  <c r="E1476" i="1"/>
  <c r="H1476" i="1"/>
  <c r="I1476" i="1"/>
  <c r="D1477" i="1"/>
  <c r="E1477" i="1"/>
  <c r="H1477" i="1"/>
  <c r="I1477" i="1"/>
  <c r="D1478" i="1"/>
  <c r="E1478" i="1"/>
  <c r="H1478" i="1"/>
  <c r="I1478" i="1"/>
  <c r="D1479" i="1"/>
  <c r="E1479" i="1"/>
  <c r="H1479" i="1"/>
  <c r="I1479" i="1"/>
  <c r="D1488" i="1"/>
  <c r="H1488" i="1"/>
  <c r="I1488" i="1"/>
  <c r="D1498" i="1"/>
  <c r="H1498" i="1"/>
  <c r="I1498" i="1"/>
  <c r="D1466" i="1"/>
  <c r="H1466" i="1"/>
  <c r="I1466" i="1"/>
  <c r="D1499" i="1"/>
  <c r="H1499" i="1"/>
  <c r="I1499" i="1"/>
  <c r="D1480" i="1"/>
  <c r="E1480" i="1"/>
  <c r="H1480" i="1"/>
  <c r="D1485" i="1"/>
  <c r="E1485" i="1"/>
  <c r="H1485" i="1"/>
  <c r="D1500" i="1"/>
  <c r="E1500" i="1"/>
  <c r="H1500" i="1"/>
  <c r="D1501" i="1"/>
  <c r="E1501" i="1"/>
  <c r="H1501" i="1"/>
  <c r="D1496" i="1"/>
  <c r="E1496" i="1"/>
  <c r="H1496" i="1"/>
  <c r="I1496" i="1"/>
  <c r="D1502" i="1"/>
  <c r="E1502" i="1"/>
  <c r="H1502" i="1"/>
  <c r="D1497" i="1"/>
  <c r="E1497" i="1"/>
  <c r="H1497" i="1"/>
  <c r="D1467" i="1"/>
  <c r="H1467" i="1"/>
  <c r="D1468" i="1"/>
  <c r="H1468" i="1"/>
  <c r="D1469" i="1"/>
  <c r="E1469" i="1"/>
  <c r="H1469" i="1"/>
  <c r="I1469" i="1"/>
  <c r="D1474" i="1"/>
  <c r="E1474" i="1"/>
  <c r="H1474" i="1"/>
  <c r="I1474" i="1"/>
  <c r="D1484" i="1"/>
  <c r="E1484" i="1"/>
  <c r="H1484" i="1"/>
  <c r="I1484" i="1"/>
  <c r="D1470" i="1"/>
  <c r="E1470" i="1"/>
  <c r="H1470" i="1"/>
  <c r="D1483" i="1"/>
  <c r="E1483" i="1"/>
  <c r="H1483" i="1"/>
  <c r="I1483" i="1"/>
  <c r="D1481" i="1"/>
  <c r="E1481" i="1"/>
  <c r="H1481" i="1"/>
  <c r="D1493" i="1"/>
  <c r="H1493" i="1"/>
  <c r="D1494" i="1"/>
  <c r="E1494" i="1"/>
  <c r="H1494" i="1"/>
  <c r="I1494" i="1"/>
  <c r="D1489" i="1"/>
  <c r="E1489" i="1"/>
  <c r="H1489" i="1"/>
  <c r="I1489" i="1"/>
  <c r="D1492" i="1"/>
  <c r="H1492" i="1"/>
  <c r="D1490" i="1"/>
  <c r="H1490" i="1"/>
  <c r="I1490" i="1"/>
  <c r="D1471" i="1"/>
  <c r="E1471" i="1"/>
  <c r="H1471" i="1"/>
  <c r="D1486" i="1"/>
  <c r="E1486" i="1"/>
  <c r="H1486" i="1"/>
  <c r="I1486" i="1"/>
  <c r="D1472" i="1"/>
  <c r="E1472" i="1"/>
  <c r="H1472" i="1"/>
  <c r="I1472" i="1"/>
  <c r="D1473" i="1"/>
  <c r="H1473" i="1"/>
  <c r="D1491" i="1"/>
  <c r="E1491" i="1"/>
  <c r="H1491" i="1"/>
  <c r="D1503" i="1"/>
  <c r="E1503" i="1"/>
  <c r="H1503" i="1"/>
  <c r="I1503" i="1"/>
  <c r="D1640" i="1"/>
  <c r="E1640" i="1"/>
  <c r="H1640" i="1"/>
  <c r="I1640" i="1"/>
  <c r="D1641" i="1"/>
  <c r="E1641" i="1"/>
  <c r="H1641" i="1"/>
  <c r="I1641" i="1"/>
  <c r="D1683" i="1"/>
  <c r="H1683" i="1"/>
  <c r="D1679" i="1"/>
  <c r="E1679" i="1"/>
  <c r="H1679" i="1"/>
  <c r="I1679" i="1"/>
  <c r="D1684" i="1"/>
  <c r="H1684" i="1"/>
  <c r="I1684" i="1"/>
  <c r="D1691" i="1"/>
  <c r="H1691" i="1"/>
  <c r="I1691" i="1"/>
  <c r="D1699" i="1"/>
  <c r="H1699" i="1"/>
  <c r="I1699" i="1"/>
  <c r="D1642" i="1"/>
  <c r="E1642" i="1"/>
  <c r="H1642" i="1"/>
  <c r="I1642" i="1"/>
  <c r="D1662" i="1"/>
  <c r="E1662" i="1"/>
  <c r="H1662" i="1"/>
  <c r="I1662" i="1"/>
  <c r="D1572" i="1"/>
  <c r="H1572" i="1"/>
  <c r="I1572" i="1"/>
  <c r="D1665" i="1"/>
  <c r="E1665" i="1"/>
  <c r="H1665" i="1"/>
  <c r="I1665" i="1"/>
  <c r="D1598" i="1"/>
  <c r="E1598" i="1"/>
  <c r="H1598" i="1"/>
  <c r="I1598" i="1"/>
  <c r="D1692" i="1"/>
  <c r="E1692" i="1"/>
  <c r="H1692" i="1"/>
  <c r="I1692" i="1"/>
  <c r="D1675" i="1"/>
  <c r="E1675" i="1"/>
  <c r="H1675" i="1"/>
  <c r="I1675" i="1"/>
  <c r="D1669" i="1"/>
  <c r="E1669" i="1"/>
  <c r="H1669" i="1"/>
  <c r="I1669" i="1"/>
  <c r="D1644" i="1"/>
  <c r="H1644" i="1"/>
  <c r="I1644" i="1"/>
  <c r="D1603" i="1"/>
  <c r="E1603" i="1"/>
  <c r="H1603" i="1"/>
  <c r="D1645" i="1"/>
  <c r="E1645" i="1"/>
  <c r="H1645" i="1"/>
  <c r="D1604" i="1"/>
  <c r="E1604" i="1"/>
  <c r="H1604" i="1"/>
  <c r="D1605" i="1"/>
  <c r="E1605" i="1"/>
  <c r="H1605" i="1"/>
  <c r="D1606" i="1"/>
  <c r="E1606" i="1"/>
  <c r="H1606" i="1"/>
  <c r="D1646" i="1"/>
  <c r="E1646" i="1"/>
  <c r="H1646" i="1"/>
  <c r="D1607" i="1"/>
  <c r="E1607" i="1"/>
  <c r="H1607" i="1"/>
  <c r="D1551" i="1"/>
  <c r="E1551" i="1"/>
  <c r="H1551" i="1"/>
  <c r="I1551" i="1"/>
  <c r="D1608" i="1"/>
  <c r="E1608" i="1"/>
  <c r="H1608" i="1"/>
  <c r="I1608" i="1"/>
  <c r="D1609" i="1"/>
  <c r="E1609" i="1"/>
  <c r="H1609" i="1"/>
  <c r="D1647" i="1"/>
  <c r="E1647" i="1"/>
  <c r="H1647" i="1"/>
  <c r="D1610" i="1"/>
  <c r="E1610" i="1"/>
  <c r="H1610" i="1"/>
  <c r="D1648" i="1"/>
  <c r="E1648" i="1"/>
  <c r="H1648" i="1"/>
  <c r="D1649" i="1"/>
  <c r="E1649" i="1"/>
  <c r="H1649" i="1"/>
  <c r="D1650" i="1"/>
  <c r="E1650" i="1"/>
  <c r="H1650" i="1"/>
  <c r="D1552" i="1"/>
  <c r="E1552" i="1"/>
  <c r="H1552" i="1"/>
  <c r="D1611" i="1"/>
  <c r="E1611" i="1"/>
  <c r="H1611" i="1"/>
  <c r="I1611" i="1"/>
  <c r="D1651" i="1"/>
  <c r="H1651" i="1"/>
  <c r="I1651" i="1"/>
  <c r="D1612" i="1"/>
  <c r="E1612" i="1"/>
  <c r="H1612" i="1"/>
  <c r="I1612" i="1"/>
  <c r="D1613" i="1"/>
  <c r="E1613" i="1"/>
  <c r="H1613" i="1"/>
  <c r="D1614" i="1"/>
  <c r="H1614" i="1"/>
  <c r="I1614" i="1"/>
  <c r="D1615" i="1"/>
  <c r="H1615" i="1"/>
  <c r="I1615" i="1"/>
  <c r="D1616" i="1"/>
  <c r="H1616" i="1"/>
  <c r="I1616" i="1"/>
  <c r="D1617" i="1"/>
  <c r="H1617" i="1"/>
  <c r="I1617" i="1"/>
  <c r="D1618" i="1"/>
  <c r="H1618" i="1"/>
  <c r="I1618" i="1"/>
  <c r="D1619" i="1"/>
  <c r="H1619" i="1"/>
  <c r="I1619" i="1"/>
  <c r="D1652" i="1"/>
  <c r="H1652" i="1"/>
  <c r="I1652" i="1"/>
  <c r="D1620" i="1"/>
  <c r="E1620" i="1"/>
  <c r="H1620" i="1"/>
  <c r="D1629" i="1"/>
  <c r="E1629" i="1"/>
  <c r="H1629" i="1"/>
  <c r="D1621" i="1"/>
  <c r="E1621" i="1"/>
  <c r="H1621" i="1"/>
  <c r="D1622" i="1"/>
  <c r="E1622" i="1"/>
  <c r="H1622" i="1"/>
  <c r="D1623" i="1"/>
  <c r="E1623" i="1"/>
  <c r="H1623" i="1"/>
  <c r="D1624" i="1"/>
  <c r="E1624" i="1"/>
  <c r="H1624" i="1"/>
  <c r="D1625" i="1"/>
  <c r="E1625" i="1"/>
  <c r="H1625" i="1"/>
  <c r="D1626" i="1"/>
  <c r="E1626" i="1"/>
  <c r="H1626" i="1"/>
  <c r="D1627" i="1"/>
  <c r="E1627" i="1"/>
  <c r="H1627" i="1"/>
  <c r="D1628" i="1"/>
  <c r="E1628" i="1"/>
  <c r="H1628" i="1"/>
  <c r="D1677" i="1"/>
  <c r="H1677" i="1"/>
  <c r="D1676" i="1"/>
  <c r="E1676" i="1"/>
  <c r="H1676" i="1"/>
  <c r="I1676" i="1"/>
  <c r="D1587" i="1"/>
  <c r="H1587" i="1"/>
  <c r="I1587" i="1"/>
  <c r="D1600" i="1"/>
  <c r="E1600" i="1"/>
  <c r="H1600" i="1"/>
  <c r="I1600" i="1"/>
  <c r="D1580" i="1"/>
  <c r="E1580" i="1"/>
  <c r="H1580" i="1"/>
  <c r="I1580" i="1"/>
  <c r="D1702" i="1"/>
  <c r="E1702" i="1"/>
  <c r="H1702" i="1"/>
  <c r="I1702" i="1"/>
  <c r="D1643" i="1"/>
  <c r="H1643" i="1"/>
  <c r="I1643" i="1"/>
  <c r="D1685" i="1"/>
  <c r="E1685" i="1"/>
  <c r="H1685" i="1"/>
  <c r="I1685" i="1"/>
  <c r="D1693" i="1"/>
  <c r="E1693" i="1"/>
  <c r="H1693" i="1"/>
  <c r="D1682" i="1"/>
  <c r="E1682" i="1"/>
  <c r="H1682" i="1"/>
  <c r="D1686" i="1"/>
  <c r="E1686" i="1"/>
  <c r="H1686" i="1"/>
  <c r="I1686" i="1"/>
  <c r="D1694" i="1"/>
  <c r="E1694" i="1"/>
  <c r="H1694" i="1"/>
  <c r="I1694" i="1"/>
  <c r="D1670" i="1"/>
  <c r="E1670" i="1"/>
  <c r="H1670" i="1"/>
  <c r="D1671" i="1"/>
  <c r="E1671" i="1"/>
  <c r="H1671" i="1"/>
  <c r="D1672" i="1"/>
  <c r="E1672" i="1"/>
  <c r="H1672" i="1"/>
  <c r="D1524" i="1"/>
  <c r="E1524" i="1"/>
  <c r="H1524" i="1"/>
  <c r="D1703" i="1"/>
  <c r="H1703" i="1"/>
  <c r="I1703" i="1"/>
  <c r="D1581" i="1"/>
  <c r="E1581" i="1"/>
  <c r="H1581" i="1"/>
  <c r="D1504" i="1"/>
  <c r="E1504" i="1"/>
  <c r="H1504" i="1"/>
  <c r="I1504" i="1"/>
  <c r="D1508" i="1"/>
  <c r="E1508" i="1"/>
  <c r="H1508" i="1"/>
  <c r="D1509" i="1"/>
  <c r="E1509" i="1"/>
  <c r="H1509" i="1"/>
  <c r="D1510" i="1"/>
  <c r="E1510" i="1"/>
  <c r="H1510" i="1"/>
  <c r="D1511" i="1"/>
  <c r="E1511" i="1"/>
  <c r="H1511" i="1"/>
  <c r="D1512" i="1"/>
  <c r="E1512" i="1"/>
  <c r="H1512" i="1"/>
  <c r="D1513" i="1"/>
  <c r="E1513" i="1"/>
  <c r="H1513" i="1"/>
  <c r="D1514" i="1"/>
  <c r="E1514" i="1"/>
  <c r="H1514" i="1"/>
  <c r="D1515" i="1"/>
  <c r="E1515" i="1"/>
  <c r="H1515" i="1"/>
  <c r="D1516" i="1"/>
  <c r="E1516" i="1"/>
  <c r="H1516" i="1"/>
  <c r="D1517" i="1"/>
  <c r="E1517" i="1"/>
  <c r="H1517" i="1"/>
  <c r="D1518" i="1"/>
  <c r="E1518" i="1"/>
  <c r="H1518" i="1"/>
  <c r="D1519" i="1"/>
  <c r="E1519" i="1"/>
  <c r="H1519" i="1"/>
  <c r="D1520" i="1"/>
  <c r="E1520" i="1"/>
  <c r="H1520" i="1"/>
  <c r="D1573" i="1"/>
  <c r="E1573" i="1"/>
  <c r="H1573" i="1"/>
  <c r="D1521" i="1"/>
  <c r="E1521" i="1"/>
  <c r="H1521" i="1"/>
  <c r="D1522" i="1"/>
  <c r="E1522" i="1"/>
  <c r="H1522" i="1"/>
  <c r="D1576" i="1"/>
  <c r="H1576" i="1"/>
  <c r="I1576" i="1"/>
  <c r="D1695" i="1"/>
  <c r="H1695" i="1"/>
  <c r="I1695" i="1"/>
  <c r="D1696" i="1"/>
  <c r="E1696" i="1"/>
  <c r="H1696" i="1"/>
  <c r="D1555" i="1"/>
  <c r="H1555" i="1"/>
  <c r="D1506" i="1"/>
  <c r="E1506" i="1"/>
  <c r="H1506" i="1"/>
  <c r="I1506" i="1"/>
  <c r="D1556" i="1"/>
  <c r="H1556" i="1"/>
  <c r="D1505" i="1"/>
  <c r="E1505" i="1"/>
  <c r="H1505" i="1"/>
  <c r="D1557" i="1"/>
  <c r="H1557" i="1"/>
  <c r="D1558" i="1"/>
  <c r="H1558" i="1"/>
  <c r="D1559" i="1"/>
  <c r="H1559" i="1"/>
  <c r="D1560" i="1"/>
  <c r="H1560" i="1"/>
  <c r="D1582" i="1"/>
  <c r="H1582" i="1"/>
  <c r="I1582" i="1"/>
  <c r="D1586" i="1"/>
  <c r="E1586" i="1"/>
  <c r="H1586" i="1"/>
  <c r="D1678" i="1"/>
  <c r="E1678" i="1"/>
  <c r="H1678" i="1"/>
  <c r="D1525" i="1"/>
  <c r="E1525" i="1"/>
  <c r="H1525" i="1"/>
  <c r="D1697" i="1"/>
  <c r="E1697" i="1"/>
  <c r="H1697" i="1"/>
  <c r="I1697" i="1"/>
  <c r="D1698" i="1"/>
  <c r="E1698" i="1"/>
  <c r="H1698" i="1"/>
  <c r="I1698" i="1"/>
  <c r="D1526" i="1"/>
  <c r="H1526" i="1"/>
  <c r="D1561" i="1"/>
  <c r="H1561" i="1"/>
  <c r="I1561" i="1"/>
  <c r="D1562" i="1"/>
  <c r="E1562" i="1"/>
  <c r="H1562" i="1"/>
  <c r="D1563" i="1"/>
  <c r="E1563" i="1"/>
  <c r="H1563" i="1"/>
  <c r="D1564" i="1"/>
  <c r="H1564" i="1"/>
  <c r="I1564" i="1"/>
  <c r="D1653" i="1"/>
  <c r="E1653" i="1"/>
  <c r="H1653" i="1"/>
  <c r="D1565" i="1"/>
  <c r="E1565" i="1"/>
  <c r="H1565" i="1"/>
  <c r="D1591" i="1"/>
  <c r="E1591" i="1"/>
  <c r="H1591" i="1"/>
  <c r="I1591" i="1"/>
  <c r="D1592" i="1"/>
  <c r="E1592" i="1"/>
  <c r="H1592" i="1"/>
  <c r="I1592" i="1"/>
  <c r="D1593" i="1"/>
  <c r="E1593" i="1"/>
  <c r="H1593" i="1"/>
  <c r="I1593" i="1"/>
  <c r="D1594" i="1"/>
  <c r="E1594" i="1"/>
  <c r="H1594" i="1"/>
  <c r="I1594" i="1"/>
  <c r="D1654" i="1"/>
  <c r="H1654" i="1"/>
  <c r="I1654" i="1"/>
  <c r="D1566" i="1"/>
  <c r="H1566" i="1"/>
  <c r="I1566" i="1"/>
  <c r="D1567" i="1"/>
  <c r="E1567" i="1"/>
  <c r="H1567" i="1"/>
  <c r="I1567" i="1"/>
  <c r="D1568" i="1"/>
  <c r="E1568" i="1"/>
  <c r="H1568" i="1"/>
  <c r="D1569" i="1"/>
  <c r="E1569" i="1"/>
  <c r="H1569" i="1"/>
  <c r="I1569" i="1"/>
  <c r="D1570" i="1"/>
  <c r="E1570" i="1"/>
  <c r="H1570" i="1"/>
  <c r="I1570" i="1"/>
  <c r="D1571" i="1"/>
  <c r="E1571" i="1"/>
  <c r="H1571" i="1"/>
  <c r="D1658" i="1"/>
  <c r="E1658" i="1"/>
  <c r="H1658" i="1"/>
  <c r="I1658" i="1"/>
  <c r="D1599" i="1"/>
  <c r="H1599" i="1"/>
  <c r="I1599" i="1"/>
  <c r="D1673" i="1"/>
  <c r="E1673" i="1"/>
  <c r="H1673" i="1"/>
  <c r="I1673" i="1"/>
  <c r="D1549" i="1"/>
  <c r="H1549" i="1"/>
  <c r="I1549" i="1"/>
  <c r="D1574" i="1"/>
  <c r="H1574" i="1"/>
  <c r="I1574" i="1"/>
  <c r="D1601" i="1"/>
  <c r="E1601" i="1"/>
  <c r="H1601" i="1"/>
  <c r="D1602" i="1"/>
  <c r="E1602" i="1"/>
  <c r="H1602" i="1"/>
  <c r="I1602" i="1"/>
  <c r="D1655" i="1"/>
  <c r="E1655" i="1"/>
  <c r="H1655" i="1"/>
  <c r="I1655" i="1"/>
  <c r="D1656" i="1"/>
  <c r="E1656" i="1"/>
  <c r="H1656" i="1"/>
  <c r="I1656" i="1"/>
  <c r="D1663" i="1"/>
  <c r="E1663" i="1"/>
  <c r="H1663" i="1"/>
  <c r="I1663" i="1"/>
  <c r="D1666" i="1"/>
  <c r="E1666" i="1"/>
  <c r="H1666" i="1"/>
  <c r="I1666" i="1"/>
  <c r="D1667" i="1"/>
  <c r="E1667" i="1"/>
  <c r="H1667" i="1"/>
  <c r="I1667" i="1"/>
  <c r="D1668" i="1"/>
  <c r="E1668" i="1"/>
  <c r="H1668" i="1"/>
  <c r="I1668" i="1"/>
  <c r="D1664" i="1"/>
  <c r="E1664" i="1"/>
  <c r="H1664" i="1"/>
  <c r="I1664" i="1"/>
  <c r="D1577" i="1"/>
  <c r="H1577" i="1"/>
  <c r="I1577" i="1"/>
  <c r="D1550" i="1"/>
  <c r="E1550" i="1"/>
  <c r="H1550" i="1"/>
  <c r="I1550" i="1"/>
  <c r="D1583" i="1"/>
  <c r="H1583" i="1"/>
  <c r="I1583" i="1"/>
  <c r="D1595" i="1"/>
  <c r="E1595" i="1"/>
  <c r="H1595" i="1"/>
  <c r="D1532" i="1"/>
  <c r="H1532" i="1"/>
  <c r="I1532" i="1"/>
  <c r="D1533" i="1"/>
  <c r="E1533" i="1"/>
  <c r="H1533" i="1"/>
  <c r="I1533" i="1"/>
  <c r="D1527" i="1"/>
  <c r="H1527" i="1"/>
  <c r="D1584" i="1"/>
  <c r="H1584" i="1"/>
  <c r="I1584" i="1"/>
  <c r="D1596" i="1"/>
  <c r="E1596" i="1"/>
  <c r="H1596" i="1"/>
  <c r="I1596" i="1"/>
  <c r="D1553" i="1"/>
  <c r="H1553" i="1"/>
  <c r="I1553" i="1"/>
  <c r="D1528" i="1"/>
  <c r="H1528" i="1"/>
  <c r="I1528" i="1"/>
  <c r="D1659" i="1"/>
  <c r="E1659" i="1"/>
  <c r="H1659" i="1"/>
  <c r="D1660" i="1"/>
  <c r="E1660" i="1"/>
  <c r="H1660" i="1"/>
  <c r="D1630" i="1"/>
  <c r="H1630" i="1"/>
  <c r="I1630" i="1"/>
  <c r="D1588" i="1"/>
  <c r="H1588" i="1"/>
  <c r="I1588" i="1"/>
  <c r="D1661" i="1"/>
  <c r="E1661" i="1"/>
  <c r="H1661" i="1"/>
  <c r="D1578" i="1"/>
  <c r="E1578" i="1"/>
  <c r="H1578" i="1"/>
  <c r="D1590" i="1"/>
  <c r="E1590" i="1"/>
  <c r="H1590" i="1"/>
  <c r="I1590" i="1"/>
  <c r="D1589" i="1"/>
  <c r="H1589" i="1"/>
  <c r="I1589" i="1"/>
  <c r="D1579" i="1"/>
  <c r="E1579" i="1"/>
  <c r="H1579" i="1"/>
  <c r="D1534" i="1"/>
  <c r="E1534" i="1"/>
  <c r="H1534" i="1"/>
  <c r="D1535" i="1"/>
  <c r="E1535" i="1"/>
  <c r="H1535" i="1"/>
  <c r="D1536" i="1"/>
  <c r="E1536" i="1"/>
  <c r="H1536" i="1"/>
  <c r="D1537" i="1"/>
  <c r="E1537" i="1"/>
  <c r="H1537" i="1"/>
  <c r="D1538" i="1"/>
  <c r="E1538" i="1"/>
  <c r="H1538" i="1"/>
  <c r="D1539" i="1"/>
  <c r="E1539" i="1"/>
  <c r="H1539" i="1"/>
  <c r="D1540" i="1"/>
  <c r="E1540" i="1"/>
  <c r="H1540" i="1"/>
  <c r="D1529" i="1"/>
  <c r="H1529" i="1"/>
  <c r="I1529" i="1"/>
  <c r="D1541" i="1"/>
  <c r="H1541" i="1"/>
  <c r="D1542" i="1"/>
  <c r="H1542" i="1"/>
  <c r="I1542" i="1"/>
  <c r="D1597" i="1"/>
  <c r="H1597" i="1"/>
  <c r="I1597" i="1"/>
  <c r="D1530" i="1"/>
  <c r="E1530" i="1"/>
  <c r="H1530" i="1"/>
  <c r="D1543" i="1"/>
  <c r="E1543" i="1"/>
  <c r="H1543" i="1"/>
  <c r="D1554" i="1"/>
  <c r="E1554" i="1"/>
  <c r="H1554" i="1"/>
  <c r="D1544" i="1"/>
  <c r="H1544" i="1"/>
  <c r="I1544" i="1"/>
  <c r="D1545" i="1"/>
  <c r="E1545" i="1"/>
  <c r="H1545" i="1"/>
  <c r="D1546" i="1"/>
  <c r="E1546" i="1"/>
  <c r="H1546" i="1"/>
  <c r="D1531" i="1"/>
  <c r="E1531" i="1"/>
  <c r="H1531" i="1"/>
  <c r="D1547" i="1"/>
  <c r="E1547" i="1"/>
  <c r="H1547" i="1"/>
  <c r="D1548" i="1"/>
  <c r="E1548" i="1"/>
  <c r="H1548" i="1"/>
  <c r="D1585" i="1"/>
  <c r="E1585" i="1"/>
  <c r="H1585" i="1"/>
  <c r="D1680" i="1"/>
  <c r="E1680" i="1"/>
  <c r="H1680" i="1"/>
  <c r="I1680" i="1"/>
  <c r="D1674" i="1"/>
  <c r="H1674" i="1"/>
  <c r="I1674" i="1"/>
  <c r="D1700" i="1"/>
  <c r="H1700" i="1"/>
  <c r="I1700" i="1"/>
  <c r="D1507" i="1"/>
  <c r="E1507" i="1"/>
  <c r="H1507" i="1"/>
  <c r="I1507" i="1"/>
  <c r="D1575" i="1"/>
  <c r="E1575" i="1"/>
  <c r="H1575" i="1"/>
  <c r="I1575" i="1"/>
  <c r="D1523" i="1"/>
  <c r="E1523" i="1"/>
  <c r="H1523" i="1"/>
  <c r="D1701" i="1"/>
  <c r="E1701" i="1"/>
  <c r="H1701" i="1"/>
  <c r="D1657" i="1"/>
  <c r="E1657" i="1"/>
  <c r="H1657" i="1"/>
  <c r="I1657" i="1"/>
  <c r="D1681" i="1"/>
  <c r="E1681" i="1"/>
  <c r="H1681" i="1"/>
  <c r="I1681" i="1"/>
  <c r="D1631" i="1"/>
  <c r="H1631" i="1"/>
  <c r="I1631" i="1"/>
  <c r="D1632" i="1"/>
  <c r="E1632" i="1"/>
  <c r="H1632" i="1"/>
  <c r="D1633" i="1"/>
  <c r="E1633" i="1"/>
  <c r="H1633" i="1"/>
  <c r="D1634" i="1"/>
  <c r="E1634" i="1"/>
  <c r="H1634" i="1"/>
  <c r="D1635" i="1"/>
  <c r="E1635" i="1"/>
  <c r="H1635" i="1"/>
  <c r="I1635" i="1"/>
  <c r="D1636" i="1"/>
  <c r="H1636" i="1"/>
  <c r="I1636" i="1"/>
  <c r="D1637" i="1"/>
  <c r="E1637" i="1"/>
  <c r="H1637" i="1"/>
  <c r="D1638" i="1"/>
  <c r="E1638" i="1"/>
  <c r="H1638" i="1"/>
  <c r="D1639" i="1"/>
  <c r="E1639" i="1"/>
  <c r="H1639" i="1"/>
  <c r="D1687" i="1"/>
  <c r="E1687" i="1"/>
  <c r="H1687" i="1"/>
  <c r="I1687" i="1"/>
  <c r="D1688" i="1"/>
  <c r="E1688" i="1"/>
  <c r="H1688" i="1"/>
  <c r="I1688" i="1"/>
  <c r="D1689" i="1"/>
  <c r="E1689" i="1"/>
  <c r="H1689" i="1"/>
  <c r="I1689" i="1"/>
  <c r="D1690" i="1"/>
  <c r="E1690" i="1"/>
  <c r="H1690" i="1"/>
  <c r="D1869" i="1"/>
  <c r="E1869" i="1"/>
  <c r="H1869" i="1"/>
  <c r="I1869" i="1"/>
  <c r="D1903" i="1"/>
  <c r="H1903" i="1"/>
  <c r="I1903" i="1"/>
  <c r="D1840" i="1"/>
  <c r="E1840" i="1"/>
  <c r="H1840" i="1"/>
  <c r="D1720" i="1"/>
  <c r="E1720" i="1"/>
  <c r="H1720" i="1"/>
  <c r="I1720" i="1"/>
  <c r="D1888" i="1"/>
  <c r="E1888" i="1"/>
  <c r="H1888" i="1"/>
  <c r="I1888" i="1"/>
  <c r="D1748" i="1"/>
  <c r="E1748" i="1"/>
  <c r="H1748" i="1"/>
  <c r="I1748" i="1"/>
  <c r="D1889" i="1"/>
  <c r="H1889" i="1"/>
  <c r="I1889" i="1"/>
  <c r="D1749" i="1"/>
  <c r="E1749" i="1"/>
  <c r="H1749" i="1"/>
  <c r="D1842" i="1"/>
  <c r="E1842" i="1"/>
  <c r="H1842" i="1"/>
  <c r="D1843" i="1"/>
  <c r="H1843" i="1"/>
  <c r="I1843" i="1"/>
  <c r="D1846" i="1"/>
  <c r="H1846" i="1"/>
  <c r="I1846" i="1"/>
  <c r="D1750" i="1"/>
  <c r="E1750" i="1"/>
  <c r="H1750" i="1"/>
  <c r="D1751" i="1"/>
  <c r="E1751" i="1"/>
  <c r="H1751" i="1"/>
  <c r="D1752" i="1"/>
  <c r="H1752" i="1"/>
  <c r="D1753" i="1"/>
  <c r="H1753" i="1"/>
  <c r="D1754" i="1"/>
  <c r="H1754" i="1"/>
  <c r="I1754" i="1"/>
  <c r="D1755" i="1"/>
  <c r="H1755" i="1"/>
  <c r="I1755" i="1"/>
  <c r="D1756" i="1"/>
  <c r="H1756" i="1"/>
  <c r="I1756" i="1"/>
  <c r="D1757" i="1"/>
  <c r="H1757" i="1"/>
  <c r="I1757" i="1"/>
  <c r="D1758" i="1"/>
  <c r="H1758" i="1"/>
  <c r="I1758" i="1"/>
  <c r="D1759" i="1"/>
  <c r="H1759" i="1"/>
  <c r="I1759" i="1"/>
  <c r="D1760" i="1"/>
  <c r="H1760" i="1"/>
  <c r="D1870" i="1"/>
  <c r="H1870" i="1"/>
  <c r="I1870" i="1"/>
  <c r="D1871" i="1"/>
  <c r="H1871" i="1"/>
  <c r="I1871" i="1"/>
  <c r="D1844" i="1"/>
  <c r="E1844" i="1"/>
  <c r="H1844" i="1"/>
  <c r="I1844" i="1"/>
  <c r="D1761" i="1"/>
  <c r="E1761" i="1"/>
  <c r="H1761" i="1"/>
  <c r="D1762" i="1"/>
  <c r="H1762" i="1"/>
  <c r="D1763" i="1"/>
  <c r="H1763" i="1"/>
  <c r="D1764" i="1"/>
  <c r="H1764" i="1"/>
  <c r="D1765" i="1"/>
  <c r="H1765" i="1"/>
  <c r="D1766" i="1"/>
  <c r="H1766" i="1"/>
  <c r="I1766" i="1"/>
  <c r="D1814" i="1"/>
  <c r="H1814" i="1"/>
  <c r="I1814" i="1"/>
  <c r="D1767" i="1"/>
  <c r="H1767" i="1"/>
  <c r="I1767" i="1"/>
  <c r="D1768" i="1"/>
  <c r="E1768" i="1"/>
  <c r="H1768" i="1"/>
  <c r="D1769" i="1"/>
  <c r="E1769" i="1"/>
  <c r="H1769" i="1"/>
  <c r="D1770" i="1"/>
  <c r="H1770" i="1"/>
  <c r="D1771" i="1"/>
  <c r="E1771" i="1"/>
  <c r="H1771" i="1"/>
  <c r="D1772" i="1"/>
  <c r="H1772" i="1"/>
  <c r="D1773" i="1"/>
  <c r="E1773" i="1"/>
  <c r="H1773" i="1"/>
  <c r="D1774" i="1"/>
  <c r="H1774" i="1"/>
  <c r="I1774" i="1"/>
  <c r="D1775" i="1"/>
  <c r="E1775" i="1"/>
  <c r="H1775" i="1"/>
  <c r="D1776" i="1"/>
  <c r="E1776" i="1"/>
  <c r="H1776" i="1"/>
  <c r="I1776" i="1"/>
  <c r="D1777" i="1"/>
  <c r="H1777" i="1"/>
  <c r="I1777" i="1"/>
  <c r="D1778" i="1"/>
  <c r="E1778" i="1"/>
  <c r="H1778" i="1"/>
  <c r="D1705" i="1"/>
  <c r="H1705" i="1"/>
  <c r="D1706" i="1"/>
  <c r="H1706" i="1"/>
  <c r="D1779" i="1"/>
  <c r="E1779" i="1"/>
  <c r="H1779" i="1"/>
  <c r="D1780" i="1"/>
  <c r="H1780" i="1"/>
  <c r="I1780" i="1"/>
  <c r="D1781" i="1"/>
  <c r="H1781" i="1"/>
  <c r="D1782" i="1"/>
  <c r="H1782" i="1"/>
  <c r="D1783" i="1"/>
  <c r="E1783" i="1"/>
  <c r="H1783" i="1"/>
  <c r="D1784" i="1"/>
  <c r="H1784" i="1"/>
  <c r="D1785" i="1"/>
  <c r="H1785" i="1"/>
  <c r="D1786" i="1"/>
  <c r="H1786" i="1"/>
  <c r="D1787" i="1"/>
  <c r="H1787" i="1"/>
  <c r="D1788" i="1"/>
  <c r="H1788" i="1"/>
  <c r="D1789" i="1"/>
  <c r="E1789" i="1"/>
  <c r="H1789" i="1"/>
  <c r="D1790" i="1"/>
  <c r="H1790" i="1"/>
  <c r="D1791" i="1"/>
  <c r="H1791" i="1"/>
  <c r="D1792" i="1"/>
  <c r="E1792" i="1"/>
  <c r="H1792" i="1"/>
  <c r="D1793" i="1"/>
  <c r="E1793" i="1"/>
  <c r="H1793" i="1"/>
  <c r="D1707" i="1"/>
  <c r="H1707" i="1"/>
  <c r="D1708" i="1"/>
  <c r="H1708" i="1"/>
  <c r="D1794" i="1"/>
  <c r="H1794" i="1"/>
  <c r="D1709" i="1"/>
  <c r="H1709" i="1"/>
  <c r="D1795" i="1"/>
  <c r="H1795" i="1"/>
  <c r="D1796" i="1"/>
  <c r="H1796" i="1"/>
  <c r="D1710" i="1"/>
  <c r="H1710" i="1"/>
  <c r="D1872" i="1"/>
  <c r="H1872" i="1"/>
  <c r="I1872" i="1"/>
  <c r="D1847" i="1"/>
  <c r="H1847" i="1"/>
  <c r="D1711" i="1"/>
  <c r="H1711" i="1"/>
  <c r="D1873" i="1"/>
  <c r="H1873" i="1"/>
  <c r="I1873" i="1"/>
  <c r="D1874" i="1"/>
  <c r="H1874" i="1"/>
  <c r="I1874" i="1"/>
  <c r="D1875" i="1"/>
  <c r="H1875" i="1"/>
  <c r="I1875" i="1"/>
  <c r="D1876" i="1"/>
  <c r="H1876" i="1"/>
  <c r="I1876" i="1"/>
  <c r="D1877" i="1"/>
  <c r="H1877" i="1"/>
  <c r="I1877" i="1"/>
  <c r="D1797" i="1"/>
  <c r="H1797" i="1"/>
  <c r="I1797" i="1"/>
  <c r="D1712" i="1"/>
  <c r="H1712" i="1"/>
  <c r="D1890" i="1"/>
  <c r="H1890" i="1"/>
  <c r="D1798" i="1"/>
  <c r="H1798" i="1"/>
  <c r="I1798" i="1"/>
  <c r="D1821" i="1"/>
  <c r="H1821" i="1"/>
  <c r="D1822" i="1"/>
  <c r="H1822" i="1"/>
  <c r="I1822" i="1"/>
  <c r="D1799" i="1"/>
  <c r="H1799" i="1"/>
  <c r="I1799" i="1"/>
  <c r="D1800" i="1"/>
  <c r="E1800" i="1"/>
  <c r="H1800" i="1"/>
  <c r="D1801" i="1"/>
  <c r="E1801" i="1"/>
  <c r="H1801" i="1"/>
  <c r="D1802" i="1"/>
  <c r="E1802" i="1"/>
  <c r="H1802" i="1"/>
  <c r="D1803" i="1"/>
  <c r="H1803" i="1"/>
  <c r="I1803" i="1"/>
  <c r="D1804" i="1"/>
  <c r="E1804" i="1"/>
  <c r="H1804" i="1"/>
  <c r="D1713" i="1"/>
  <c r="E1713" i="1"/>
  <c r="H1713" i="1"/>
  <c r="D1823" i="1"/>
  <c r="H1823" i="1"/>
  <c r="D1721" i="1"/>
  <c r="H1721" i="1"/>
  <c r="I1721" i="1"/>
  <c r="D1722" i="1"/>
  <c r="E1722" i="1"/>
  <c r="H1722" i="1"/>
  <c r="I1722" i="1"/>
  <c r="D1723" i="1"/>
  <c r="E1723" i="1"/>
  <c r="H1723" i="1"/>
  <c r="I1723" i="1"/>
  <c r="D1805" i="1"/>
  <c r="E1805" i="1"/>
  <c r="H1805" i="1"/>
  <c r="D1806" i="1"/>
  <c r="E1806" i="1"/>
  <c r="H1806" i="1"/>
  <c r="I1806" i="1"/>
  <c r="D1891" i="1"/>
  <c r="E1891" i="1"/>
  <c r="H1891" i="1"/>
  <c r="I1891" i="1"/>
  <c r="D1845" i="1"/>
  <c r="H1845" i="1"/>
  <c r="I1845" i="1"/>
  <c r="D1724" i="1"/>
  <c r="E1724" i="1"/>
  <c r="H1724" i="1"/>
  <c r="D1725" i="1"/>
  <c r="E1725" i="1"/>
  <c r="H1725" i="1"/>
  <c r="D1726" i="1"/>
  <c r="H1726" i="1"/>
  <c r="I1726" i="1"/>
  <c r="D1743" i="1"/>
  <c r="H1743" i="1"/>
  <c r="D1892" i="1"/>
  <c r="H1892" i="1"/>
  <c r="I1892" i="1"/>
  <c r="D1727" i="1"/>
  <c r="E1727" i="1"/>
  <c r="H1727" i="1"/>
  <c r="I1727" i="1"/>
  <c r="D1878" i="1"/>
  <c r="E1878" i="1"/>
  <c r="H1878" i="1"/>
  <c r="D1728" i="1"/>
  <c r="H1728" i="1"/>
  <c r="D1848" i="1"/>
  <c r="H1848" i="1"/>
  <c r="I1848" i="1"/>
  <c r="D1729" i="1"/>
  <c r="E1729" i="1"/>
  <c r="H1729" i="1"/>
  <c r="D1730" i="1"/>
  <c r="E1730" i="1"/>
  <c r="H1730" i="1"/>
  <c r="D1837" i="1"/>
  <c r="E1837" i="1"/>
  <c r="H1837" i="1"/>
  <c r="D1893" i="1"/>
  <c r="E1893" i="1"/>
  <c r="H1893" i="1"/>
  <c r="D1894" i="1"/>
  <c r="E1894" i="1"/>
  <c r="H1894" i="1"/>
  <c r="I1894" i="1"/>
  <c r="D1895" i="1"/>
  <c r="E1895" i="1"/>
  <c r="H1895" i="1"/>
  <c r="D1896" i="1"/>
  <c r="E1896" i="1"/>
  <c r="H1896" i="1"/>
  <c r="D1897" i="1"/>
  <c r="E1897" i="1"/>
  <c r="H1897" i="1"/>
  <c r="D1885" i="1"/>
  <c r="E1885" i="1"/>
  <c r="H1885" i="1"/>
  <c r="I1885" i="1"/>
  <c r="D1879" i="1"/>
  <c r="E1879" i="1"/>
  <c r="H1879" i="1"/>
  <c r="I1879" i="1"/>
  <c r="D1714" i="1"/>
  <c r="E1714" i="1"/>
  <c r="H1714" i="1"/>
  <c r="I1714" i="1"/>
  <c r="D1717" i="1"/>
  <c r="E1717" i="1"/>
  <c r="H1717" i="1"/>
  <c r="I1717" i="1"/>
  <c r="D1732" i="1"/>
  <c r="E1732" i="1"/>
  <c r="H1732" i="1"/>
  <c r="I1732" i="1"/>
  <c r="D1733" i="1"/>
  <c r="E1733" i="1"/>
  <c r="H1733" i="1"/>
  <c r="D1734" i="1"/>
  <c r="E1734" i="1"/>
  <c r="H1734" i="1"/>
  <c r="D1830" i="1"/>
  <c r="E1830" i="1"/>
  <c r="H1830" i="1"/>
  <c r="D1831" i="1"/>
  <c r="E1831" i="1"/>
  <c r="H1831" i="1"/>
  <c r="D1832" i="1"/>
  <c r="E1832" i="1"/>
  <c r="H1832" i="1"/>
  <c r="D1833" i="1"/>
  <c r="E1833" i="1"/>
  <c r="H1833" i="1"/>
  <c r="D1834" i="1"/>
  <c r="H1834" i="1"/>
  <c r="I1834" i="1"/>
  <c r="D1835" i="1"/>
  <c r="H1835" i="1"/>
  <c r="I1835" i="1"/>
  <c r="D1815" i="1"/>
  <c r="H1815" i="1"/>
  <c r="I1815" i="1"/>
  <c r="D1818" i="1"/>
  <c r="E1818" i="1"/>
  <c r="H1818" i="1"/>
  <c r="D1742" i="1"/>
  <c r="E1742" i="1"/>
  <c r="H1742" i="1"/>
  <c r="D1807" i="1"/>
  <c r="E1807" i="1"/>
  <c r="H1807" i="1"/>
  <c r="D1838" i="1"/>
  <c r="E1838" i="1"/>
  <c r="H1838" i="1"/>
  <c r="D1898" i="1"/>
  <c r="E1898" i="1"/>
  <c r="H1898" i="1"/>
  <c r="I1898" i="1"/>
  <c r="D1715" i="1"/>
  <c r="E1715" i="1"/>
  <c r="H1715" i="1"/>
  <c r="D1731" i="1"/>
  <c r="H1731" i="1"/>
  <c r="I1731" i="1"/>
  <c r="D1899" i="1"/>
  <c r="E1899" i="1"/>
  <c r="H1899" i="1"/>
  <c r="D1808" i="1"/>
  <c r="E1808" i="1"/>
  <c r="H1808" i="1"/>
  <c r="D1900" i="1"/>
  <c r="H1900" i="1"/>
  <c r="D1901" i="1"/>
  <c r="H1901" i="1"/>
  <c r="I1901" i="1"/>
  <c r="D1839" i="1"/>
  <c r="E1839" i="1"/>
  <c r="H1839" i="1"/>
  <c r="D1809" i="1"/>
  <c r="E1809" i="1"/>
  <c r="H1809" i="1"/>
  <c r="D1810" i="1"/>
  <c r="H1810" i="1"/>
  <c r="I1810" i="1"/>
  <c r="D1811" i="1"/>
  <c r="H1811" i="1"/>
  <c r="D1880" i="1"/>
  <c r="E1880" i="1"/>
  <c r="H1880" i="1"/>
  <c r="I1880" i="1"/>
  <c r="D1881" i="1"/>
  <c r="E1881" i="1"/>
  <c r="H1881" i="1"/>
  <c r="I1881" i="1"/>
  <c r="D1812" i="1"/>
  <c r="E1812" i="1"/>
  <c r="H1812" i="1"/>
  <c r="D1813" i="1"/>
  <c r="E1813" i="1"/>
  <c r="H1813" i="1"/>
  <c r="D1816" i="1"/>
  <c r="E1816" i="1"/>
  <c r="H1816" i="1"/>
  <c r="D1819" i="1"/>
  <c r="E1819" i="1"/>
  <c r="H1819" i="1"/>
  <c r="I1819" i="1"/>
  <c r="D1849" i="1"/>
  <c r="H1849" i="1"/>
  <c r="I1849" i="1"/>
  <c r="D1850" i="1"/>
  <c r="H1850" i="1"/>
  <c r="I1850" i="1"/>
  <c r="D1740" i="1"/>
  <c r="E1740" i="1"/>
  <c r="H1740" i="1"/>
  <c r="D1884" i="1"/>
  <c r="E1884" i="1"/>
  <c r="H1884" i="1"/>
  <c r="I1884" i="1"/>
  <c r="D1868" i="1"/>
  <c r="E1868" i="1"/>
  <c r="H1868" i="1"/>
  <c r="D1735" i="1"/>
  <c r="E1735" i="1"/>
  <c r="H1735" i="1"/>
  <c r="D1866" i="1"/>
  <c r="H1866" i="1"/>
  <c r="I1866" i="1"/>
  <c r="D1851" i="1"/>
  <c r="E1851" i="1"/>
  <c r="H1851" i="1"/>
  <c r="I1851" i="1"/>
  <c r="D1852" i="1"/>
  <c r="E1852" i="1"/>
  <c r="H1852" i="1"/>
  <c r="I1852" i="1"/>
  <c r="D1853" i="1"/>
  <c r="E1853" i="1"/>
  <c r="H1853" i="1"/>
  <c r="I1853" i="1"/>
  <c r="D1854" i="1"/>
  <c r="E1854" i="1"/>
  <c r="H1854" i="1"/>
  <c r="I1854" i="1"/>
  <c r="D1855" i="1"/>
  <c r="E1855" i="1"/>
  <c r="H1855" i="1"/>
  <c r="I1855" i="1"/>
  <c r="D1856" i="1"/>
  <c r="E1856" i="1"/>
  <c r="H1856" i="1"/>
  <c r="I1856" i="1"/>
  <c r="D1857" i="1"/>
  <c r="E1857" i="1"/>
  <c r="H1857" i="1"/>
  <c r="I1857" i="1"/>
  <c r="D1858" i="1"/>
  <c r="E1858" i="1"/>
  <c r="H1858" i="1"/>
  <c r="I1858" i="1"/>
  <c r="D1859" i="1"/>
  <c r="E1859" i="1"/>
  <c r="H1859" i="1"/>
  <c r="I1859" i="1"/>
  <c r="D1860" i="1"/>
  <c r="E1860" i="1"/>
  <c r="H1860" i="1"/>
  <c r="I1860" i="1"/>
  <c r="D1861" i="1"/>
  <c r="E1861" i="1"/>
  <c r="H1861" i="1"/>
  <c r="I1861" i="1"/>
  <c r="D1862" i="1"/>
  <c r="E1862" i="1"/>
  <c r="H1862" i="1"/>
  <c r="I1862" i="1"/>
  <c r="D1863" i="1"/>
  <c r="E1863" i="1"/>
  <c r="H1863" i="1"/>
  <c r="I1863" i="1"/>
  <c r="D1864" i="1"/>
  <c r="E1864" i="1"/>
  <c r="H1864" i="1"/>
  <c r="I1864" i="1"/>
  <c r="D1886" i="1"/>
  <c r="E1886" i="1"/>
  <c r="H1886" i="1"/>
  <c r="D1736" i="1"/>
  <c r="E1736" i="1"/>
  <c r="H1736" i="1"/>
  <c r="D1737" i="1"/>
  <c r="E1737" i="1"/>
  <c r="H1737" i="1"/>
  <c r="I1737" i="1"/>
  <c r="D1738" i="1"/>
  <c r="E1738" i="1"/>
  <c r="H1738" i="1"/>
  <c r="I1738" i="1"/>
  <c r="D1739" i="1"/>
  <c r="E1739" i="1"/>
  <c r="H1739" i="1"/>
  <c r="D1744" i="1"/>
  <c r="E1744" i="1"/>
  <c r="H1744" i="1"/>
  <c r="I1744" i="1"/>
  <c r="D1745" i="1"/>
  <c r="H1745" i="1"/>
  <c r="I1745" i="1"/>
  <c r="D1882" i="1"/>
  <c r="E1882" i="1"/>
  <c r="H1882" i="1"/>
  <c r="I1882" i="1"/>
  <c r="D1746" i="1"/>
  <c r="E1746" i="1"/>
  <c r="H1746" i="1"/>
  <c r="I1746" i="1"/>
  <c r="D1747" i="1"/>
  <c r="E1747" i="1"/>
  <c r="H1747" i="1"/>
  <c r="I1747" i="1"/>
  <c r="D1867" i="1"/>
  <c r="E1867" i="1"/>
  <c r="H1867" i="1"/>
  <c r="D1841" i="1"/>
  <c r="E1841" i="1"/>
  <c r="H1841" i="1"/>
  <c r="I1841" i="1"/>
  <c r="D1883" i="1"/>
  <c r="E1883" i="1"/>
  <c r="H1883" i="1"/>
  <c r="I1883" i="1"/>
  <c r="D1825" i="1"/>
  <c r="E1825" i="1"/>
  <c r="H1825" i="1"/>
  <c r="I1825" i="1"/>
  <c r="D1826" i="1"/>
  <c r="E1826" i="1"/>
  <c r="H1826" i="1"/>
  <c r="D1820" i="1"/>
  <c r="E1820" i="1"/>
  <c r="H1820" i="1"/>
  <c r="I1820" i="1"/>
  <c r="D1704" i="1"/>
  <c r="H1704" i="1"/>
  <c r="I1704" i="1"/>
  <c r="D1827" i="1"/>
  <c r="H1827" i="1"/>
  <c r="I1827" i="1"/>
  <c r="D1828" i="1"/>
  <c r="E1828" i="1"/>
  <c r="H1828" i="1"/>
  <c r="D1824" i="1"/>
  <c r="H1824" i="1"/>
  <c r="D1829" i="1"/>
  <c r="E1829" i="1"/>
  <c r="H1829" i="1"/>
  <c r="I1829" i="1"/>
  <c r="D1716" i="1"/>
  <c r="E1716" i="1"/>
  <c r="H1716" i="1"/>
  <c r="I1716" i="1"/>
  <c r="D1887" i="1"/>
  <c r="H1887" i="1"/>
  <c r="I1887" i="1"/>
  <c r="D1817" i="1"/>
  <c r="E1817" i="1"/>
  <c r="H1817" i="1"/>
  <c r="D1902" i="1"/>
  <c r="E1902" i="1"/>
  <c r="H1902" i="1"/>
  <c r="I1902" i="1"/>
  <c r="D1741" i="1"/>
  <c r="H1741" i="1"/>
  <c r="I1741" i="1"/>
  <c r="D1865" i="1"/>
  <c r="H1865" i="1"/>
  <c r="I1865" i="1"/>
  <c r="D1718" i="1"/>
  <c r="E1718" i="1"/>
  <c r="H1718" i="1"/>
  <c r="I1718" i="1"/>
  <c r="D1836" i="1"/>
  <c r="E1836" i="1"/>
  <c r="H1836" i="1"/>
  <c r="I1836" i="1"/>
  <c r="D1719" i="1"/>
  <c r="E1719" i="1"/>
  <c r="H1719" i="1"/>
  <c r="D1967" i="1"/>
  <c r="H1967" i="1"/>
  <c r="I1967" i="1"/>
  <c r="D1907" i="1"/>
  <c r="E1907" i="1"/>
  <c r="H1907" i="1"/>
  <c r="I1907" i="1"/>
  <c r="D1957" i="1"/>
  <c r="E1957" i="1"/>
  <c r="H1957" i="1"/>
  <c r="I1957" i="1"/>
  <c r="D1905" i="1"/>
  <c r="E1905" i="1"/>
  <c r="H1905" i="1"/>
  <c r="D1973" i="1"/>
  <c r="H1973" i="1"/>
  <c r="I1973" i="1"/>
  <c r="D1974" i="1"/>
  <c r="H1974" i="1"/>
  <c r="I1974" i="1"/>
  <c r="D1918" i="1"/>
  <c r="E1918" i="1"/>
  <c r="H1918" i="1"/>
  <c r="D1958" i="1"/>
  <c r="E1958" i="1"/>
  <c r="H1958" i="1"/>
  <c r="I1958" i="1"/>
  <c r="D1959" i="1"/>
  <c r="E1959" i="1"/>
  <c r="H1959" i="1"/>
  <c r="I1959" i="1"/>
  <c r="D1919" i="1"/>
  <c r="H1919" i="1"/>
  <c r="I1919" i="1"/>
  <c r="D1968" i="1"/>
  <c r="H1968" i="1"/>
  <c r="D1961" i="1"/>
  <c r="E1961" i="1"/>
  <c r="H1961" i="1"/>
  <c r="D1962" i="1"/>
  <c r="E1962" i="1"/>
  <c r="H1962" i="1"/>
  <c r="D1963" i="1"/>
  <c r="E1963" i="1"/>
  <c r="H1963" i="1"/>
  <c r="D1964" i="1"/>
  <c r="E1964" i="1"/>
  <c r="H1964" i="1"/>
  <c r="D1920" i="1"/>
  <c r="E1920" i="1"/>
  <c r="H1920" i="1"/>
  <c r="D1921" i="1"/>
  <c r="E1921" i="1"/>
  <c r="H1921" i="1"/>
  <c r="D1922" i="1"/>
  <c r="E1922" i="1"/>
  <c r="H1922" i="1"/>
  <c r="D1923" i="1"/>
  <c r="E1923" i="1"/>
  <c r="H1923" i="1"/>
  <c r="D1924" i="1"/>
  <c r="E1924" i="1"/>
  <c r="H1924" i="1"/>
  <c r="D1925" i="1"/>
  <c r="E1925" i="1"/>
  <c r="H1925" i="1"/>
  <c r="I1925" i="1"/>
  <c r="D1926" i="1"/>
  <c r="E1926" i="1"/>
  <c r="H1926" i="1"/>
  <c r="D1927" i="1"/>
  <c r="E1927" i="1"/>
  <c r="H1927" i="1"/>
  <c r="D1928" i="1"/>
  <c r="E1928" i="1"/>
  <c r="H1928" i="1"/>
  <c r="I1928" i="1"/>
  <c r="D1929" i="1"/>
  <c r="E1929" i="1"/>
  <c r="H1929" i="1"/>
  <c r="D1930" i="1"/>
  <c r="E1930" i="1"/>
  <c r="H1930" i="1"/>
  <c r="D1931" i="1"/>
  <c r="E1931" i="1"/>
  <c r="H1931" i="1"/>
  <c r="D1932" i="1"/>
  <c r="E1932" i="1"/>
  <c r="H1932" i="1"/>
  <c r="D1933" i="1"/>
  <c r="E1933" i="1"/>
  <c r="H1933" i="1"/>
  <c r="D1934" i="1"/>
  <c r="E1934" i="1"/>
  <c r="H1934" i="1"/>
  <c r="D1935" i="1"/>
  <c r="E1935" i="1"/>
  <c r="H1935" i="1"/>
  <c r="D1936" i="1"/>
  <c r="E1936" i="1"/>
  <c r="H1936" i="1"/>
  <c r="D1937" i="1"/>
  <c r="E1937" i="1"/>
  <c r="H1937" i="1"/>
  <c r="D1938" i="1"/>
  <c r="E1938" i="1"/>
  <c r="H1938" i="1"/>
  <c r="D1939" i="1"/>
  <c r="E1939" i="1"/>
  <c r="H1939" i="1"/>
  <c r="D1940" i="1"/>
  <c r="E1940" i="1"/>
  <c r="H1940" i="1"/>
  <c r="I1940" i="1"/>
  <c r="D1941" i="1"/>
  <c r="E1941" i="1"/>
  <c r="H1941" i="1"/>
  <c r="D1942" i="1"/>
  <c r="E1942" i="1"/>
  <c r="H1942" i="1"/>
  <c r="D1943" i="1"/>
  <c r="E1943" i="1"/>
  <c r="H1943" i="1"/>
  <c r="D1944" i="1"/>
  <c r="E1944" i="1"/>
  <c r="H1944" i="1"/>
  <c r="D1945" i="1"/>
  <c r="E1945" i="1"/>
  <c r="H1945" i="1"/>
  <c r="I1945" i="1"/>
  <c r="D1946" i="1"/>
  <c r="E1946" i="1"/>
  <c r="H1946" i="1"/>
  <c r="D1947" i="1"/>
  <c r="E1947" i="1"/>
  <c r="H1947" i="1"/>
  <c r="D1948" i="1"/>
  <c r="E1948" i="1"/>
  <c r="H1948" i="1"/>
  <c r="D1949" i="1"/>
  <c r="E1949" i="1"/>
  <c r="H1949" i="1"/>
  <c r="D1950" i="1"/>
  <c r="E1950" i="1"/>
  <c r="H1950" i="1"/>
  <c r="D1951" i="1"/>
  <c r="E1951" i="1"/>
  <c r="H1951" i="1"/>
  <c r="D1952" i="1"/>
  <c r="E1952" i="1"/>
  <c r="H1952" i="1"/>
  <c r="D1953" i="1"/>
  <c r="E1953" i="1"/>
  <c r="H1953" i="1"/>
  <c r="D1954" i="1"/>
  <c r="E1954" i="1"/>
  <c r="H1954" i="1"/>
  <c r="D1955" i="1"/>
  <c r="E1955" i="1"/>
  <c r="H1955" i="1"/>
  <c r="D1906" i="1"/>
  <c r="E1906" i="1"/>
  <c r="H1906" i="1"/>
  <c r="D1969" i="1"/>
  <c r="H1969" i="1"/>
  <c r="I1969" i="1"/>
  <c r="D1917" i="1"/>
  <c r="H1917" i="1"/>
  <c r="I1917" i="1"/>
  <c r="D1970" i="1"/>
  <c r="H1970" i="1"/>
  <c r="I1970" i="1"/>
  <c r="D1971" i="1"/>
  <c r="H1971" i="1"/>
  <c r="I1971" i="1"/>
  <c r="D1972" i="1"/>
  <c r="H1972" i="1"/>
  <c r="I1972" i="1"/>
  <c r="D1908" i="1"/>
  <c r="E1908" i="1"/>
  <c r="H1908" i="1"/>
  <c r="D1960" i="1"/>
  <c r="E1960" i="1"/>
  <c r="H1960" i="1"/>
  <c r="I1960" i="1"/>
  <c r="D1904" i="1"/>
  <c r="H1904" i="1"/>
  <c r="I1904" i="1"/>
  <c r="D1980" i="1"/>
  <c r="E1980" i="1"/>
  <c r="H1980" i="1"/>
  <c r="I1980" i="1"/>
  <c r="D1965" i="1"/>
  <c r="H1965" i="1"/>
  <c r="D1956" i="1"/>
  <c r="H1956" i="1"/>
  <c r="D1975" i="1"/>
  <c r="E1975" i="1"/>
  <c r="H1975" i="1"/>
  <c r="D1912" i="1"/>
  <c r="E1912" i="1"/>
  <c r="H1912" i="1"/>
  <c r="I1912" i="1"/>
  <c r="D1913" i="1"/>
  <c r="E1913" i="1"/>
  <c r="H1913" i="1"/>
  <c r="I1913" i="1"/>
  <c r="D1914" i="1"/>
  <c r="E1914" i="1"/>
  <c r="H1914" i="1"/>
  <c r="I1914" i="1"/>
  <c r="D1915" i="1"/>
  <c r="E1915" i="1"/>
  <c r="H1915" i="1"/>
  <c r="I1915" i="1"/>
  <c r="D1916" i="1"/>
  <c r="E1916" i="1"/>
  <c r="H1916" i="1"/>
  <c r="I1916" i="1"/>
  <c r="D1976" i="1"/>
  <c r="E1976" i="1"/>
  <c r="H1976" i="1"/>
  <c r="D1909" i="1"/>
  <c r="E1909" i="1"/>
  <c r="H1909" i="1"/>
  <c r="I1909" i="1"/>
  <c r="D1977" i="1"/>
  <c r="E1977" i="1"/>
  <c r="H1977" i="1"/>
  <c r="D1910" i="1"/>
  <c r="E1910" i="1"/>
  <c r="H1910" i="1"/>
  <c r="D1911" i="1"/>
  <c r="E1911" i="1"/>
  <c r="H1911" i="1"/>
  <c r="D1966" i="1"/>
  <c r="E1966" i="1"/>
  <c r="H1966" i="1"/>
  <c r="D1978" i="1"/>
  <c r="E1978" i="1"/>
  <c r="H1978" i="1"/>
  <c r="D1979" i="1"/>
  <c r="E1979" i="1"/>
  <c r="H1979" i="1"/>
  <c r="D2001" i="1"/>
  <c r="H2001" i="1"/>
  <c r="I2001" i="1"/>
  <c r="D1992" i="1"/>
  <c r="E1992" i="1"/>
  <c r="H1992" i="1"/>
  <c r="D2002" i="1"/>
  <c r="E2002" i="1"/>
  <c r="H2002" i="1"/>
  <c r="I2002" i="1"/>
  <c r="D2003" i="1"/>
  <c r="E2003" i="1"/>
  <c r="H2003" i="1"/>
  <c r="I2003" i="1"/>
  <c r="D2011" i="1"/>
  <c r="E2011" i="1"/>
  <c r="H2011" i="1"/>
  <c r="D1998" i="1"/>
  <c r="E1998" i="1"/>
  <c r="H1998" i="1"/>
  <c r="I1998" i="1"/>
  <c r="D2009" i="1"/>
  <c r="E2009" i="1"/>
  <c r="H2009" i="1"/>
  <c r="I2009" i="1"/>
  <c r="D2010" i="1"/>
  <c r="E2010" i="1"/>
  <c r="H2010" i="1"/>
  <c r="D1999" i="1"/>
  <c r="H1999" i="1"/>
  <c r="I1999" i="1"/>
  <c r="D2000" i="1"/>
  <c r="E2000" i="1"/>
  <c r="H2000" i="1"/>
  <c r="D1990" i="1"/>
  <c r="E1990" i="1"/>
  <c r="H1990" i="1"/>
  <c r="I1990" i="1"/>
  <c r="D1997" i="1"/>
  <c r="H1997" i="1"/>
  <c r="I1997" i="1"/>
  <c r="D2004" i="1"/>
  <c r="E2004" i="1"/>
  <c r="H2004" i="1"/>
  <c r="D1981" i="1"/>
  <c r="E1981" i="1"/>
  <c r="H1981" i="1"/>
  <c r="D1995" i="1"/>
  <c r="E1995" i="1"/>
  <c r="H1995" i="1"/>
  <c r="I1995" i="1"/>
  <c r="D2005" i="1"/>
  <c r="E2005" i="1"/>
  <c r="H2005" i="1"/>
  <c r="I2005" i="1"/>
  <c r="D2006" i="1"/>
  <c r="E2006" i="1"/>
  <c r="H2006" i="1"/>
  <c r="I2006" i="1"/>
  <c r="D1982" i="1"/>
  <c r="E1982" i="1"/>
  <c r="H1982" i="1"/>
  <c r="D1983" i="1"/>
  <c r="E1983" i="1"/>
  <c r="H1983" i="1"/>
  <c r="D1984" i="1"/>
  <c r="E1984" i="1"/>
  <c r="H1984" i="1"/>
  <c r="D1985" i="1"/>
  <c r="E1985" i="1"/>
  <c r="H1985" i="1"/>
  <c r="D1986" i="1"/>
  <c r="E1986" i="1"/>
  <c r="H1986" i="1"/>
  <c r="D1987" i="1"/>
  <c r="E1987" i="1"/>
  <c r="H1987" i="1"/>
  <c r="D1988" i="1"/>
  <c r="E1988" i="1"/>
  <c r="H1988" i="1"/>
  <c r="D1989" i="1"/>
  <c r="E1989" i="1"/>
  <c r="H1989" i="1"/>
  <c r="D1996" i="1"/>
  <c r="E1996" i="1"/>
  <c r="H1996" i="1"/>
  <c r="D2007" i="1"/>
  <c r="E2007" i="1"/>
  <c r="H2007" i="1"/>
  <c r="D1993" i="1"/>
  <c r="E1993" i="1"/>
  <c r="H1993" i="1"/>
  <c r="D1991" i="1"/>
  <c r="E1991" i="1"/>
  <c r="H1991" i="1"/>
  <c r="I1991" i="1"/>
  <c r="D2008" i="1"/>
  <c r="H2008" i="1"/>
  <c r="D1994" i="1"/>
  <c r="E1994" i="1"/>
  <c r="H1994" i="1"/>
  <c r="I1994" i="1"/>
  <c r="D2019" i="1"/>
  <c r="H2019" i="1"/>
  <c r="I2019" i="1"/>
  <c r="D2017" i="1"/>
  <c r="E2017" i="1"/>
  <c r="H2017" i="1"/>
  <c r="D2012" i="1"/>
  <c r="E2012" i="1"/>
  <c r="H2012" i="1"/>
  <c r="D2020" i="1"/>
  <c r="E2020" i="1"/>
  <c r="H2020" i="1"/>
  <c r="I2020" i="1"/>
  <c r="D2021" i="1"/>
  <c r="H2021" i="1"/>
  <c r="D2013" i="1"/>
  <c r="E2013" i="1"/>
  <c r="H2013" i="1"/>
  <c r="D2018" i="1"/>
  <c r="E2018" i="1"/>
  <c r="H2018" i="1"/>
  <c r="I2018" i="1"/>
  <c r="D2014" i="1"/>
  <c r="E2014" i="1"/>
  <c r="H2014" i="1"/>
  <c r="D2016" i="1"/>
  <c r="E2016" i="1"/>
  <c r="H2016" i="1"/>
  <c r="I2016" i="1"/>
  <c r="D2015" i="1"/>
  <c r="E2015" i="1"/>
  <c r="H2015" i="1"/>
</calcChain>
</file>

<file path=xl/sharedStrings.xml><?xml version="1.0" encoding="utf-8"?>
<sst xmlns="http://schemas.openxmlformats.org/spreadsheetml/2006/main" count="39291" uniqueCount="12595">
  <si>
    <t>STATE</t>
  </si>
  <si>
    <t>STATION NAME - LEA</t>
  </si>
  <si>
    <t>REQUISITION ID</t>
  </si>
  <si>
    <t>FSC</t>
  </si>
  <si>
    <t>NIIN</t>
  </si>
  <si>
    <t>ITEM NAME</t>
  </si>
  <si>
    <t>UI</t>
  </si>
  <si>
    <t>QUANTITY</t>
  </si>
  <si>
    <t>ACQUISITION VALUE</t>
  </si>
  <si>
    <t>DATE SHIPPED</t>
  </si>
  <si>
    <t>JUSTIFICATION</t>
  </si>
  <si>
    <t>AK</t>
  </si>
  <si>
    <t>AK DPS (2YTPEJ)</t>
  </si>
  <si>
    <t>2YTPEJ60020154</t>
  </si>
  <si>
    <t>SET,MWD,HANDLER FIR</t>
  </si>
  <si>
    <t>EA</t>
  </si>
  <si>
    <t>SET, MWD HANDLER, FIR.  THESE MILITARY WORKING DOG HANDLER FIRST AID KITS WILL BE ISSUED TO ALASKA STATE TROOPER POLICE DOG HANDLERS AS SAFETY EQUIPMENT FOR THEIR POLICE WORKING DOGS.</t>
  </si>
  <si>
    <t>2YTPEJ60583818</t>
  </si>
  <si>
    <t>JACKET,WET WEATHER</t>
  </si>
  <si>
    <t>JACKET, WET WEATHER WILL BE USED BY ALASKA STATE TROOPERS FOR OPERATIONS IN INCLEMENT WEATHER INCLUDING VILLAGE VISITS, SNOW MOBILE PATROLS, BOAT PATROLS, SEARCH AND RESCUE OPERATIONS, AND GENERAL INCLEMENT WEATHER WEAR.</t>
  </si>
  <si>
    <t>2YTPEJ60583819</t>
  </si>
  <si>
    <t>2YTPEJ60583824</t>
  </si>
  <si>
    <t>TROUSERS,WET WEATHE</t>
  </si>
  <si>
    <t>TROUSERS,WET WEATHER WILL BE USED BY ALASKA STATE TROOPERS FOR OPERATIONS IN INCLEMENT WEATHER INCLUDING VILLAGE VISITS, SNOW MOBILE PATROLS, BOAT PATROLS, SEARCH AND RESCUE OPERATIONS, AND GENERAL INCLEMENT WEATHER WEAR.</t>
  </si>
  <si>
    <t>2YTPEJ60583825</t>
  </si>
  <si>
    <t>2YTPEJ60583827</t>
  </si>
  <si>
    <t>2YTPEJ60583829</t>
  </si>
  <si>
    <t>2YTPEJ60583830</t>
  </si>
  <si>
    <t>2YTPEJ60583831</t>
  </si>
  <si>
    <t>2YTPEJ60583833</t>
  </si>
  <si>
    <t>2YTPEJ60583835</t>
  </si>
  <si>
    <t>2YTPEJ60583836</t>
  </si>
  <si>
    <t>2YTPEJ60583837</t>
  </si>
  <si>
    <t>2YTPEJ60583838</t>
  </si>
  <si>
    <t>2YTPEJ60583839</t>
  </si>
  <si>
    <t>2YTPEJ60583840</t>
  </si>
  <si>
    <t>2YTPEJ60583806</t>
  </si>
  <si>
    <t>JACKET,WET WEATHER WILL BE USED BY ALASKA STATE TROOPERS FOR OPERATIONS IN INCLEMENT WEATHER INCLUDING VILLAGE VISITS, SNOW MOBILE PATROLS, BOAT PATROLS, SEARCH AND RESCUE OPERATIONS, AND GENERAL INCLEMENT WEATHER WEAR.</t>
  </si>
  <si>
    <t>2YTPEJ60583816</t>
  </si>
  <si>
    <t>2YTPEJ60583817</t>
  </si>
  <si>
    <t>2YTPEJ60583815</t>
  </si>
  <si>
    <t>2YTPEJ60583814</t>
  </si>
  <si>
    <t>PARKA,WET WEATHER</t>
  </si>
  <si>
    <t>PARKA,WET WEATHER WILL BE USED BY ALASKA STATE TROOPERS FOR OPERATIONS IN INCLEMENT WEATHER INCLUDING VILLAGE VISITS, SNOW MOBILE PATROLS, BOAT PATROLS, SEARCH AND RESCUE OPERATIONS, AND GENERAL INCLEMENT WEATHER WEAR.</t>
  </si>
  <si>
    <t>2YTPEJ60583813</t>
  </si>
  <si>
    <t>2YTPEJ60583811</t>
  </si>
  <si>
    <t>2YTPEJ60583810</t>
  </si>
  <si>
    <t>PR</t>
  </si>
  <si>
    <t>2YTPEJ60583809</t>
  </si>
  <si>
    <t>TROUSERS,WET WEATHER</t>
  </si>
  <si>
    <t>2YTPEJ60583807</t>
  </si>
  <si>
    <t>2YTPEJ60160513</t>
  </si>
  <si>
    <t>BAG,DUFFEL</t>
  </si>
  <si>
    <t>BAG,DUFFEL WILL BE USED BY ALASKA STATE TROOPERS FOR STORAGE AND TRANSPORT OF CLOTHING AND OTHER PERSONAL PROTECTIVE EQUIPMENT IN VEHICLES AND FOR REMOTE ASSIGNMENTS.</t>
  </si>
  <si>
    <t>2YTPEJ60160512</t>
  </si>
  <si>
    <t>STUFF SACK,COMPRESS</t>
  </si>
  <si>
    <t>COMPRESSION STUFF SACKS WILL BE USED BY ALASKA STATE TROOPER FOR STORAGE AND TRANSPORT OF COLD WEATHER CLOTHING SYSTEMS AND SLEEP SYSTEMS.</t>
  </si>
  <si>
    <t>ANCHORAGE POLICE DEPARTMENT (2YTN5E)</t>
  </si>
  <si>
    <t>2YTN5E60029923</t>
  </si>
  <si>
    <t>EQUIPMENT AND SUPPLY STORAGE, TRAINING AIDS</t>
  </si>
  <si>
    <t>2YTN5E60231173</t>
  </si>
  <si>
    <t>TAPE,INSULATION,ELE</t>
  </si>
  <si>
    <t>RO</t>
  </si>
  <si>
    <t>BOMB SQUAD TRAINING AND EQUIPMENT MAINTENANCE, REPAIR</t>
  </si>
  <si>
    <t>2YTN5E60231172</t>
  </si>
  <si>
    <t>TAPE,INSULATION,ELECTRICAL</t>
  </si>
  <si>
    <t>FOR BOMB SQUAD TRAINING AND REPAIRS</t>
  </si>
  <si>
    <t>2YTN5E60372881</t>
  </si>
  <si>
    <t>FOR SPECIALTY TEAM AND BOMB SQUAD GEAR STORAGE AND TRAINING USE.</t>
  </si>
  <si>
    <t>PALMER POLICE DEPARMENT (2YTJCA)</t>
  </si>
  <si>
    <t>2YTJCA60168964</t>
  </si>
  <si>
    <t>SIGHT,REFLEX</t>
  </si>
  <si>
    <t>REQUESTING REFLEX SIGHTS TO IMPROVE ACCURACY FOR 40MM LAUNCHERS DURING LOW LIGHT AND HIGH STRESS SITUATIONS SUPPORTS SAFER TARGET IDENTIFICATION REDUCED USE OF FORCE AND IMPROVED PRECISION FOR PATROL AND EMERGENCY RESPONSE MISSIONS</t>
  </si>
  <si>
    <t>AL</t>
  </si>
  <si>
    <t>CLARKE COUNTY SHERIFFS OFFICE (2YTCFW)</t>
  </si>
  <si>
    <t>2YTCFW60160459</t>
  </si>
  <si>
    <t>INTRENCHING TOOL,HAND</t>
  </si>
  <si>
    <t>THE CLARKE COUNTY SHERIFF'S OFFICE WOULD LIKE TO ACQUIRE THIS EQUIPMENT TO BE ISSUED TO OUR OFFICERS TO BE UTILIZED FOR MULTIPLE PURPOSES SUCH AS CLEARING ROAD DEBRIS OR HAZARDS ASSISTING MOTORISTS OR ON TACTICAL SITUATIONS. CAN ALSO BE USED FOR ACTIVE SHOOTER BARRICADED SUBJECTS OR OTHER LIFE THREATING INCIDENTS</t>
  </si>
  <si>
    <t>2YTCFW60160455</t>
  </si>
  <si>
    <t>CASE,SMALL ARMS AMM</t>
  </si>
  <si>
    <t>THE CLARKE COUNTY SHERIFF'S OFFICE WOULD LIKE TO ACQUIRE THIS EQUIPMENT TO BE UTILIZED IN THE SAFE STORAGE AND TRANSPORTATION OF M-16 AR CONVERSION KIT UPPERS THAT ARE USED FOR TRAINING</t>
  </si>
  <si>
    <t>CULLMAN POLICE DEPT (2YTC1D)</t>
  </si>
  <si>
    <t>2YTC1D53539066</t>
  </si>
  <si>
    <t>DSHELICOP</t>
  </si>
  <si>
    <t>AIRCRAFT, ROTARY WING</t>
  </si>
  <si>
    <t>FOR USE BY CULLMAN POLICE DEPARTMENT FOR SEARCH AND RESCUE, NATURAL DISASTER RESPONSE AND FOR SURVEILLANCE ON DRUG ENFORCEMENT</t>
  </si>
  <si>
    <t>ETOWAH COUNTY SHERIFF'S OFFICE (2YTDU7)</t>
  </si>
  <si>
    <t>2YTDU753539078</t>
  </si>
  <si>
    <t>THE ETOWAH COUNTY SHERIFF'S OFFICE WILL UTILIZE THE AIRCRAFT FOR PATROL FLIGHTS, DRUG INTERDICTION SEARCH AND RESCUE CAPABILITIES AND ENHANCED PUBLIC SAFETY AND RAPID RESPONSE.</t>
  </si>
  <si>
    <t>JEFFERSON COUNTY SHERIFF'S OFFICE (2YTFX4)</t>
  </si>
  <si>
    <t>2YTFX460654764</t>
  </si>
  <si>
    <t>DSMOBHOME</t>
  </si>
  <si>
    <t>MOBILE HOME</t>
  </si>
  <si>
    <t>THIS WILL BE USED BY LAW ENFORCEMENT AS A TEMPORARY MOBILE COMMAND AND OFFICE IN DISASTER RELIEF SITUATIONS</t>
  </si>
  <si>
    <t>2YTFX460442782</t>
  </si>
  <si>
    <t>DSFORKLIF</t>
  </si>
  <si>
    <t>FORKLIFT</t>
  </si>
  <si>
    <t>THIS FORKLIFT WILL BE USED BY LAW ENFORCEMENT PERSONNEL TO MOVE HEAVY EQUIPMENT AT OUR AIR SUPPORT UNIT HANGER.</t>
  </si>
  <si>
    <t>KINSEY POLICE DEPARTMENT (2YTRAR)</t>
  </si>
  <si>
    <t>2YTRAR60725115</t>
  </si>
  <si>
    <t>DSTRUCK00</t>
  </si>
  <si>
    <t>TRUCKS AND TRUCK TRACTORS</t>
  </si>
  <si>
    <t>THIS WOULD ASSIST THE KINSEY POLICE DEPARTMENT IN MOVING ITEMS FOR PLACE TO PLACE AROUND TOWN AND GETTING ITEMS FROM LESO PROGRAM</t>
  </si>
  <si>
    <t>2YTRAR60584600</t>
  </si>
  <si>
    <t>DSTRAILE1</t>
  </si>
  <si>
    <t>TRAILER</t>
  </si>
  <si>
    <t>THIS WOULD ASSIST THE KINSEY POLICE DEPARTMENT IN GOING AND REMOVING LESO PROPERTY AND TRANSPORTING IT BACK FROM SITES TO THE POLICE DEPARTMENT</t>
  </si>
  <si>
    <t>2YTRAR60725100</t>
  </si>
  <si>
    <t>THIS WOULD ASSIST THE KINSEY POLICE DEPARTMENT IN MOVING EQUIPMENT AND SIGNS FOR ROAD BLOCKAGE AND REMOVING PROPERTY FROM LESO SITES</t>
  </si>
  <si>
    <t>2YTRAR60583697</t>
  </si>
  <si>
    <t>DSTRACTO1</t>
  </si>
  <si>
    <t>TRACTORS, WHEELED</t>
  </si>
  <si>
    <t>THIS ITEM WOULD ASSIST THE KINSEY POLICE DEPARTMENT IN KEEPING GROUND AT THE POLICE DEPARTMENT LEVEL AND CUT AND ALSO LEVELING THE FIRING RANGE WE IN PROCESS IN BUILDING</t>
  </si>
  <si>
    <t>2YTRAR60583698</t>
  </si>
  <si>
    <t>2YTRAR60655281</t>
  </si>
  <si>
    <t>DSLANDSCP</t>
  </si>
  <si>
    <t>GARDENING IMPLEMENTS AND TOOLS</t>
  </si>
  <si>
    <t>THIS WOULD ASSIST THE KINSEY POLICE DEPARTMENT PUTTING GRASS ON THE FIRING RANGE</t>
  </si>
  <si>
    <t>2YTRAR60655282</t>
  </si>
  <si>
    <t>2YTRAR60725769</t>
  </si>
  <si>
    <t>DSLAWNRID</t>
  </si>
  <si>
    <t>LAWN MOWER, RIDING</t>
  </si>
  <si>
    <t>THIS WOULD ASSIST THE KINSEY POLICE DEPARTMENT IN MOWING THE GRASS AROUND THE POLICE DEPARTMENT AND AT THE FIRING RANGE</t>
  </si>
  <si>
    <t>2YTRAR60725212</t>
  </si>
  <si>
    <t>TRUCK,LIFT,FORK</t>
  </si>
  <si>
    <t>THIS WOULD ASSIST THE KINSEY POLICE DEPARTMENT IN MOVING ITEMS AROUND THE POLICE DEPARTMENT AND ON THE FIRING RANGE AND LIFTING BOARDS AND TIN TO COMPLETE BARN THAT WE BUILDING AT THE SHOOTING RANGE</t>
  </si>
  <si>
    <t>2YTRAR53327192</t>
  </si>
  <si>
    <t>DSWIRE000</t>
  </si>
  <si>
    <t>WIRE ROPE</t>
  </si>
  <si>
    <t>THIS WOULD ASSIST THE KINSEY POLICE DEPARTMENT IN MAKING A GATE AT OUR FIRING RANGE TO KEEP PEOPLE OUT OF THE RANGE WHEN CLOSED</t>
  </si>
  <si>
    <t>2YTRAR60725772</t>
  </si>
  <si>
    <t>DSAIRCIRC</t>
  </si>
  <si>
    <t>FANS, AIR CIRCULATORS, AND BLOWER EQUIP</t>
  </si>
  <si>
    <t>THIS WOULD ASSIST THE KINSEY POLICE DEPARTMENT IN KEEPING AIR MOVING AT THE FIRING RANGE WHEN WE DO TRAINING IN THE SUMMER AND IN OUR MAINTENANCE SHOP</t>
  </si>
  <si>
    <t>2YTRAR60655213</t>
  </si>
  <si>
    <t>LIFE RAFT,INFLATABL</t>
  </si>
  <si>
    <t>THIS WOULD ASSIST THE KINSEY POLICE DEPARTMENT IN STOCKING OUR NEWLY DIVE TEAM THAT WE ARE ESTABLISHING IT ALSO IS A SEARCH AND RESCUE AND RECOVERY TEAM</t>
  </si>
  <si>
    <t>2YTRAR60654593</t>
  </si>
  <si>
    <t>HEATER,SPACE</t>
  </si>
  <si>
    <t>THIS ITEM WOULD ASSIST THE KINSEY POLICE DEPARTMENT IN KEEPING WARN DURING THE WINTER AT THE FIRING RANGE, MAINTENANCE SHOP, OR ON CRITICAL SCENES OUTSIDE WHILE CONDUCTING INVESTIGATIONS</t>
  </si>
  <si>
    <t>2YTRAR53256862</t>
  </si>
  <si>
    <t>DSVEHMAIN</t>
  </si>
  <si>
    <t>MOTOR VEHICLE MAINTENANCE AND REPAIR</t>
  </si>
  <si>
    <t>THIS ITEM WOULD ASSIST THE KINSEY POLICE DEPARTMENT IN DOING MAINTENANCE OWN OUR OWN PATROL VEHICLES WHEN TIMES NEEDED.</t>
  </si>
  <si>
    <t>2YTRAR53397858</t>
  </si>
  <si>
    <t>DSPRESSUR</t>
  </si>
  <si>
    <t>PRESSURE WASHER</t>
  </si>
  <si>
    <t>THIS WOULD ASSIST THE KINSEY POLICE DEPARTMENT IN KEEPING OUR PATROLS CARS WASHED AND CLEAN FOR THE PUBLIC AND OUR POLICE DEPARTMENT WASHED</t>
  </si>
  <si>
    <t>2YTRAR60583700</t>
  </si>
  <si>
    <t>BARBED WIRE</t>
  </si>
  <si>
    <t>SL</t>
  </si>
  <si>
    <t>THIS WOULD ASSIST THE KINSEY POLICE DEPARTMENT IN BEING ABLE TO PLACE SECURITY AROUND THE FIRING RANGE THAT WE ARE BUILDING AND PLACING AROUND THE IMPOUND YARD THAT THE POLICE DEPARTMENT IS CONSTRUCTING TO HOLD VEHICLES IMPOUNDED FOR OUR DEPARTMENT</t>
  </si>
  <si>
    <t>2YTRAR60583699</t>
  </si>
  <si>
    <t>2YTRAR60866214</t>
  </si>
  <si>
    <t>PANEL,POWER DISTRIBUTION</t>
  </si>
  <si>
    <t>THIS ITEM WOULD ASSIST THE KINSEY POLICE DEPARTMENT IN HAVING POWER AT OUR SHOOTING RANGE AND AT OUR CLASS ROOM BUILDING THAT WE JUST BUILT</t>
  </si>
  <si>
    <t>2YTRAR60583701</t>
  </si>
  <si>
    <t>DSGENERA1</t>
  </si>
  <si>
    <t>GENERATORS AND GENERATOR SETS, ELECTRICA</t>
  </si>
  <si>
    <t>THIS ITEM WOULD ASSIST THE KINSEY POLICE DEPARTMENT WITH PROVIDING POWER TO THE FIRING RANGE SHLETER AND TO OTHER LIGHTS WE PUT UP TO DO LOW LIGHT TRAINING</t>
  </si>
  <si>
    <t>2YTRAR53397856</t>
  </si>
  <si>
    <t>DSCHARGE1</t>
  </si>
  <si>
    <t>BATTERY CHARGER</t>
  </si>
  <si>
    <t>THIS WILL HELP THE POLICE DEPARTMENT IN JUMPING OUR PATROL VEHICLES OFF WHEN THE BATTERIES ARE DEAD OR HELPING JUMP CITIZENS VEHIECLS WHEN CALLED</t>
  </si>
  <si>
    <t>2YTRAR53397857</t>
  </si>
  <si>
    <t>THIS WOULD HELP THE POLICE DEPARTMENT IN CHARGING PATROL VEHICLE BATTERIES WHEN NEEDED</t>
  </si>
  <si>
    <t>2YTRAR60725771</t>
  </si>
  <si>
    <t>FIRST AID KIT,UNIVE</t>
  </si>
  <si>
    <t>KT</t>
  </si>
  <si>
    <t>THIS WOULD ASSIST THE KINSEY POLICE DEPARTMENT IN PUTTING IN OUR PATROL VEHICLES AND OTHER EQUIPMENT THAT WE HAVE AS THE POLICE DEPARTMENT IN CASE OF EMERGENCIES</t>
  </si>
  <si>
    <t>2YTRAR53327776</t>
  </si>
  <si>
    <t>SURVEYING INSTRUMENT,ELECTRONIC DISTANCE</t>
  </si>
  <si>
    <t>THIS WOULD ASSIST THE KINSEY POLICE DEPARTMENT IN LEVELING THE PROPERTY AT THE FIRING RANGE SO THAT WE CAN TRAIN AND KNOW THE CORRECT DISTANCE FOR TARGETS</t>
  </si>
  <si>
    <t>2YTRAR60584103</t>
  </si>
  <si>
    <t>DSATHSPOR</t>
  </si>
  <si>
    <t>ATHLETIC AND SPORTING EQUIPMENT</t>
  </si>
  <si>
    <t>THIS WOULD ASSIST THE KINSEY POLICE DEPARTMENT IN TIMING OUR TRAINING IN AT THE RANGE WHILE DOING SHOOTING DRILLS AND SPEED SHOOTING</t>
  </si>
  <si>
    <t>LEVEL PLAINS POLICE DEPARTMENT (2YTRNR)</t>
  </si>
  <si>
    <t>2YTRNR60160543</t>
  </si>
  <si>
    <t>DSCART000</t>
  </si>
  <si>
    <t>CART, MOTORIZED</t>
  </si>
  <si>
    <t>LEVEL PLAINS POLICE DEPARTMENT WOULD USE DURING POLICE EVENTS AND TRANSPORTING CITIZENS DURING NATURAL DIASTERS TO SHELTER</t>
  </si>
  <si>
    <t>2YTRNR60654336</t>
  </si>
  <si>
    <t>TRACTOR,WHEELED,INDUSTRIAL</t>
  </si>
  <si>
    <t>LEVEL PLAINS POLICE DEPT WOULD USE TRACTOR TO SET UP UP NEW POLICE FIRING RANGE</t>
  </si>
  <si>
    <t>2YTRNR53539019</t>
  </si>
  <si>
    <t>DSCAMERA1</t>
  </si>
  <si>
    <t>CAMERA, MOTION PICTURE</t>
  </si>
  <si>
    <t>LEVEL PLAINS POLICE DEPT WOULD USE CAMERA TO FILM TRAINING VIDEOS AND RECREATE ACCIDENT SCENES ALSO FOR REPORT WRITING</t>
  </si>
  <si>
    <t>2YTRNR60301423</t>
  </si>
  <si>
    <t>EASEL,DISPLAY AND TRAINING</t>
  </si>
  <si>
    <t>LEVEL PLAINS POLICE DEPT WOULD USE FOR TRAINING</t>
  </si>
  <si>
    <t>2YTRNR60301419</t>
  </si>
  <si>
    <t>BROOM,UPRIGHT</t>
  </si>
  <si>
    <t>LEVEL PLAINS POLICE DEPT WOULD USE TO CLEAN OFFICE</t>
  </si>
  <si>
    <t>2YTRNR60301420</t>
  </si>
  <si>
    <t>WRINGER,MOP</t>
  </si>
  <si>
    <t>2YTRNR60301421</t>
  </si>
  <si>
    <t>MOPHEAD,WET</t>
  </si>
  <si>
    <t>2YTRNR60301418</t>
  </si>
  <si>
    <t>BUCKET,MOP</t>
  </si>
  <si>
    <t>2YTRNR60513131</t>
  </si>
  <si>
    <t>CARRIER,OC SPRAY</t>
  </si>
  <si>
    <t>TO ISSUE AND REPLACE OLD ONES FOR POLICE OFFICRERS</t>
  </si>
  <si>
    <t>2YTRNR60301422</t>
  </si>
  <si>
    <t>TOWEL,PAPER</t>
  </si>
  <si>
    <t>BX</t>
  </si>
  <si>
    <t>MORGAN COUNTY SHERIFF'S OFFICE (2YTPBK)</t>
  </si>
  <si>
    <t>2YTPBK60372342</t>
  </si>
  <si>
    <t>HEADSET-MICROPHONE</t>
  </si>
  <si>
    <t>THIS EQUIPMENT WILL BE UTILIZED BY MORGAN COUNTY SHERIFF'S SWAT OPERATORS TO COMMUNICATE WITHIN THE TEAM AS WELL AS RELAYING VITAL INFORMATION TO DISPATCHERS THAT WILL INCREASE SAFETY AND SECURITY OF THOSE MEMBERS.</t>
  </si>
  <si>
    <t>2YTPBK60301840</t>
  </si>
  <si>
    <t>THE MORGAN COUNTY SHERIFF'S SWAT TEAM WILL UTILIZE THE HEADSETS FOR USE IN COMMUNICATION BETWEEN TEAM SNIPERS IN ORDER TO RELAY VITAL INFORMATION TO OTHER OPERATORS AND DISPATCH ALLOWING FOR MAXIMIZED SAFETY AND SECURITY.</t>
  </si>
  <si>
    <t>OXFORD POLICE DEPT (2YT18X)</t>
  </si>
  <si>
    <t>2YT18X60231655</t>
  </si>
  <si>
    <t>BRUSH,CLEANING,AIRCRAFT</t>
  </si>
  <si>
    <t>THESE ITEMS AND MATERIALS WILL BE USED TO CLEAN AND MAINTAIN DEPARTMENTAL ASSETS IN A PRESENTABLE, SANITARY, AND OPERATIONALLY READY CONDITION, SUPPORTING EQUIPMENT LONGEVITY, FACILITY STANDARDS, AND OVERALL MISSION READINESS.</t>
  </si>
  <si>
    <t>2YT18X60231654</t>
  </si>
  <si>
    <t>THIS CLOTHING WILL BE ISSUED TO DEPARTMENTAL PERSONNEL TO ENSURE THEY REMAIN WARM, DRY, AND PROPERLY PROTECTED WHILE PERFORMING ASSIGNED DUTIES, SUPPORTING OFFICER SAFETY, OPERATIONAL READINESS, AND MISSION CONTINUITY ACROSS VARYING WEATHER AND ENVIRONMENTAL CONDITIONS.</t>
  </si>
  <si>
    <t>2YT18X60231652</t>
  </si>
  <si>
    <t>2YT18X60231653</t>
  </si>
  <si>
    <t>2YT18X60231663</t>
  </si>
  <si>
    <t>MODULAR SLEEPING BA</t>
  </si>
  <si>
    <t>THIS ITEM WILL BE ISSUED TO DEPARTMENTAL PERSONNEL TO ENSURE THEY REMAIN WARM, DRY, AND PROPERLY PROTECTED WHILE PERFORMING ASSIGNED DUTIES, SUPPORTING OFFICER SAFETY, OPERATIONAL READINESS, AND MISSION CONTINUITY ACROSS VARYING WEATHER AND ENVIRONMENTAL CONDITIONS.</t>
  </si>
  <si>
    <t>TUSCALOOSA POLICE DEPT (2YTL15)</t>
  </si>
  <si>
    <t>2YTL1553539475</t>
  </si>
  <si>
    <t>TRACTOR,WHEELED,AIR</t>
  </si>
  <si>
    <t>TPD REQUEST THIS TRACTOR TO USE IN DEPLOYING PERSONNEL AND EQUIPMENT DURING SPECIAL EVENTS WHERE WE SET UP BARRICADES FOR EVENT SECURITY. IT WILL ALSO BE USED TO DEPLOY SIMILAR EQUIPMENT DURING SEVER WEATHER.</t>
  </si>
  <si>
    <t>2YTL1560029774</t>
  </si>
  <si>
    <t>TPD REQUEST THIS TRUCK TO USE IN DEPLOYING EQUIPMENT AND PERSONAL DURING TERROR AND MASS CASUALTY ATTACKS, SEVERE WEATHER AND SETTING UP SECURITY FOR LARGE SCALE EVENTS TO PREVENT TERROR AND MASS CASUALTY ATTACKS.</t>
  </si>
  <si>
    <t>2YTL1560029773</t>
  </si>
  <si>
    <t>2YTL1560724904</t>
  </si>
  <si>
    <t>UTILITY VEHICLE,OFF ROAD</t>
  </si>
  <si>
    <t>TPD REQUEST THESE UTV'S FOR OUR OFFICERS TO USE DURING CROWD CONTROL, ANTI-TERRORISM OPERATIONS AT LARGE CROWD EVENTS SUCH AS UNIVERSITY OF ALABAMA SPORTING EVENTS WHERE THESE ARE EASIER TO MOVE THRU THE LARGE CROWD. THEY WILL ALSO BE USED IN SEARCH AND RESCUE AND SEVERE WEATHER EVENTS AS WELL.</t>
  </si>
  <si>
    <t>2YTL1560724906</t>
  </si>
  <si>
    <t>2YTL1553468397</t>
  </si>
  <si>
    <t>TPD REQUEST THESE TRAILERS TO USE DEPLOYING AND FUELING EQUIPMENT IN RESPONSE TO ACTS OF TERROR AND MASS CASUALTY EVENTS, SEARCH AND RESCUE CALLS, AND ANY OTHER EXTEND SCENES WE MAY NEED TO HOLD FOR SECURITY AND EVIDENCE REASONS.</t>
  </si>
  <si>
    <t>2YTL1553529471</t>
  </si>
  <si>
    <t>DSGASWLDM</t>
  </si>
  <si>
    <t>GAS WELD, HEAT CUTTING, METALIZING EQUIP</t>
  </si>
  <si>
    <t>TPD REQUEST THIS EQUIPMENT TO USE IN REPAIRING OUR DEPARTMENT OWNED VEHICLES, AND 10-33 VEHICLES. THEY WILL ALSO BE USED TO REPAIR AND UPDATE ANY OTHER POLICE DEPARTMENT OWNED EQUIPMENT AND PROPERTY. SO THAT OFFICERS HAVE THE BEST EQUIPMENT TO HELP THEM IN RESPONSE TO TERRORIST AND MASS CASUALTY EVENTS.</t>
  </si>
  <si>
    <t>2YTL1553539476</t>
  </si>
  <si>
    <t>2YTL1553539478</t>
  </si>
  <si>
    <t>2YTL1553529474</t>
  </si>
  <si>
    <t>DSPNCHSHE</t>
  </si>
  <si>
    <t>PUNCHING AND SHEARING MACHINES</t>
  </si>
  <si>
    <t>2YTL1553539480</t>
  </si>
  <si>
    <t>WINCH,DRUM,POWER OP</t>
  </si>
  <si>
    <t>2YTL1553539251</t>
  </si>
  <si>
    <t>COMPENSATOR,BUOYANC</t>
  </si>
  <si>
    <t>TPD REQUEST THESE ITEMS FOR OUR POLICE DIVE TEAM OFFICERS TO USE WHEN RESPONDING TO SEARCH AND RESCUE CALLS, TRAINING, OR ACTS OF TERROR AND MASS CASUALTY IN THE WATER WAYS OF OUR JURISDICTION.</t>
  </si>
  <si>
    <t>2YTL1553529468</t>
  </si>
  <si>
    <t>DSPIPEMET</t>
  </si>
  <si>
    <t>PIPE, METAL</t>
  </si>
  <si>
    <t>TPD REQUEST THESE PIPES TO USE IN REPAIRING OUR DEPARTMENT OWNED VEHICLES, AND 10-33 VEHICLES. THEY WILL ALSO BE USED TO REPAIR AND UPDATE ANY OTHER POLICE DEPARTMENT OWNED EQUIPMENT AND PROPERTY. SO THAT OFFICERS HAVE THE BEST EQUIPMENT TO HELP THEM IN RESPONSE TO TERRORIST AND MASS CASUALTY EVENTS.</t>
  </si>
  <si>
    <t>2YTL1553388519</t>
  </si>
  <si>
    <t>KEY SET,SOCKET HEAD SCREW</t>
  </si>
  <si>
    <t>SE</t>
  </si>
  <si>
    <t>TPD REQUEST THESE TOOLS TO USE IN REPAIRING OUR DEPARTMENT OWNED VEHICLES, AND 10-33 VEHICLES. THEY WILL ALSO BE USED TO REPAIR AND UPDATE AND OTHER POLICE DEPARTMENT OWNED EQUIPMENT AND PROPERTY. SO THAT OFFICERS HAVE THE BEST EQUIPMENT TO HELP THEM IN RESPONSE TO TERRORIST AND MASS CASUALTY EVENTS.</t>
  </si>
  <si>
    <t>2YTL1553539482</t>
  </si>
  <si>
    <t>PULLER,MECHANICAL</t>
  </si>
  <si>
    <t>2YTL1553256784</t>
  </si>
  <si>
    <t>RIVETER,BLIND,PNEUMATIC</t>
  </si>
  <si>
    <t>2YTL1553388517</t>
  </si>
  <si>
    <t>DIE AND TAP SET,THREAD CUTTING</t>
  </si>
  <si>
    <t>2YTL1553388516</t>
  </si>
  <si>
    <t>TOOL KIT,CARPENTER'S</t>
  </si>
  <si>
    <t>2YTL1553539484</t>
  </si>
  <si>
    <t>DSTOOLKIT</t>
  </si>
  <si>
    <t>SETS, KITS, AND OUTFITS OF HAND TOOLS</t>
  </si>
  <si>
    <t>TPD REQUEST THESE TOOLS TO USE IN REPAIRING OUR DEPARTMENT OWNED VEHICLES, AND 10-33 VEHICLES. THEY WILL ALSO BE USED TO REPAIR AND UPDATE ANY OTHER POLICE DEPARTMENT OWNED EQUIPMENT AND PROPERTY. SO THAT OFFICERS HAVE THE BEST EQUIPMENT TO HELP THEM IN RESPONSE TO TERRORIST AND MASS CASUALTY EVENTS.</t>
  </si>
  <si>
    <t>2YTL1553539485</t>
  </si>
  <si>
    <t>2YTL1553539486</t>
  </si>
  <si>
    <t>2YTL1560584675</t>
  </si>
  <si>
    <t>TOOL KIT,ELECTRICIAN'S</t>
  </si>
  <si>
    <t>2YTL1553609483</t>
  </si>
  <si>
    <t>2YTL1553539481</t>
  </si>
  <si>
    <t>POWER STRIP,ELECTRI</t>
  </si>
  <si>
    <t>2YTL1560080647</t>
  </si>
  <si>
    <t>ADHESIVE TAPE,SURGICAL</t>
  </si>
  <si>
    <t>TPD REQUEST THIS TAPE FOR OUR OFFICERS TO CARRY DURING THEIR SHIFTS TO USE IN CASE EMERGENCY FIRST AID IS NEEDED FOR THEMSELVES OR OTHERS DURING TERRORIST OR MASS CASUALTY EVENTS.</t>
  </si>
  <si>
    <t>2YTL1553538778</t>
  </si>
  <si>
    <t>BANDAGE,GAUZE,SELF-</t>
  </si>
  <si>
    <t>TPD REQUEST THIS EQUIPMENT FOR OUR OFFICERS TO CARRY TO PROVIDE FIRST AID TO THE BEST OF THEIR TRAINED ABILITY IN THE EVENT OF A TERRORIST ATTACK, ACTIVE SHOOTER, OR MASS CASUALTY EVENT</t>
  </si>
  <si>
    <t>2YTL1553538779</t>
  </si>
  <si>
    <t>SKIN CLOSURE,ADHESIVE,SURGICAL</t>
  </si>
  <si>
    <t>2YTL1553538798</t>
  </si>
  <si>
    <t>BANDAGE,ELASTIC</t>
  </si>
  <si>
    <t>2YTL1553538783</t>
  </si>
  <si>
    <t>DRESSING,OCCLUSIVE,</t>
  </si>
  <si>
    <t>2YTL1553538787</t>
  </si>
  <si>
    <t>PAD,COTTON</t>
  </si>
  <si>
    <t>2YTL1553538789</t>
  </si>
  <si>
    <t>PG</t>
  </si>
  <si>
    <t>2YTL1553538796</t>
  </si>
  <si>
    <t>2YTL1553538780</t>
  </si>
  <si>
    <t>2YTL1553538800</t>
  </si>
  <si>
    <t>CONTAINER,SHARPS SH</t>
  </si>
  <si>
    <t>2YTL1553538792</t>
  </si>
  <si>
    <t>SCISSORS,BANDAGE,ANGULAR,SIZE 2</t>
  </si>
  <si>
    <t>2YTL1553388518</t>
  </si>
  <si>
    <t>THERMOMETER,CLINICA</t>
  </si>
  <si>
    <t>TPD REQUEST THIS THERMOMETER FOR OUR MEDICALLY TRAINED OFFICERS TO CARRY IN THEIR FIRST AID KITS WHEN RESPONDING ON CALLS FOR SERVICE.</t>
  </si>
  <si>
    <t>2YTL1553388520</t>
  </si>
  <si>
    <t>TAPE,ANTISEIZING</t>
  </si>
  <si>
    <t>TPD REQUEST THIS TAPE TO USE IN REPAIRING OUR DEPARTMENT OWNED VEHICLES, AND 10-33 VEHICLES. THEY WILL ALSO BE USED TO REPAIR AND UPDATE AND OTHER POLICE DEPARTMENT OWNED EQUIPMENT AND PROPERTY. SO THAT OFFICERS HAVE THE BEST EQUIPMENT TO HELP THEM IN RESPONSE TO TERRORIST AND MASS CASUALTY EVENTS.</t>
  </si>
  <si>
    <t>2YTL1553529467</t>
  </si>
  <si>
    <t>TPD REQUEST THESE TAPE TO USE IN REPAIRING OUR DEPARTMENT OWNED VEHICLES, AND 10-33 VEHICLES. THEY WILL ALSO BE USED TO REPAIR AND UPDATE AND OTHER POLICE DEPARTMENT OWNED EQUIPMENT AND PROPERTY. SO THAT OFFICERS HAVE THE BEST EQUIPMENT TO HELP THEM IN RESPONSE TO TERRORIST AND MASS CASUALTY EVENTS.</t>
  </si>
  <si>
    <t>WEBB POLICE DEPARTMENT (2YTRL4)</t>
  </si>
  <si>
    <t>2YTRL460866448</t>
  </si>
  <si>
    <t>TAMPER,VIBRATING TY</t>
  </si>
  <si>
    <t>WEBB PD WILL USE THIS EQUIPMENT TO BUILD AND MAINTAIN THE POLICE DEPT GUN RANGE.</t>
  </si>
  <si>
    <t>2YTRL460654672</t>
  </si>
  <si>
    <t>HEATER SPACE SHC 60</t>
  </si>
  <si>
    <t>WEBB PD WILL USE THIS EQUIPMENT DURING POWER OUTAGES TO HEAT SHELTERS AND DURING CRIME SCENE INVESTIGATIONS WHEN HEAT IS NEEDED.</t>
  </si>
  <si>
    <t>2YTRL460654661</t>
  </si>
  <si>
    <t>WEBB PD WILL USE THIS EQUIPMENT TO CLEAN AND MAINTAIN PATROL VEHICLES.</t>
  </si>
  <si>
    <t>2YTRL460796550</t>
  </si>
  <si>
    <t>WEBB PD WILL USE THIS EQUIPMENT DURING NORMAL PATROL OPERATIONS.</t>
  </si>
  <si>
    <t>AR</t>
  </si>
  <si>
    <t>BELLA VISTA PD (2YTA2S)</t>
  </si>
  <si>
    <t>2YTA2S60725805</t>
  </si>
  <si>
    <t>TOOL KIT,AIRCRAFT MAINTENANCE</t>
  </si>
  <si>
    <t>THE BELLA VISTA POLICE DEPARTMENT WOULD UTILIZE THESE TOOL BOXES AND TOOLS FOR THE UPKEEP AND MAINTENANCE OF POLICE VEHICLES AND EQUIPMENT
THIS EQUIPMENT WILL BE USED FOR LAW ENFORCEMENT PURPOSES ONLY</t>
  </si>
  <si>
    <t>FORDYCE PD (2YTD6H)</t>
  </si>
  <si>
    <t>2YTD6H60231178</t>
  </si>
  <si>
    <t>TENT MODULAR COMMAND POST,GREEN,COMPLETE</t>
  </si>
  <si>
    <t>FORDYCE POLICE DEPARTMENT WILL USE THESE ITEMS FOR SIMMUNITION TRAINING. TO AID OUR OFFICERS IN THE KNOWLEDGE NEEDED IN THE CASE OF AN ACTIVE SHOOTER INCIDENT. FOR LAW ENFORCEMENT USE ONLY.</t>
  </si>
  <si>
    <t>MILLER CSO (2YTHR0)</t>
  </si>
  <si>
    <t>2YTHR060504092</t>
  </si>
  <si>
    <t>RACK,STORAGE,SMALL</t>
  </si>
  <si>
    <t>THE MILLER COSO WILL USE THIS ITEM FOR THE STORAGE OF WEAPONS AND AMMUNITION FOR OUR SWAT TEAM. IT WILL BE USED FOR EMERGENCY RESPONSE, SWAT, AND SECURITY. IT WILL BE USED FOR LAW ENFORCEMENT USE ONLY.</t>
  </si>
  <si>
    <t>2YTHR060514094</t>
  </si>
  <si>
    <t>DSDEFIBRI</t>
  </si>
  <si>
    <t>DEFIBRULATOR</t>
  </si>
  <si>
    <t>THE MILLER COSO WILL USE THESE ITEMS FOR EMERGENCY RESPONSE FOR MEDICAL EMERGENCIES FROM PATROL VEHICLES. ITEMS WILL BE USED FOR LAW ENFORCEMENT USE ONLY.</t>
  </si>
  <si>
    <t>2YTHR060372778</t>
  </si>
  <si>
    <t>CONTAINER,SPECIAL</t>
  </si>
  <si>
    <t>THE MILLER COSO WILL USE THIS ITEM FOR STORAGE AT OUR FIRING RANGE FOR TRAINING IN EMERGENCY RESPONSE, SWAT, ACTIVE SHOOTER AND HOSTAGE RESCUE, FOR LAW ENFORCEMENT USE ONLY.</t>
  </si>
  <si>
    <t>2YTHR060654591</t>
  </si>
  <si>
    <t>MAT,SLEEPING</t>
  </si>
  <si>
    <t>THE MILLER COSO WILL USE THESE ITEMS FOR EMERGENCY RESPONSE TRAINING, FIELD USE, AND RANGE USE. THE ITEMS WILL BE FOR LAW ENFORCEMENT USE ONLY.</t>
  </si>
  <si>
    <t>2YTHR060584592</t>
  </si>
  <si>
    <t>ASSAULT PACK</t>
  </si>
  <si>
    <t>THE MILLER COSO WILL USE THESE ITEMS FOR EMERGENCY RESPONSE, FIELD WORK, AND TRAINING FOR THE CARRYING OF GEAR AND EQUIPMENT. THE ITEMS WILL BE USED FOR LAW ENFORCEMENT USE ONLY.</t>
  </si>
  <si>
    <t>2YTHR060514097</t>
  </si>
  <si>
    <t>MOLLE FIELD PACK SET, LARGE - OCP</t>
  </si>
  <si>
    <t>THE MILLER COSO WILL USE THESE ITEMS FOR EMERGENCY RESPONSE AND STORAGE OF SWAT AND SNIPER GEAR FOR EMERGENCY CALL OUTS AND ACTIVE KILLER EVENTS. THE ITEMS WILL BE USED FOR LAW ENFORCEMENT USE ONLY.</t>
  </si>
  <si>
    <t>NORTH LITTLE ROCK POLICE DEPT (2YT107)</t>
  </si>
  <si>
    <t>2YT10753469058</t>
  </si>
  <si>
    <t>BRAKE MACHINE,SHEET</t>
  </si>
  <si>
    <t>FOR LAW ENFORCEMENT USE BY THE NORTH LITTLE ROCK POLICE DEPARTMENT. FOR USE BY THE WELDING AND FABRICATION UNIT, FOR CONSTRUCTION OF STORAGE BOXES UTILIZED IN DEPARTMENT OWNED VEHICLES. FOR CONSTRUCTION OF STORAGE OF LAW ENFORCEMENT SENSITIVE EQUIPMENT.</t>
  </si>
  <si>
    <t>PEA RIDGE POLICE DEPT (2YTJGP)</t>
  </si>
  <si>
    <t>2YTJGP53609386</t>
  </si>
  <si>
    <t>DSATVGATO</t>
  </si>
  <si>
    <t>ALL TERRAIN VEHICLE, AG/BVUS</t>
  </si>
  <si>
    <t>THE PEA RIDGE POLICE DEPARTMENT WILL USE THIS VEHICLE TO HELP OFFICERS ASSIST WITH OUR CITY'S MOUNTAIN AND ROAD BIKE TRAILS. PEA RIDGE IS A GROWING COMMUNITY, AND NORTHWEST ARKANSAS IS A HUB FOR BICYCLES FROM ALL OVER THE WORLD. OUR TRADITIONAL POLICE VEHICLES DO NOT ALLOW US TO ACCESS THE MORE RURAL PARTS OF OUR CITY ESPECIALLY THE BIKE TRAILS. THIS VEHICLE WILL BE USED TO ACCESS THOSE AREAS DURING EMERGENCY CALLS. THIS WILL BE USED FOR LAW ENFORCEMENT PURPOSES ONLY.</t>
  </si>
  <si>
    <t>2YTJGP53609387</t>
  </si>
  <si>
    <t>2YTJGP53609384</t>
  </si>
  <si>
    <t>PRAIRIE GROVE POLICE DEPT (2YTJWR)</t>
  </si>
  <si>
    <t>2YTJWR53539575</t>
  </si>
  <si>
    <t>WRENCH,TIRE</t>
  </si>
  <si>
    <t>FOR POLICE USE. TIRE WRENCHES WILL BE PLACED IN POLICE PATROL VEHICLES AND USED WHEN NEEDED. WRENCHES WILL BE USED BY OFFICER WHEN CHANGING TIRES ON VEHICLES AS NEEDED.</t>
  </si>
  <si>
    <t>2YTJWR53609576</t>
  </si>
  <si>
    <t>DSTOOLBOX</t>
  </si>
  <si>
    <t>TOOLBOX</t>
  </si>
  <si>
    <t>FOR POLICE USE. TOOLBOXES WILL REPLACE OLDER TOLL BOXES. TOOL BOXES WILL BE USED FOR STORAGE OF TOOLS WHEN NEEDED TO WORK ON POLICE VEHICLES OR OTHER POLICE EQUIPMENT.</t>
  </si>
  <si>
    <t>2YTJWR53539578</t>
  </si>
  <si>
    <t>TACTICAL ASSAULT PA</t>
  </si>
  <si>
    <t>FOR POLICE USE. PACKS WILL BE USED FOR STORAGE OF POLICE EQUIPMENT. PACKS CAN BE USED FOR THE FIRING RANGE TO STORE POLICE GEAR AND OTHER NEEDED EQUIPMENT.</t>
  </si>
  <si>
    <t>TEXARKANA POLICE DEPT (2YTLR8)</t>
  </si>
  <si>
    <t>2YTLR860655015</t>
  </si>
  <si>
    <t>DSSAFERES</t>
  </si>
  <si>
    <t>SAFETY AND RESCUE EQUIPMENT</t>
  </si>
  <si>
    <t>THE TEXARKANA POLICE DEPARTMENT WILL USE THE GAS MASKS TO PROTECT OFFICERS DURING CRITICAL INCIDENTS INVOLVING HAZARDOUS ENVIRONMENTS, CHEMICAL IRRITANTS, SMOKE, OR AIRBORNE CONTAMINANTS. THIS EQUIPMENT WILL ENSURE OPERATIONAL CAPABILITY AND OFFICER SAFETY DURING TACTICAL OPERATIONS, DISASTER RESPONSE, AND TRAINING SCENARIOS WHILE MAINTAINING CONTINUITY OF PUBLIC SAFETY SERVICES. LAW ENFORCEMENT ONLY.</t>
  </si>
  <si>
    <t>2YTLR860372441</t>
  </si>
  <si>
    <t>HAMMER,DEMOLITION,ELECTRIC,PORTABLE</t>
  </si>
  <si>
    <t>THE TEXARKANA POLICE DEPARTMENT WILL USE THE POWER TOOLS TO SUPPORT PROPERTY PRESERVATION, EVIDENCE RECOVERY, TRAINING AIDS CONSTRUCTION, AND OPERATIONAL READINESS DURING CRITICAL INCIDENTS. THESE TOOLS WILL ALLOW OFFICERS TO SAFELY ACCESS STRUCTURES, REMOVE HAZARDS, AND BUILD REALISTIC TRAINING ENVIRONMENTS WHILE PROTECTING EVIDENTIARY INTEGRITY AND PUBLIC SAFETY DURING LAW ENFORCEMENT OPERATIONS. FOR LAW ENFORCEMENT ONLY.</t>
  </si>
  <si>
    <t>2YTLR860372444</t>
  </si>
  <si>
    <t>DSTOOLBXD</t>
  </si>
  <si>
    <t>TOOL AND HARDWARE BOXES</t>
  </si>
  <si>
    <t>THE TEXARKANA POLICE DEPARTMENT WILL USE THE STORAGE CONTAINER FOR CRITICAL STORAGE AND SECURE TRANSPORT OF ASSETS RELATED TO HUMAN TRAFFICKING INVESTIGATIONS, PROPERTY PRESERVATION, AND TRAINING AIDS. THIS UNIT WILL ENHANCE OPERATIONAL READINESS BY PROVIDING A DURABLE, WEATHER-RESISTANT SOLUTION FOR SAFEGUARDING SENSITIVE EQUIPMENT AND MATERIALS. FOR LAW ENFORCEMENT ONLY.</t>
  </si>
  <si>
    <t>2YTLR860372529</t>
  </si>
  <si>
    <t>GENERATOR SET,DIESEL ENGINE</t>
  </si>
  <si>
    <t>THE TEXARKANA POLICE DEPARTMENT WILL USE THE GENERATOR TO POWER AN EMERGENCY OPERATIONS CENTER DURING CRITICAL INCIDENTS, DISASTERS, AND PROLONGED OUTAGES. THIS CAPABILITY ENSURES UNINTERRUPTED COMMUNICATIONS, LIGHTING, AND ESSENTIAL EQUIPMENT NEEDED TO COORDINATE RESPONSE EFFORTS, PROTECT PUBLIC SAFETY, AND MAINTAIN OPERATIONAL CONTINUITY IN AUSTERE CONDITIONS. FOR LAW ENFORCEMENT ONLY.</t>
  </si>
  <si>
    <t>2YTLR860442889</t>
  </si>
  <si>
    <t>2YTLR86082JG01</t>
  </si>
  <si>
    <t>CONTAINER,FREIGHT,G</t>
  </si>
  <si>
    <t>AZ</t>
  </si>
  <si>
    <t>ARIZONA DEPT OF PUBLIC SAFETY (2YTJLV)</t>
  </si>
  <si>
    <t>2YTJLV53186802</t>
  </si>
  <si>
    <t>THE SAFETY HELMETS WILL BE USED BY FACILITIES DIVISION OF DPS WHEN WORKING IN AREAS WHERE HARD-HATS AND OTHER SAFETY SITUATIONS ARE NEEDED. 
THE HATS WILL BE USED THROUGHOUT THE STATE.</t>
  </si>
  <si>
    <t>TONTO APACHE POLICE DEPARTMENT (2YTRQ7)</t>
  </si>
  <si>
    <t>2YTRQ760442720</t>
  </si>
  <si>
    <t>TRUCK TRACTOR</t>
  </si>
  <si>
    <t>THE TRUCK WILL BE USED BY THE TONTO POLICE OFFICERS TO TRANSPORT ITEMS RECEIVED AND RETURNED FOR THE LESO PROGRAM.</t>
  </si>
  <si>
    <t>2YTRQ760442798</t>
  </si>
  <si>
    <t>LIGHTWEIGHT MAINTENANCE ENCLOSURE, GREEN</t>
  </si>
  <si>
    <t>SHELTER WILL BE USED BY OFFICERS OF TONTO APACHE POLICE DEPARTMENT TO PROTECT POLICE EQUIPMENT FROM INCLEMENT WEATHER AND TO PROTECT EQUIPMENT FROM THE ARIZONA SUN.</t>
  </si>
  <si>
    <t>TUCSON POLICE DEPT (2YTLZ8)</t>
  </si>
  <si>
    <t>2YTLZ860442772</t>
  </si>
  <si>
    <t>DSWELDER0</t>
  </si>
  <si>
    <t>ELECTRIC ARC WELDING EQUIPMENT</t>
  </si>
  <si>
    <t>THE TUCSON POLICE DEPT IS REQUESTING THIS EQUIPMENT TO CREATE PROTESTOR DEVICES TO BE USED FOR TRAINING THE RAPID RESPONSE UNIT IN DEFEATING PROTESTOR DEVICES THAT COULD BE ENCOUNTERED AT DEMONSTRATIONS.</t>
  </si>
  <si>
    <t>2YTLZ860725338</t>
  </si>
  <si>
    <t>TOOL KIT,WELDER'S</t>
  </si>
  <si>
    <t>THE TUCSON POLICE DEPARTMENT IS SEEKING THIS TOOL SET TO BE UTILIZED ALONG WITH THE WELDER WE OBTAINED TO CREATE TRAINING AIDS FOR THE RAPID RESPONSE TEAM</t>
  </si>
  <si>
    <t>2YTLZ860372201</t>
  </si>
  <si>
    <t>DETECTING SET,MINE</t>
  </si>
  <si>
    <t>THE TUCSON POLICE DEPT IS REQUESTING THIS MINE DETECTING EQUIPMENT TO BE USED BY THE HOMICIDE UNIT IN CHECKING CRIME SCENES FOR ITEMS SUCH AS SHELL CASING AND OTHER ITEMS OF EVIDENCE THAT MIGHT BE MISSED WITH VISUAL INSPECTION ONLY.</t>
  </si>
  <si>
    <t>2YTLZ860372202</t>
  </si>
  <si>
    <t>2YTLZ860584126</t>
  </si>
  <si>
    <t>DSCASE003</t>
  </si>
  <si>
    <t>CASE</t>
  </si>
  <si>
    <t>THE TUCSON POLICE DEPARTMENT IS SEEKING THESE CASES TO BE USED TO STORE ITEMS USED IN PATROL DUTIES AND INVESTIGATIONS WHILE THOSE ITEMS ARE STORED IN PATROL AND DETECTIVE VEHICLES.</t>
  </si>
  <si>
    <t>YUMA POLICE DEPT (2YTN1M)</t>
  </si>
  <si>
    <t>2YTN1M60161136</t>
  </si>
  <si>
    <t>TOTAL CONTAINMENT VESSEL</t>
  </si>
  <si>
    <t xml:space="preserve">EQUIPMENT TO BE USED BY SWORN LAW ENFORCEMENT PERSONNEL WHO ARE PART OF A REGIONAL EOD BOMB SQUAD RESPONDING TO REGIONAL INCIDENTS TO TRANSPORT SUSPECTED IMPROVISED EXPLOSIVE DEVICES AND DISPOSE OF SUCH EXPLOSIVES OR MILITARY GRADE MUNITIONS.  
</t>
  </si>
  <si>
    <t>2YTN1M60655280</t>
  </si>
  <si>
    <t>LOADER,SCOOP TYPE</t>
  </si>
  <si>
    <t>EQUIPMENT TO BE USED BY SWORN LAW ENFORCEMENT OFFICERS TO MAINTAIN THE POLICE FIREARMS TRAINING RANGE AND THE REGIONAL PUBLIC SAFETY TRAINING FACILITY.</t>
  </si>
  <si>
    <t>2YTN1M60514038</t>
  </si>
  <si>
    <t>DSWHSETRA</t>
  </si>
  <si>
    <t>WAREHOUSE TRUCKS AND TRACTORS, SELF-PROP</t>
  </si>
  <si>
    <t>PALLET LIFT TO BE USED BY SWORN LAW ENFORCEMENT OFFICERS AND TRAINING PERSONNEL TO MOVE LARGE ITEMS SUCH AS PALLETIZED AMMUNITION AND SUPPORT EQUIPMENT WITHIN THE POLICE FACILITIES.</t>
  </si>
  <si>
    <t>2YTN1M60583797</t>
  </si>
  <si>
    <t>TOOLBOXES TO BE USED BY SWORN LAW ENFORCEMENT OFFICERS TO STORE AND CARRY TOOLS AND SUPPLIES TO SUPPORT TRAFFIC ACCIDENT INVESTIGATIONS, SPECIAL ENFORCEMENT TEAM DEPLOYMENTS, AND MAJOR INCIDENT INVESTIGATIONS.</t>
  </si>
  <si>
    <t>2YTN1M60513324</t>
  </si>
  <si>
    <t>GENERATOR WILL BE MOUNTED ON A TOTAL CONTAINMENT VESSEL FOR USE BY SWORN LAW ENFORCEMENT EOD PERSONNEL AS A POWER SOURCE FOR THE EQUIPMENT.</t>
  </si>
  <si>
    <t>2YTN1M60584034</t>
  </si>
  <si>
    <t>CONTAINER,CARGO</t>
  </si>
  <si>
    <t>SHIPPING CONTAINER TO BE USED BY SWORN LAW ENFORCEMENT TRAINING PERSONNEL TO STORE SUPPORT EQUIPMENT, TRAINING MATERIAL AND OFF-ROAD VEHICLE AT POLICE TRAINING RANGE.</t>
  </si>
  <si>
    <t>2YTN1M60584035</t>
  </si>
  <si>
    <t>SHIPPING CONTAINER TO BE USED BY SWORN LAW ENFORCEMENT OFFICERS FOR STORAGE OF SUPPORT EQUIPMENT FOR FACILITY MAINTENANCE.</t>
  </si>
  <si>
    <t>CA</t>
  </si>
  <si>
    <t>ORANGE COUNTY SHERIFFS DEPT (2YT14Z)</t>
  </si>
  <si>
    <t>2YT14Z53468371</t>
  </si>
  <si>
    <t>CLEANING KIT,GUN</t>
  </si>
  <si>
    <t>THESE ITEMS WOULD BE USED BY THE ORANGE COUNTY SHERIFF'S DEPARTMENT. THESE ITEMS WOULD BE ISSUED TO NEW OR EXISTING CERT MEMBERS TO HELP THEM CLEAN AND SERVICE THEIR DUTY RIFLES AFTER TRAININGS, DEPLOYMENTS OR OTHER GENERAL CLEANING.</t>
  </si>
  <si>
    <t>2YT14Z60372131</t>
  </si>
  <si>
    <t>ROD,CLEANING,SMALL</t>
  </si>
  <si>
    <t>THESE ITEM WOULD BE USED BY THE ORANGE COUNTY SHERIFF'S DEPARTMENT. THESE ITEMS WOULD BE ISSUED TO OUR SWORN RANGE STAFF TO ASSIST WITH CLEANING AND MAINTAINING DEPARTMENT ISSUED FIREARMS BOTH WHILE IN SERVICE OR BEFORE BEING ISSUED OUT TO OUR SWORN STAFF</t>
  </si>
  <si>
    <t>2YT14Z53468369</t>
  </si>
  <si>
    <t>CLEANING KIT, GUN</t>
  </si>
  <si>
    <t>2YT14Z60795695</t>
  </si>
  <si>
    <t>THIS ITEM WOULD BE USED BY THE ORANGE COUNTY SHERIFF'S DEPARTMENT. THIS KIND OF ITEM HAS BEEN REQUESTED BY A FEW OF OUR DIVISIONS. OUR RANGE AND TRAINING DIVISION HAS ASKED FOR A TRANSPORTATION SOLUTION TO HAUL AMMUNITION AND TRAINING AIDS AROUND THEIR GROUNDS. OUR AIR SUPPORT DIVISION HAS ASKED FOR A CART TO BE ABLE TO DRIVE ON THE AIRFIELD FOR ESCORTS. OUR MOUNTED ENFORCEMENT UNIT HAS ASK FOR A CART TO HAUL FEED AND SUPPLIES TO THEIR STABLES.</t>
  </si>
  <si>
    <t>2YT14Z60795694</t>
  </si>
  <si>
    <t>2YT14Z53529465</t>
  </si>
  <si>
    <t>DSAIRCOND</t>
  </si>
  <si>
    <t>AIR CONDITIONER</t>
  </si>
  <si>
    <t>THESE ITEMS WOULD BE USED BY THE ORANGE COUNTY SHERIFF'S DEPARTMENT. THESE UNITS WOULD BE USED TO REPLACE 1 BROKEN UNIT AT OUR SOUTH CITIES SUBSTATION WHERE DEPUTIES TAKE BREAKS AND WRITE REPORTS. THE OTHER ONE WOULD BE USED TO PUT AC IN OUR COMMISSARY BUILDING WHERE DEPUTIES AND STAFF ARRANGE SUPPLIES FOR THE JAILS AND WAREHOUSES.</t>
  </si>
  <si>
    <t>2YT14Z60372364</t>
  </si>
  <si>
    <t>SHELTER: TACTICAL EXPA</t>
  </si>
  <si>
    <t>THIS ITEM WOULD BE USED BY THE ORANGE COUNTY SHERIFF'S DEPARTMENT. OUR MOUNTED UNIT AND K9 UNIT HAVE ASKED SOLUTIONS FOR AN OUTDOOR STORAGE, OFFICE AND WORKSHOP TO BE PLACE IN THEIR OUTDOOR AREA AT OUR MUSICK JAIL FACILITY. THE ITEMS WOULD BE USED TO HOUSE EQUESTRIAN EQUIPMENT AND TOOLS NEEDED TO CAR FOR AND MAINTAIN OUR MOUNTED UNIT'S HORSES. THE K9 UNIT WANTS A WORKSHOP TO USE FOR TRAINING AIDES, FOOD STORAGE, KENNEL EQUIPMENT AND TABLES FOR PAPERWORK.</t>
  </si>
  <si>
    <t>2YT14Z60372365</t>
  </si>
  <si>
    <t>2YT14Z60866442</t>
  </si>
  <si>
    <t>BAG,COMBAT CASUALTY</t>
  </si>
  <si>
    <t>THIS ITEM COULD BE USED BY THE ORANGE COUNTY SHERIFF'S DEPARTMENT. THIS ITEM COULD BE ISSUED TO FIELD SUPERVISORS, SCHOOL RESOURCE DEPUTIES, OUR SRT SUPERVISORS OR SWAT UNITS TO USE IN RESPONSE TO CRITICAL INCIDENTS, ACTIVE SHOOTER OR OIS CALLS FOR SERVICE.</t>
  </si>
  <si>
    <t>2YT14Z60442645</t>
  </si>
  <si>
    <t>DSGAME000</t>
  </si>
  <si>
    <t>GAMES, TOYS, WHEELED, GOODS</t>
  </si>
  <si>
    <t>THIS ITEM WOULD BE USED BY THE ORANGE COUNTY SHERIFF'S DEPARTMENT. THIS ITEM COULD BE ISSUED TO ANY ONE OF OUR DIVISIONS TO BE USED IN THE STATIONS OR BREAKROOMS. THE ITEM WOULD BE USED TO PROVIDE A SNACK OPTION TO SWORN AND PROFESSIONAL STAFF. IT HELPS BOOST MORAL AT THE FACILITIES AS WELL.</t>
  </si>
  <si>
    <t>2YT14Z60866715</t>
  </si>
  <si>
    <t>TENT,COMBAT,TWO MAN</t>
  </si>
  <si>
    <t>THESE ITEMS WOULD BE USED BY THE ORANGE COUNTY SHERIFF'S DEPARTMENT. THESE ITEMS COULD BE USED BY SHERIFF'S PERSONNEL AS TEMPORARY SHELTER OR HOUSING DURING OVERNIGHT OR EXTENDED DEPLOYMENTS, CALL OUTS, SEARCH AND RESCUE OPERATIONS, NATURAL DISASTER, MASS CASUALTY OR JAIL HOUSING CLOSURES. OUR SWAT SNIPERS HAVE ALSO USED SIMILAR ITEMS FOR CONCEALMENT DURING OPERATIONS.</t>
  </si>
  <si>
    <t>2YT14Z60372133</t>
  </si>
  <si>
    <t>BAG DEMOLITION EQUIPMENT</t>
  </si>
  <si>
    <t>THESE ITEMS WOULD BE USED BY THE ORANGE COUNTY SHERIFF'S DEPARTMENT. THESE ITEMS WOULD BE ISSUED OUT TO OUR EXPLOSIVES DETECTION TEAM OR BOMB SQUAD TO HELP CARRY, SECURE OR TRANSPORT THEIR EQUIPMENT DURING TRAINING OR CALL OUTS IN THE FIELD.</t>
  </si>
  <si>
    <t>SACRAMENTO CSO (2YTKJH)</t>
  </si>
  <si>
    <t>2YTKJH53468479</t>
  </si>
  <si>
    <t>I AM A SERGEANT WITH THE SACRAMENTO COUNTY SHERIFF'S OFFICE. I HAVE BEEN TASKED WITH LOCATING EQUIPMENT AND RESOURCES FOR THE SHERIFF'S OFFICE. THE EQUIPMENT- RESOURCES OBTAINED WILL ENHANCE THE SHERIFF OFFICE'S READINESS AND RESPONSE CAPABILITIES.</t>
  </si>
  <si>
    <t>SAN LUIS OBISPO POLICE DEPT (2YTKPM)</t>
  </si>
  <si>
    <t>2YTKPM60231471</t>
  </si>
  <si>
    <t>THESE SIGHTS WILL BE USED BY THE SAN LUIS OBISPO POLICE DEPARTMENT SWAT TEAM IN TRAINING, AND HOSTAGE RESCUE OPERATIONS</t>
  </si>
  <si>
    <t>2YTKPM60231779</t>
  </si>
  <si>
    <t>ILLUMINATOR,LA5PEQ</t>
  </si>
  <si>
    <t>THESE ILLUMINATORS WILL BE USED BY THE SAN LUIS OBISPO POLICE DEPARTMENT SWAT TEAM IN HOSTAGE RESCUE OPERATIONS, TRAINING, ETC. -EMAIL SENT REGARDING ITEM CONDITION-</t>
  </si>
  <si>
    <t>TEHAMA CSO (2YTLQ7)</t>
  </si>
  <si>
    <t>2YTLQ760786826</t>
  </si>
  <si>
    <t>DSMIRROR0</t>
  </si>
  <si>
    <t>VEHICLE MIRROR</t>
  </si>
  <si>
    <t>THE TEHAMA COUNTY SHERIFF'S OFFICE WILL USE VEHICLE MIRROR, INDOOR CONVEX SAFETY MIRROR AT BLIND ENTRY AND EXIT POINTS FOR DEPUTY SAFETY AND TO PROVIDE SITUATIONAL AWARENESS PRIOR TO ENTREING DIFICULT TO SEE AREAS.</t>
  </si>
  <si>
    <t>2YTLQ760655275</t>
  </si>
  <si>
    <t>THE TEHAMA COUNTY SHERIFF'S OFFICE WILL USE ELECTRIC ARC WELDING EQUIPMENT AS TOOLS FOR DEPUTIES TO MAKE METAL RANGE TARGETS, REPAIR METAL FRAMES AT THE RANGE AND TO MANAGE REPAIRS AND MODIFICATIONS TO TACTICAL VEHICLE.</t>
  </si>
  <si>
    <t>2YTLQ760655276</t>
  </si>
  <si>
    <t>DSMISCWEL</t>
  </si>
  <si>
    <t>MISCELLANEOUS WELDING EQUIPMENT</t>
  </si>
  <si>
    <t>THE TEHAMA COUNTY SHERIFF'S OFFICE WILL USE MISCELLANEOUS WELDING EQUIPMENT AS TOOLS FOR DEPUTIES TO MAKE METAL RANGE TARGETS, REPAIR METAL FRAMES AT THE RANGE AND TO MANAGE REPAIRS AND MODIFICATIONS TO TACTICAL VEHICLE.</t>
  </si>
  <si>
    <t>2YTLQ760504032</t>
  </si>
  <si>
    <t>SWEEPER,MAGNET,SELF</t>
  </si>
  <si>
    <t>THE TEHAMA COUNTY SHERIFF'S OFFICE WILL USE SWEEPER, MAGNET, SELF PROPELLED AS TOOLS FOR DEPUTIES TO CLEAR NAILS, SCREWS AND OTHER TIRE HAZARDS FROM PATROL VEHICLE PARKING AREAS.</t>
  </si>
  <si>
    <t>2YTLQ760230962</t>
  </si>
  <si>
    <t>DSCART001</t>
  </si>
  <si>
    <t>HAND CART</t>
  </si>
  <si>
    <t>THE TEHAMA COUNTY SHERIFF'S OFFICE WILL USE HAND CART IN THE DEPUTY EQUIPMENT AREA, MOVING ITEMS, LOADING AND UNLOADING DEPARTMENT GEAR.</t>
  </si>
  <si>
    <t>2YTLQ753609274</t>
  </si>
  <si>
    <t>THE TEHAMA COUNTY SHERIFF'S OFFICE WILL USE FORKLIFT TO REPLACE A  BROKEN LIFT USED TO MOVE EVIDENCE ITEMS, DEPARTMENT EQUIPMENT, EMERGENCY SUPPLIES AND DEPARTMENT DELIVERIES AT THE ANTELOPE OFFICE OF THE SHERIFF'S DEPARTMENT.</t>
  </si>
  <si>
    <t>2YTLQ760504036</t>
  </si>
  <si>
    <t>REPLACEMENT CASTER</t>
  </si>
  <si>
    <t>THE TEHAMA COUNTY SHERIFF'S OFFICE WILL USE REPLACEMENT CASTERS TO REPAIR DEPARTMENT EQUIPMENT.</t>
  </si>
  <si>
    <t>2YTLQ760080656</t>
  </si>
  <si>
    <t>FAN,VENTILATING</t>
  </si>
  <si>
    <t>THE TEHAMA COUNTY SHERIFF'S OFFICE WILL USE FAN, VENTILATING AS INSTALLED EQUIPMENT IN CONEX AND OTHER EVIDENCE STORAGE LOCATIONS TO VENT HOT AIR AND SMELLS AWAY FROM THE DEPUTY WORK AREAS AND TO PREVENT HEAT BUILDUP.</t>
  </si>
  <si>
    <t>2YTLQ760160440</t>
  </si>
  <si>
    <t>LIFE PRESERVER ACCESSORY KIT</t>
  </si>
  <si>
    <t>THE TEHAMA COUNTY SHERIFF'S OFFICE WILL USE LIFE PRESERVER ACCESSORY KIT TO ISSUE TO OUR BOAT PATROL AND SEARCH AND RESCUE UNITS FOR PATROL AND RESCUE OPERATIONS.</t>
  </si>
  <si>
    <t>2YTLQ760230963</t>
  </si>
  <si>
    <t>CHUCK,AIR,INFLATING</t>
  </si>
  <si>
    <t>THE TEHAMA COUNTY SHERIFF'S OFFICE WILL USE CHUCK, AIR INFLATING AS TOOLS FOR DEPUTIES TO FILL PATROL CAR TIRES, TRAILER TIRES AND EMERGENCY RESPONSE TRAILER TIRES.</t>
  </si>
  <si>
    <t>2YTLQ760221816</t>
  </si>
  <si>
    <t>CLAMP,HOSE</t>
  </si>
  <si>
    <t>THE TEHAMA COUNTY SHERIFF'S OFFICE WILL USE CLAMP, HOSE IN PATROL VEHICLES AND EMERGENCY RESPONSE VEHICLES TO MAINTAIN UNITS FOR DEPUTY USE.</t>
  </si>
  <si>
    <t>2YTLQ760221818</t>
  </si>
  <si>
    <t>THE TEHAMA COUNTY SHERIFF'S OFFICE WILL USE CLAMP, HOSE TO FIX AND MAINTAIN DEPARTMENT VEHICLES AND EQUIPMENT FOR DEPUTY USE.</t>
  </si>
  <si>
    <t>2YTLQ760230993</t>
  </si>
  <si>
    <t>SHEARS,METAL CUTTING,HAND</t>
  </si>
  <si>
    <t>THE TEHAMA COUNTY SHERIFF'S OFFICE WILL USE SHEARS,METAL CUTTING,HAND AS TOOLS TO FIX AND MAINTAIN PATROL UNITS AT THE SHERIFF'S AUTO SHOP AND PATROL BOATS AT THE BOATING STORAGE FACILITY.  THE SHERIFF'S OFFICE IS PUTTING TOGETHER TOOL KITS FOR EACH PATROL VEHICLE, EMERGENCY RESPONSE VEHICLE AND INVESTIGATIVE UNIT FOR ROADSIDE USE AND EVIDENCE COLLECTION.</t>
  </si>
  <si>
    <t>2YTLQ760160435</t>
  </si>
  <si>
    <t>PLIERS,DIAGONAL CUTTING</t>
  </si>
  <si>
    <t>THE TEHAMA COUNTY SHERIFF'S OFFICE WILL USE 	PLIERS,DIAGONAL CUTTING AS TOOLS TO FIX AND MAINTAIN PATROL UNITS AT THE SHERIFF'S AUTO SHOP AND PATROL BOATS AT THE BOATING STORAGE FACILITY.  THE KIT WILL ALSO BE USED TO FIX, REPAIR AND MAINTAIN SHERIFF'S FACILITIES.</t>
  </si>
  <si>
    <t>2YTLQ760231005</t>
  </si>
  <si>
    <t>WRENCH,OPEN END</t>
  </si>
  <si>
    <t>THE TEHAMA COUNTY SHERIFF'S OFFICE WILL USE WRENCH, OPEN END AS TOOLS TO FIX AND MAINTAIN PATROL UNITS AT THE SHERIFF'S AUTO SHOP AND PATROL BOATS AT THE BOATING STORAGE FACILITY.  THE SHERIFF'S OFFICE IS PUTTING TOGETHER TOOL KITS FOR EACH PATROL VEHICLE, EMERGENCY RESPONSE VEHICLE AND INVESTIGATIVE UNIT FOR ROADSIDE USE AND EVIDENCE COLLECTION.</t>
  </si>
  <si>
    <t>2YTLQ760231000</t>
  </si>
  <si>
    <t>PLIERS,SLIP JOINT</t>
  </si>
  <si>
    <t>THE TEHAMA COUNTY SHERIFF'S OFFICE WILL USE PLIERS,SLIP JOINT AS TOOLS TO FIX AND MAINTAIN PATROL UNITS AT THE SHERIFF'S AUTO SHOP AND PATROL BOATS AT THE BOATING STORAGE FACILITY.  THE SHERIFF'S OFFICE IS PUTTING TOGETHER TOOL KITS FOR EACH PATROL VEHICLE, EMERGENCY RESPONSE VEHICLE AND INVESTIGATIVE UNIT FOR ROADSIDE USE AND EVIDENCE COLLECTION.</t>
  </si>
  <si>
    <t>2YTLQ760230991</t>
  </si>
  <si>
    <t>WRENCH,RATCHET</t>
  </si>
  <si>
    <t>THE TEHAMA COUNTY SHERIFF'S OFFICE WILL USE WRENCH,RATCHET AS TOOLS TO FIX AND MAINTAIN PATROL UNITS AT THE SHERIFF'S AUTO SHOP AND PATROL BOATS AT THE BOATING STORAGE FACILITY.  THE SHERIFF'S OFFICE IS PUTTING TOGETHER TOOL KITS FOR EACH PATROL VEHICLE, EMERGENCY RESPONSE VEHICLE AND INVESTIGATIVE UNIT FOR ROADSIDE USE AND EVIDENCE COLLECTION.</t>
  </si>
  <si>
    <t>2YTLQ760230990</t>
  </si>
  <si>
    <t>AWL,SCRATCH</t>
  </si>
  <si>
    <t>THE TEHAMA COUNTY SHERIFF'S OFFICE WILL USE AWL,SCRATCH AS TOOLS TO FIX AND MAINTAIN PATROL UNITS AT THE SHERIFF'S AUTO SHOP AND PATROL BOATS AT THE BOATING STORAGE FACILITY.  THE SHERIFF'S OFFICE IS PUTTING TOGETHER TOOL KITS FOR EACH PATROL VEHICLE, EMERGENCY RESPONSE VEHICLE AND INVESTIGATIVE UNIT FOR ROADSIDE USE AND EVIDENCE COLLECTION.</t>
  </si>
  <si>
    <t>2YTLQ760230989</t>
  </si>
  <si>
    <t>SOCKET,SOCKET WRENC</t>
  </si>
  <si>
    <t>THE TEHAMA COUNTY SHERIFF'S OFFICE WILL USE SOCKET,SOCKET WRENC AS TOOLS TO FIX AND MAINTAIN PATROL UNITS AT THE SHERIFF'S AUTO SHOP AND PATROL BOATS AT THE BOATING STORAGE FACILITY.  THE SHERIFF'S OFFICE IS PUTTING TOGETHER TOOL KITS FOR EACH PATROL VEHICLE, EMERGENCY RESPONSE VEHICLE AND INVESTIGATIVE UNIT FOR ROADSIDE USE AND EVIDENCE COLLECTION.</t>
  </si>
  <si>
    <t>2YTLQ760230987</t>
  </si>
  <si>
    <t>DSWRENCH0</t>
  </si>
  <si>
    <t>WRENCH</t>
  </si>
  <si>
    <t>THE TEHAMA COUNTY SHERIFF'S OFFICE WILL USE WRENCH AS TOOLS TO FIX AND MAINTAIN PATROL UNITS AT THE SHERIFF'S AUTO SHOP AND PATROL BOATS AT THE BOATING STORAGE FACILITY.  THE SHERIFF'S OFFICE IS PUTTING TOGETHER TOOL KITS FOR EACH PATROL VEHICLE, EMERGENCY RESPONSE VEHICLE AND INVESTIGATIVE UNIT FOR ROADSIDE USE AND EVIDENCE COLLECTION.</t>
  </si>
  <si>
    <t>2YTLQ760230986</t>
  </si>
  <si>
    <t>2YTLQ760230982</t>
  </si>
  <si>
    <t>DSSOCKET0</t>
  </si>
  <si>
    <t>SOCKET</t>
  </si>
  <si>
    <t>THE TEHAMA COUNTY SHERIFF'S OFFICE WILL USE SOCKET AS TOOLS TO FIX AND MAINTAIN PATROL UNITS AT THE SHERIFF'S AUTO SHOP AND PATROL BOATS AT THE BOATING STORAGE FACILITY.  THE SHERIFF'S OFFICE IS PUTTING TOGETHER TOOL KITS FOR EACH PATROL VEHICLE, EMERGENCY RESPONSE VEHICLE AND INVESTIGATIVE UNIT FOR ROADSIDE USE AND EVIDENCE COLLECTION.</t>
  </si>
  <si>
    <t>2YTLQ760583787</t>
  </si>
  <si>
    <t>SCREWDRIVER,CROSS TIP</t>
  </si>
  <si>
    <t>THE TEHAMA COUNTY SHERIFF'S OFFICE WILL USE SCREWDRIVER,CROSS TIP AS TOOLS TO FIX AND MAINTAIN PATROL UNITS AT THE SHERIFF'S AUTO SHOP AND PATROL BOATS AT THE BOATING STORAGE FACILITY.</t>
  </si>
  <si>
    <t>2YTLQ760231008</t>
  </si>
  <si>
    <t>SCREWDRIVER ATTACHMENT,SOCKET WRENCH</t>
  </si>
  <si>
    <t>THE TEHAMA COUNTY SHERIFF'S OFFICE WILL USE SCREWDRIVER ATTACHMENT,SOCKET WRENCH AS TOOLS TO FIX AND MAINTAIN PATROL UNITS AT THE SHERIFF'S AUTO SHOP AND PATROL BOATS AT THE BOATING STORAGE FACILITY.  THE SHERIFF'S OFFICE IS PUTTING TOGETHER TOOL KITS FOR EACH PATROL VEHICLE, EMERGENCY RESPONSE VEHICLE AND INVESTIGATIVE UNIT FOR ROADSIDE USE AND EVIDENCE COLLECTION.</t>
  </si>
  <si>
    <t>2YTLQ760583773</t>
  </si>
  <si>
    <t>HOLDER,SCREWDRIVER BIT</t>
  </si>
  <si>
    <t>THE TEHAMA COUNTY SHERIFF'S OFFICE WILL USE HOLDER,SCREWDRIVER BIT AS TOOLS TO FIX AND MAINTAIN PATROL UNITS AT THE SHERIFF'S AUTO SHOP AND PATROL BOATS AT THE BOATING STORAGE FACILITY.  THE KIT WILL ALSO BE USED TO FIX, REPAIR AND MAINTAIN SHERIFF'S FACILITIES.</t>
  </si>
  <si>
    <t>2YTLQ760583774</t>
  </si>
  <si>
    <t>SCREWDRIVER,FLAT TIP</t>
  </si>
  <si>
    <t>THE TEHAMA COUNTY SHERIFF'S OFFICE WILL USE SCREWDRIVER,FLAT TIP AS TOOLS TO FIX AND MAINTAIN PATROL UNITS AT THE SHERIFF'S AUTO SHOP AND PATROL BOATS AT THE BOATING STORAGE FACILITY.  THE KIT WILL ALSO BE USED TO FIX, REPAIR AND MAINTAIN SHERIFF'S FACILITIES.</t>
  </si>
  <si>
    <t>2YTLQ760583775</t>
  </si>
  <si>
    <t>THE TEHAMA COUNTY SHERIFF'S OFFICE WILL USE SCREWDRIVER,FLAT TIP AS TOOLS TO FIX AND MAINTAIN PATROL UNITS AT THE SHERIFF'S AUTO SHOP AND PATROL BOATS AT THE BOATING STORAGE FACILITY.  THE TOOLS WILL ALSO BE USED TO FIX, REPAIR AND MAINTAIN SHERIFF'S FACILITIES.</t>
  </si>
  <si>
    <t>2YTLQ760583776</t>
  </si>
  <si>
    <t>2YTLQ760583778</t>
  </si>
  <si>
    <t>THE TEHAMA COUNTY SHERIFF'S OFFICE WILL USE SCREWDRIVER,CROSS TIP AS TOOLS TO FIX AND MAINTAIN PATROL UNITS AT THE SHERIFF'S AUTO SHOP AND PATROL BOATS AT THE BOATING STORAGE FACILITY.  THE TOOLS WILL ALSO BE USED TO FIX, REPAIR AND MAINTAIN SHERIFF'S FACILITIES.</t>
  </si>
  <si>
    <t>2YTLQ760504031</t>
  </si>
  <si>
    <t>THE TEHAMA COUNTY SHERIFF'S OFFICE WILL USE KEY SET, SOCKET HEAD SCREW AS TOOLS FOR DEPUTIES TO MAKE MINOR REPAIRS TO EMERGENCY RESPONSE VEHICLES TO KEEP THEM AVAILABLE FOR USE.</t>
  </si>
  <si>
    <t>2YTLQ760301861</t>
  </si>
  <si>
    <t>DSDRILL02</t>
  </si>
  <si>
    <t>DRILL, POWER</t>
  </si>
  <si>
    <t>THE TEHAMA COUNTY SHERIFFS OFFICE WILL USE DRILL, POWER AS TOOLS TO FIX AND MAINTAIN SHERIFF BUILDINGS AND FACILITIES.  THE ITEMS WILL BE STORED AT THE MAIN OFFICE, JAIL FACILITY AND OR THE OFFICE OF EMERGENCY SERVICES STORAGE AREA.</t>
  </si>
  <si>
    <t>2YTLQ760231001</t>
  </si>
  <si>
    <t>BRUSH,WIRE,ROTARY WHEEL</t>
  </si>
  <si>
    <t>THE TEHAMA COUNTY SHERIFF'S OFFICE WILL USE BRUSH,WIRE,ROTARY WHEEL AS TOOLS TO FIX AND MAINTAIN PATROL UNITS AT THE SHERIFF'S AUTO SHOP AND PATROL BOATS AT THE BOATING STORAGE FACILITY.  THE SHERIFF'S OFFICE IS PUTTING TOGETHER TOOL KITS FOR EACH PATROL VEHICLE, EMERGENCY RESPONSE VEHICLE AND INVESTIGATIVE UNIT FOR ROADSIDE USE AND EVIDENCE COLLECTION.</t>
  </si>
  <si>
    <t>2YTLQ760301864</t>
  </si>
  <si>
    <t>2YTLQ760301866</t>
  </si>
  <si>
    <t>DSWRENCHP</t>
  </si>
  <si>
    <t>WRENCH, POWER</t>
  </si>
  <si>
    <t>THE TEHAMA COUNTY SHERIFFS OFFICE WILL USE WRENCH, POWER AS TOOLS TO FIX AND MAINTAIN SHERIFF BUILDINGS AND FACILITIES.  THE ITEMS WILL BE STORED AT THE MAIN OFFICE, JAIL FACILITY AND OR THE OFFICE OF EMERGENCY SERVICES STORAGE AREA.</t>
  </si>
  <si>
    <t>2YTLQ760301863</t>
  </si>
  <si>
    <t>2YTLQ760301862</t>
  </si>
  <si>
    <t>2YTLQ760301855</t>
  </si>
  <si>
    <t>DSTOOL000</t>
  </si>
  <si>
    <t>HAND TOOLS, POWER DRIVEN</t>
  </si>
  <si>
    <t>THE TEHAMA COUNTY SHERIFFS OFFICE WILL USE HAND TOOLS, POWER DRIVEN AS TOOLS TO FIX AND MAINTAIN SHERIFF BUILDINGS AND FACILITIES.  THE ITEMS WILL BE STORED AT THE MAIN OFFICE, JAIL FACILITY AND OR THE OFFICE OF EMERGENCY SERVICES STORAGE AREA.</t>
  </si>
  <si>
    <t>2YTLQ760301856</t>
  </si>
  <si>
    <t>2YTLQ760301859</t>
  </si>
  <si>
    <t>2YTLQ760301860</t>
  </si>
  <si>
    <t>2YTLQ760301853</t>
  </si>
  <si>
    <t>2YTLQ760301854</t>
  </si>
  <si>
    <t>2YTLQ760230992</t>
  </si>
  <si>
    <t>DSDRILLBI</t>
  </si>
  <si>
    <t>DRILL BITS, COUNTERBORES, COUNTERSINKS</t>
  </si>
  <si>
    <t>THE TEHAMA COUNTY SHERIFF'S OFFICE WILL USE DRILL BITS, COUNTERBORES, COUNTERSINKS AS TOOLS TO FIX AND MAINTAIN PATROL UNITS AT THE SHERIFF'S AUTO SHOP AND PATROL BOATS AT THE BOATING STORAGE FACILITY.  THE SHERIFF'S OFFICE IS PUTTING TOGETHER TOOL KITS FOR EACH PATROL VEHICLE, EMERGENCY RESPONSE VEHICLE AND INVESTIGATIVE UNIT FOR ROADSIDE USE AND EVIDENCE COLLECTION.</t>
  </si>
  <si>
    <t>2YTLQ760301868</t>
  </si>
  <si>
    <t>TOOL BOX,PORTABLE</t>
  </si>
  <si>
    <t>THE TEHAMA COUNTY SHERIFFS OFFICE WILL USE TOOL BOX,PORTABLE AS TOOLS TO FIX AND MAINTAIN SHERIFF BUILDINGS AND FACILITIES.  THE ITEMS WILL BE STORED AT THE MAIN OFFICE, JAIL FACILITY AND OR THE OFFICE OF EMERGENCY SERVICES STORAGE AREA.</t>
  </si>
  <si>
    <t>2YTLQ760442638</t>
  </si>
  <si>
    <t>THE TEHAMA COUNTY SHERIFF'S OFFICE WILL USE SETS, KITS AND OUTFITS OF HAND TOOLS AS TOOLS FOR DEPUTIES TO KEEP VEHICLES AND EQUIPMENT WORKING FOR EMERGENCY RESPONSE.  INCOMPLETE TOOL KITS WILL BE COMBINED TO FILL MISSING TOOL SPOTS.</t>
  </si>
  <si>
    <t>2YTLQ760442637</t>
  </si>
  <si>
    <t>2YTLQ760221824</t>
  </si>
  <si>
    <t>COTTER PIN ASSORTMENT</t>
  </si>
  <si>
    <t>AT</t>
  </si>
  <si>
    <t>THE TEHAMA COUNTY SHERIFF'S OFFICE WILL USE COTTER PIN ASSORTMENT TO REPLACE MISSING PINS ON DEPARTMENT TRAILERS AND HITCHES USED DURING LAW ENFORCEMENT EVIDENCE COLLECTION.</t>
  </si>
  <si>
    <t>2YTLQ760090091</t>
  </si>
  <si>
    <t>CASTER,SWIVEL</t>
  </si>
  <si>
    <t>THE TEHAMA COUNTY SHERIFF'S OFFICE WILL USE CASTER, SWIVEL TO REPAIR AND REPLACE BROKEN CASTERS ON DEPARTMENT TOOL BOXES AND TO BUILD ROLLING PALLET STORAGE FOR EASIER ACCESS TO DEPARTMENT EQUIPMENT.</t>
  </si>
  <si>
    <t>2YTLQ760080653</t>
  </si>
  <si>
    <t>LOCK,OFFICE MACHINE</t>
  </si>
  <si>
    <t>THE TEHAMA COUNTY SHERIFF'S OFFICE WILL USE LOCK, OFFICE MACHINE AND COMPUTER AS SECURITY FOR DEPARTMENT EQUIPMENT AND MOBILE COMPUTER DEVICES.</t>
  </si>
  <si>
    <t>2YTLQ760655253</t>
  </si>
  <si>
    <t>WALL,PROTECTIVE,RAP</t>
  </si>
  <si>
    <t>THE TEHAMA COUNTY SHERIFF'S OFFICE WILL USE WALL, PROTECTIVE, RAP FOR RANGE SAFETY IMPROVEMENTS, INCLUDING INCREASING THE SAFETY BERM HEIGHT AND INCLUDING ADDING LENGTH TO SAFETY BERMS.</t>
  </si>
  <si>
    <t>2YTLQ760221821</t>
  </si>
  <si>
    <t>WEDGE,WOOD</t>
  </si>
  <si>
    <t>THE TEHAMA COUNTY SHERIFF'S OFFICE WILL USE WEDGE, WOOD AS ISSUED EQUIPMENT FOR DEPUTIES AND SWAT OPERATORS TO WEDGE OPEN OR WEDGE CLOSED DOORS DURING SEARCH WARRANT SERVICE OR ACTIVE SHOOTER RESPONSE.</t>
  </si>
  <si>
    <t>2YTLQ760795785</t>
  </si>
  <si>
    <t>IMAGE INTENSIFIER,NIGHT VISION</t>
  </si>
  <si>
    <t>THE TEHAMA COUNTY SHERIFF'S OFFICE WILL USE IMAGE INTENSIFIER, NIGHT VISION AS ISSUED EQUIPMENT TO PATROL DEPUTIES, SWAT DEPUTIES AND SAR DEPUTIES TO USE DURING PATROL AND SPECIAL OPERATIONS FOR LIFE SAFETY AND SECURITY MISSIONS.  I HAVE CONTACTED THE BASE ABOUT THESE ITEMS AND THEIR CONDITION.</t>
  </si>
  <si>
    <t>2YTLQ760795784</t>
  </si>
  <si>
    <t>2YTLQ760795781</t>
  </si>
  <si>
    <t>2YTLQ760795782</t>
  </si>
  <si>
    <t>2YTLQ760795783</t>
  </si>
  <si>
    <t>2YTLQ760654689</t>
  </si>
  <si>
    <t>THE TEHAMA COUNTY SHERIFF'S OFFICE WILL USE GENERATORS AND GENERATOR SETS, ELECTRICAL AS BACK UP POWER SUPPLY DURING POWER OUTAGES, AT CRIME SCENES TO POWER LIGHTING AND EQUIPMENT AND AT SEARCH AND RESCUE BASE CAMPS TO PROVIDE POWER.</t>
  </si>
  <si>
    <t>2YTLQ760301656</t>
  </si>
  <si>
    <t>HEADLAMP</t>
  </si>
  <si>
    <t>THE TEHAMA COUNTY SHERIFF'S OFFICE WILL USE HEADLAMP AS LIGHTING EQUIPMENT FOR DEPUTIES AND DETECTIVES FOR WORK AND CRIME SCENE INVESTIGATIONS AT NIGHT OR IN DARK ENVIRONMENTS</t>
  </si>
  <si>
    <t>2YTLQ760655270</t>
  </si>
  <si>
    <t>THE TEHAMA COUNTY SHERIFF'S OFFICE WILL USE DEFIBRILLATOR, AED AS EMERGENCY RESPONSE EQUIPMENT FOR MEDICALLY TRAINED DEPUTIES ON PATROL AND SWAT.  THE UNIT WILL BE REFURBISHED AND RETURNED TO ACTIVE USE.</t>
  </si>
  <si>
    <t>2YTLQ760029788</t>
  </si>
  <si>
    <t>OXIMETER,PULSE</t>
  </si>
  <si>
    <t>THE TEHAMA COUNTY SHERIFF'S OFFICE WILL USE OXIMETER,PULSE AS RESCUE GEAR FOR SWAT AND EMERGENCY PATROL OPERATIONS.  ITEM WILL ALSO BE USED DURING DISASTER FOR MEDICAL RESCUES.</t>
  </si>
  <si>
    <t>2YTLQ760231647</t>
  </si>
  <si>
    <t>INSTRUMENT SET,USMC</t>
  </si>
  <si>
    <t>THE TEHAMA COUNTY SHERIFF'S OFFICE WILL USE INSTRUMENT SET, USMC SICK CALL, AS DEPUTY CORONER AUTOPSY TOOLS AND EQUIPMENT, FOR GATHERING EVIDENCE AND DETERMINING CAUSE OF DEATH.  INSTRUMENT SET WILL ALSO BE USED FOR IN THE FIELD EVIDENCE COLLECTION FOR CRIMINAL CASES.</t>
  </si>
  <si>
    <t>2YTLQ760231648</t>
  </si>
  <si>
    <t>2YTLQ760442640</t>
  </si>
  <si>
    <t>DSMEDSETK</t>
  </si>
  <si>
    <t>REPLENISHABLE FIELD MEDICAL SETS, KITS</t>
  </si>
  <si>
    <t>THE TEHAMA COUNTY SHERIFF'S OFFICE WILL USE REPLENISHABLE FIELD MEDICAL SETS, KITS TO OUTFIT DEPUTY PATROL CARS AND SWAT VEHICLES WITH EMERGENCY MEDICAL SUPPLIES.</t>
  </si>
  <si>
    <t>2YTLQ760655278</t>
  </si>
  <si>
    <t>FIRST AID KIT,GENER</t>
  </si>
  <si>
    <t>THE TEHAMA COUNTY SHERIFF'S OFFICE WILL USE FIRST AID KIT, GENERAL PURPOSE AS MEDICAL SUPPLIES FOR DEPUTY PATROL VEHICLES TO PROVIDE FIRST AID DURING CALLS FOR SERVICE.</t>
  </si>
  <si>
    <t>2YTLQ760292409</t>
  </si>
  <si>
    <t>THE TEHAMA COUNTY SHERIFF'S OFFICE WILL USE INSTRUMENT SET, USMC AS EVIDENCE COLLECTION TOOLS FOR DETECTIVES, DEPUTIES AND DEPUTY CORONERS.</t>
  </si>
  <si>
    <t>2YTLQ760583781</t>
  </si>
  <si>
    <t>MULTIMETER</t>
  </si>
  <si>
    <t>THE TEHAMA COUNTY SHERIFF'S OFFICE WILL USE MULTIMETER AS TOOLS TO FIX AND MAINTAIN PATROL UNITS AT THE SHERIFF'S AUTO SHOP AND PATROL BOATS AT THE BOATING STORAGE FACILITY.  THE TOOLS WILL ALSO BE USED TO FIX, REPAIR AND MAINTAIN SHERIFF'S FACILITIES.</t>
  </si>
  <si>
    <t>2YTLQ760029868</t>
  </si>
  <si>
    <t>DSTRAINAI</t>
  </si>
  <si>
    <t>TRAINING AIDS</t>
  </si>
  <si>
    <t>THE TEHAMA COUNTY SHERIFF'S OFFICE WILL USE TRAINING AIDS TO ISSUE TO OUR K9 TEAM FOR EMERGENCY WOUND CARE AND K9 FIRST AID TRAINING.</t>
  </si>
  <si>
    <t>2YTLQ760151192</t>
  </si>
  <si>
    <t>ARMY COMBAT</t>
  </si>
  <si>
    <t>THE TEHAMA COUNTY SHERIFF'S OFFICE WILL USE ARMY COMBAT, WEIGHT TRAINING EQUIPMENT, TO COMPLETE THE OUTFITTING OF THE DEPARTMENT GYM SPACES USED BY DEPUTIES FOR FITNESS TRAINING.</t>
  </si>
  <si>
    <t>2YTLQ760080649</t>
  </si>
  <si>
    <t>DISK DRIVE UNIT</t>
  </si>
  <si>
    <t>THE TEHAMA COUNTY SHERIFF'S OFFICE WILL USE DISK DRIVE UNIT, DVD, AS OFFICE EQUIPMENT FOR EACH DEPUTY WORK STATION TO ALLOW FOR DVD BURNING OF EVIDENCE CD AND DVD DISKS.</t>
  </si>
  <si>
    <t>2YTLQ760786828</t>
  </si>
  <si>
    <t>DISK,NONFLEXIBLE</t>
  </si>
  <si>
    <t>THE TEHAMA COUNTY SHERIFF'S OFFICE WILL USE DISK, NONFLEXIBLE DVD RW AS OFFICE SUPPLIES FOR DEPUTY USE.  DVDS ARE USED TO STORE OUR DIGITAL EVIDENECE AT THE SHERIFF'S OFFICE.</t>
  </si>
  <si>
    <t>2YTLQ760433409</t>
  </si>
  <si>
    <t>PEELER,POTATO,HAND</t>
  </si>
  <si>
    <t>DZ</t>
  </si>
  <si>
    <t>THE TEHAMA COUNTY SHERIFF'S OFFICE WILL USE PEELER, POTATO HAND, IN EACH OF THE DEPUTY BREAK AREAS AND KITCHENS FOR BREAKTIME FOOD PREP EQUIPMENT.</t>
  </si>
  <si>
    <t>2YTLQ760583782</t>
  </si>
  <si>
    <t>POT,COOKING</t>
  </si>
  <si>
    <t>THE TEHAMA COUNTY SHERIFF'S OFFICE WILL USE POT, COOKING DURING DISASTER FEEDING OPERATIONS OR EXTENDED SEARCH AND RESCUE OPERATIONS WHERE MAKING FOOD ON SITE FOR DEPUTIES IS THE BEST OPTION.</t>
  </si>
  <si>
    <t>2YTLQ760795909</t>
  </si>
  <si>
    <t>DSLAMINAT</t>
  </si>
  <si>
    <t>LAMINATOR</t>
  </si>
  <si>
    <t>THE TEHAMA COUNTY SHERIFF'S OFFICE WILL USE LAMINATOR TO COVER DEPARTMENT PAPERWORK, CALL SIGN LISTS AND ID CARDS FOR DEPARTMENT USE.</t>
  </si>
  <si>
    <t>2YTLQ760786829</t>
  </si>
  <si>
    <t>THE TEHAMA COUNTY SHERIFF'S OFFICE WILL USE GAMES, TOYS, WHEELED GOODS IN THE CHILD INTERVIEW AREA AND FAMILY WAITING ROOM AREA, TO KEEP WITNESS AND VICTIM CHILDEREN BUSY DURING WAIT TIMES BETWEEN INTERVIEWS.</t>
  </si>
  <si>
    <t>2YTLQ760020092</t>
  </si>
  <si>
    <t>BRUSH,PAINT</t>
  </si>
  <si>
    <t>THE TEHAMA COUNTY SHERIFF'S OFFICE WILL USE BRUSH, PAINT AS TOOLS FOR DEPUTIES TO COMPLETE MAINTENANCE AND PAINT WORK AREAS DURING UPKEEP PROJECTS AT THE SHERIFF'S OFFICE.</t>
  </si>
  <si>
    <t>2YTLQ760080655</t>
  </si>
  <si>
    <t>TRAY AND COVER,STOR</t>
  </si>
  <si>
    <t>THE TEHAMA COUNTY SHERIFF'S OFFICE WILL USE TRAY AND COVER, STORAGE IN EVIDENCE TO SEPARATE AND MAINTAIN DEPUTY COLLECTED EVIDENCE ITEMS FOR CRIMINAL CASES.</t>
  </si>
  <si>
    <t>2YTLQ760795902</t>
  </si>
  <si>
    <t>THE TEHAMA COUNTY SHERIFF'S OFFICE WILL USE CONTAINER, FREIGHT, G AS STORAGE FOR DEPARTMENT EQUIPMENT, RANGE TARGETS AND DISASTER SUPPLIES OUTSIDE OF NORMAL STORAGE BUILDINGS, FOR QUICKER RESPONSE AND KEEPING SUPPLIES ON SITE VS MOVING THEM CONTINUALLY.</t>
  </si>
  <si>
    <t>2YTLQ760654688</t>
  </si>
  <si>
    <t>GLOVES,BARBED TAPE-</t>
  </si>
  <si>
    <t>THE TEHAMA COUNTY SHERIFF'S OFFICE WILL USE GLOVES, BARBED TAPE AS PPE FOR DEPUTIES WORKING ON SECURITY FENCING OR WHEN DEALING WITH INJURED WILD ANIMALS.</t>
  </si>
  <si>
    <t>2YTLQ760583783</t>
  </si>
  <si>
    <t>TAG,KEY</t>
  </si>
  <si>
    <t>THE TEHAMA COUNTY SHERIFF'S OFFICE WILL USE TAG,KEY IN OUR, PATROL, BOATING UNIT, FLEET REPAIR AND EMERGENCY OPERATION CENTER FOR KEY IDENTIFICATION USE DURING DAILY OPERATIONS.</t>
  </si>
  <si>
    <t>2YTLQ760080648</t>
  </si>
  <si>
    <t>CLEANER,TOBACCO PIPE</t>
  </si>
  <si>
    <t>THE TEHAMA COUNTY SHERIFF'S OFFICE WILL USE CLEANER, TOBACCO PIPE AS TOOLS AND SUPPLIES TO CLEAN DEPARTMENT FIREARMS AND EQUIPMENT.</t>
  </si>
  <si>
    <t>2YTLQ760795899</t>
  </si>
  <si>
    <t>POUCH,HUMAN REMAINS</t>
  </si>
  <si>
    <t>THE TEHAMA COUNTY SHERIFF'S OFFICE WILL USE POUCH, HUMAN REMAINS TO COLLECT AND TRANSPORT DECEASED HUMANS DURING NORMAL DEPUTY SHERIFF CORONER OPERATIONS AND DURING MASS CASUALTY RESPONSE OPERATIONS.</t>
  </si>
  <si>
    <t>CO</t>
  </si>
  <si>
    <t>AULT POLICE DEPT (2YTART)</t>
  </si>
  <si>
    <t>2YTART53327556</t>
  </si>
  <si>
    <t>ITEMS BEING REQUESTED BY THE AULT POLICE DEPARTMENT TO BE USED BY LAW ENFORCEMENT PURPOSES. THE REQUESTED KITS WILL BE REFILLED AND ISSUED TO OFFICERS.</t>
  </si>
  <si>
    <t>2YTART53327557</t>
  </si>
  <si>
    <t>MEDIC BAG</t>
  </si>
  <si>
    <t>ITEMS BEING REQUESTED FOR THE AULT POLICE DEPARTMENT TO BE USED BY SPECIALLY TRAINED OFFICERS FOR LAW ENFORCEMENT PURPOSES. THE REQUESTED ITEMS WILL BE PLACED IN CERTIFIED EMT AND PARAMEDIC LEO VEHICLES.</t>
  </si>
  <si>
    <t>2YTART53327559</t>
  </si>
  <si>
    <t>POUCH,M4 TWO MAG</t>
  </si>
  <si>
    <t>ITEM BEING REQUESTED BY AULT POLICE DEPT, USE BY OFFICERS FOR LAW ENFORCEMENT PURPOSES. OUTFITTING PREOWNED ACTIVE SHOOTER KITS.</t>
  </si>
  <si>
    <t>CUSTER COUNTY SHERIFF OFFICE (2YTC2B)</t>
  </si>
  <si>
    <t>2YTC2B60372222</t>
  </si>
  <si>
    <t>FIRING DEVICE,NON-LETHAL</t>
  </si>
  <si>
    <t>CCSO, WOULD REQUEST THESE DEVICES FOR OUR OFF FOR USE IN NON LETHAL INCIDENTS THAT OUR DEPUTIES DURING ENCOUNTERS. 
THANK YOU</t>
  </si>
  <si>
    <t>2YTC2B60301339</t>
  </si>
  <si>
    <t>TOOL KIT,EXPLOSIVE ORDNANCE DISPOSAL</t>
  </si>
  <si>
    <t>CCSSO, WOULD REQUEST HIS TOOL KIT,EXPLOSIVE ORDNANCE DISPOSAL FOR THE PURPOSE OF COMPLETING OUR ROBOT THAT WE HAVE JUST ACQUIRED FROM DLA,
THANK YOU</t>
  </si>
  <si>
    <t>2YTC2B60442652</t>
  </si>
  <si>
    <t>AUTOMOBILE,SEDAN</t>
  </si>
  <si>
    <t>CCSO, WOULD REQUEST THIS VEHICLE FOR OUR OFFICE FOR DAILY USE AS A PATROL CAR FOR DEPUTIES AND OFFICE PERSONAL, WITH THE RISING COST OF LAW ENFORCEMENT EQUIPMENT, EVEN USED VEHICLES ARE A HIGH PRIORITY.
THANK YOU</t>
  </si>
  <si>
    <t>2YTC2B60442650</t>
  </si>
  <si>
    <t>2YTC2B60442655</t>
  </si>
  <si>
    <t>2YTC2B60442654</t>
  </si>
  <si>
    <t>2YTC2B53609238</t>
  </si>
  <si>
    <t>CCSO, WOULD REQUEST THIS TRAILER FOR USE BY PERSONAL IN OUR OFFICE FOR MOVING IMPORTANT ITEMS SUCH AS VEHICLES AND TRAINING EQUIPMENT.
THANK YOU</t>
  </si>
  <si>
    <t>2YTC2B60513459</t>
  </si>
  <si>
    <t>CCSO, WOULD LIKE TO REQUEST THIS TRAILER FOR USE BY OUR OFFICE TO MOVE LARGE ITEMS THAT OUR DEPUTIES NEED TO TRANSPORT IN DAILY LAW ENFORCEMENT WORK AROUND OUR COUNTY.
THANK YOU</t>
  </si>
  <si>
    <t>2YTC2B60654458</t>
  </si>
  <si>
    <t>CCSO, WOULD REQUEST THIS TRAILER FOR USE BY OUR PERSONAL AND DEPUTIES FOR THE MOVING OF LARGER ITEMS TO REMOTE AREAS WHERE WE MAY BE CONDUCTING LAW ENFORCEMENT OPERATIONS. WE ARE IN THE PROCESSES OF BUILDING A COMMAND RESPONSE TEAM THAT COULD MOVE LARGER ITEMS SUCH AS OUR BOMB ROBOT TENTS AND OTHER NECESSARY ITEMS TO HARD TO REACH AREAS IN OUR COUNTY.
THANK YOU</t>
  </si>
  <si>
    <t>2YTC2B60301726</t>
  </si>
  <si>
    <t>TRAILER,TANK</t>
  </si>
  <si>
    <t>CCSO, WOULD REQUEST THIS WATER TANK FOR USE BY OUR OFFICE TO USE DURING LARGE SCALE EMERGENCY FOR THE EXPRESS PURPOSE OF MOVING POTABLE WATER INTO RAVAGED AREAS. 
THANK YOU</t>
  </si>
  <si>
    <t>2YTC2B60654629</t>
  </si>
  <si>
    <t>WHEEL,PNEUMATIC TIRE</t>
  </si>
  <si>
    <t>AY</t>
  </si>
  <si>
    <t>CCSO, WOULD REQUEST THESE TIRES FOR OUR FLEET AS TIRES ARE A HUGE EXPENDITURE FOR OUR OFFICE AND ANY TIRE IS VALUABLE TO US.
THANKS YOU</t>
  </si>
  <si>
    <t>2YTC2B60583940</t>
  </si>
  <si>
    <t>TIRE,PNEUMATIC,VEHI</t>
  </si>
  <si>
    <t>CCSO, WOULD REQUEST THESE TIRES FOR OUR FLEET, TIRES ARE A HUGE EXPENSE FOR OUR OFFICE AND TIRES EVEN USED ONE ARE A BIG HELP TO THE BUDGET.
THANK YOU</t>
  </si>
  <si>
    <t>2YTC2B60231121</t>
  </si>
  <si>
    <t>CCSO, WOULD REQUEST THESE TIRES AS WE HAVE A LARGE TUR OVER IN OUR TIRE INVENTORY AND ALL THE TIRES WE CAN GET IS HELPFUL.
THANK YOU</t>
  </si>
  <si>
    <t>2YTC2B60442828</t>
  </si>
  <si>
    <t>CCSO, WOULD REQUEST THESE TIRES FOR OUR FLEET, TIRES ARE A VERY LARGE PART OF THE EVERYDAY EXPENDITURES WITH OVER 90 PERCENT OF THE ROAD IN CUSTER COUNTY, BEING DIRT COMBINED WITH A HEAVY YEARLY SNOW FALL WE ARE IN DESPERATE NEED OF TIRES.
THANK YOU</t>
  </si>
  <si>
    <t>2YTC2B60029755</t>
  </si>
  <si>
    <t>CRANE TRUCK,WAREHOU</t>
  </si>
  <si>
    <t>CCSO, WOULD REQUEST THIS ITEM FOR USE BY OUR PERSONAL DURING THE CONSTRUCTION OF OUR NEW FIREARMS AND DRIVING RANGES, WE HAVE RECEIVED SEVERAL CONEX STORAGE CONTAINERS AND IT IS OUR INTENT TO BUILD SHOOT HOUSES ALONG WITH HIGH ANGLE TRAINING BUILDINGS USING THESE CONTAINERS STACKED AND SECURED TO ONE ANOTHER, THIS CRANE WOULD BE AN ENORMOUS BENEFIT TO OUR OFFICE AND THE CONSTRUCTION PROJECT,
THANK YOU</t>
  </si>
  <si>
    <t>2YTC2B60301720</t>
  </si>
  <si>
    <t>RAMP,LOADING,VEHICL</t>
  </si>
  <si>
    <t>CCSO, WOULD REQUEST THIS RAMP FOR OUR OFFICE TO FILL THE NEED OF HAVING A CONVENIENT WAY TO DO MAINTENANCE ON OUR HEADY MILITARY VEHICLES AND OTHER HEAVY VEHICLES.
THANK YOU</t>
  </si>
  <si>
    <t>2YTC2B60231722</t>
  </si>
  <si>
    <t>ILLUMINATOR,INTEGRATED,SMALL ARMS</t>
  </si>
  <si>
    <t>CCSO, WOULD REQUEST THESE ILLUMINATOR,INTEGRATED,SMALL ARMS, UNITES FOR OUR SPECIAL OPERATION DEPUTIES TO BE ATTACHED TO OUR LONG ARMS.
THANK YOU</t>
  </si>
  <si>
    <t>2YTC2B60231119</t>
  </si>
  <si>
    <t>DSSOLPWRS</t>
  </si>
  <si>
    <t>SOLAR ELECTRIC POWER SYSTEMS</t>
  </si>
  <si>
    <t>CCSO, WOULD REQUEST THIS SOLAR SYSTEM FOR USE DURING POWER OUTAGES IN OUR COUNTY, WE ARE A VERY REMOTE COUNTY AND POWER CAN BE SUSPENDED FOR MANY DAY. THIS UNIT WOULD ALLOW OUR OFFICE TO POWER MANY IMPORTANT ELECTRONIC DEVICES DURING ONE OF THESE OUTAGES.
THANK YOU</t>
  </si>
  <si>
    <t>2YTC2B60725764</t>
  </si>
  <si>
    <t>DSBROOMBR</t>
  </si>
  <si>
    <t>BROOMS, BRUSHES, MOPS, SPONGES</t>
  </si>
  <si>
    <t>CCSO, WOULD REQUEST THESE ITEMS FOR OUR JAIL AND OFFICE AREA, MAINTAINING AND CLEANING THESE AREAS CAN BE A DAUNTING TASK AND THERE ARE NEVER ENOUGH TOOLS FOR THE JOB
THANK YOU</t>
  </si>
  <si>
    <t>2YTC2B60654630</t>
  </si>
  <si>
    <t>SHIPPING AND STORAG</t>
  </si>
  <si>
    <t>CCSO, WOULD REQUEST THESE STORAGE CONTAINERS FOR THE PURPOSE OF STORAGE.
THANK YOU</t>
  </si>
  <si>
    <t>2YTC2B60029756</t>
  </si>
  <si>
    <t>CCSO, WOULD REQUEST THESE CONTAINERS FOR USE BY OUR OFFICE FOR STORAGE OF SENSITIVE ITEMS THAT WE NO LONGER HAVE ROOM FOR IN OUR CURRENT FACILITY. THESE WOULD ALSO BE USED FOR STORAGE AT OUR FIREARMS AND DRIVING RANGES FOR THE ST0ORAGE OF TRAINING ITEMS AND EQUIPMENT. THESE CONTAINERS WOULD BE IMPORTANT ITEMS FOR OUR OFFICE AND THE RECONSTRUCTION OF OUR NOW CONDEMED RANGE FACILITY.
THANK YOU</t>
  </si>
  <si>
    <t>2YTC2B53609496</t>
  </si>
  <si>
    <t>TROUSERS,COLD WEATH</t>
  </si>
  <si>
    <t>CCSO, WOULD REQUEST THESE ITEMS FOR USE BY OUR PERSONAL BOTH PATROL AND OFFICE PERSONAL TO BE USE ON A DAILY BASIS DURING HARSH WEATHER CONDITIONS.
THANK YOU</t>
  </si>
  <si>
    <t>2YTC2B60372843</t>
  </si>
  <si>
    <t>JACKET,COLD WEATHER</t>
  </si>
  <si>
    <t>CCSO, WOULD REQUEST THESE CLOTHING ITEMS FOR OUR DEPUTIES FOR DAILY USE DURING EXTREME WEATHER CONDITIONS INT
 OUR MOUNTAINOUS AREA.
THANK YOU</t>
  </si>
  <si>
    <t>2YTC2B60372842</t>
  </si>
  <si>
    <t>2YTC2B60372840</t>
  </si>
  <si>
    <t>2YTC2B60372839</t>
  </si>
  <si>
    <t>2YTC2B60372837</t>
  </si>
  <si>
    <t>2YTC2B60372835</t>
  </si>
  <si>
    <t>2YTC2B60372834</t>
  </si>
  <si>
    <t>2YTC2B60372832</t>
  </si>
  <si>
    <t>2YTC2B60372831</t>
  </si>
  <si>
    <t>TROUSERS,EXTREME CO</t>
  </si>
  <si>
    <t>2YTC2B60372830</t>
  </si>
  <si>
    <t>2YTC2B60372829</t>
  </si>
  <si>
    <t>2YTC2B53609498</t>
  </si>
  <si>
    <t>2YTC2B53609497</t>
  </si>
  <si>
    <t>2YTC2B60372844</t>
  </si>
  <si>
    <t>2YTC2B53609495</t>
  </si>
  <si>
    <t>2YTC2B53609494</t>
  </si>
  <si>
    <t>2YTC2B53609493</t>
  </si>
  <si>
    <t>2YTC2B53609492</t>
  </si>
  <si>
    <t>PARKA,COLD WEATHER</t>
  </si>
  <si>
    <t>2YTC2B53609491</t>
  </si>
  <si>
    <t>2YTC2B53609490</t>
  </si>
  <si>
    <t>2YTC2B53609488</t>
  </si>
  <si>
    <t>2YTC2B53609487</t>
  </si>
  <si>
    <t>2YTC2B60654632</t>
  </si>
  <si>
    <t>DSHANDCUF</t>
  </si>
  <si>
    <t>HANDCUFFS AND RELATED ACCESSORIES</t>
  </si>
  <si>
    <t>CCSO, WOULD REQUEST THESE HANDCUFFS AND OTHER RESTRAINING ITEMS FOR US BY OUR OFFICE AND DEPUTIES FOR LAW ENFORCEMENT DUTIES IN OUR COUNTY.
THANK YOU</t>
  </si>
  <si>
    <t>GREELEY POLICE DEPT (2YTES7)</t>
  </si>
  <si>
    <t>2YTES760725865</t>
  </si>
  <si>
    <t>GREELEY PD HAS 185 OFFICERS AND IS LOOKING TO OUTFIT EVERYONE WITH A FIRST AID KIT TO CARRY WHILE ON PATROL. THESE KITS WILL BE USED BY OFFICERS IN MEDICAL EMERGENCIES AND OTHER MEDICAL CALLS FOR IMMEDIATE ACTION BEFORE EMS ARRIVES. WE HAVE FUNDING FOR SOME EQUIPMENT BUT WOULD LIKE THESE KITS AND CAN FILL IN THE MISSING ITEMS WITH OUR FUNDING. THE COST SAVINGS JUST FOR THE CARRIERS WOULD BE VERY HELPFUL.</t>
  </si>
  <si>
    <t>LAMAR POLICE DEPARTMENT (2YTGHQ)</t>
  </si>
  <si>
    <t>2YTGHQ60513452</t>
  </si>
  <si>
    <t>TO USE AT TRAINING AND CRIME SCENES.</t>
  </si>
  <si>
    <t>LOCHBUIE POLICE DEPT (2YTGVE)</t>
  </si>
  <si>
    <t>2YTGVE60029874</t>
  </si>
  <si>
    <t>IMAGE INTENSIFIER N</t>
  </si>
  <si>
    <t>LOCHBUIE PD IS A SMALL AGENCY WITH A LIMITED BUDGET. THESE IMAGE INTENSIFIERS- NIGHT VISION DEVICES WOULD HELP PROVIDE OUR OFFICERS WITH THE NECESSARY TOOLS TO BE ABLE TO SAFELY PERFORM THEIR JOBS IN LOW LIGHT SITUATIONS. WE WOULD USE THEM DAILY IN OUR POLICE DEPARTMENT. CONDITION HAS BEEN CONFIRMED.</t>
  </si>
  <si>
    <t>2YTGVE60725077</t>
  </si>
  <si>
    <t>2YTGVE60725078</t>
  </si>
  <si>
    <t>CT</t>
  </si>
  <si>
    <t>PROSPECT POLICE DEPARTMENT (2YTJYC)</t>
  </si>
  <si>
    <t>2YTJYC60442582</t>
  </si>
  <si>
    <t>FOR THE PROSPECT POLICE DEPT TO USE TO MAINTAIN POLICE VEHICLES AND THE BUILDING.</t>
  </si>
  <si>
    <t>2YTJYC60372585</t>
  </si>
  <si>
    <t>PLIERS</t>
  </si>
  <si>
    <t>FOR THE PROSPECT POLICE DEPT TO ISSUE TO OFFICERS TO USE WHILE ON PATROL FOR EMERGENCIES AND TO ASSIST CITIZENS.</t>
  </si>
  <si>
    <t>2YTJYC53609442</t>
  </si>
  <si>
    <t>THERMAL IMAGING SYSTEM</t>
  </si>
  <si>
    <t>FOR THE PROSPECT POLICE DEPT TO USE WHEN SEARCHING FOR PEOPLE IN LOW LIGHT OR HAZARDOUS CONDITIONS.</t>
  </si>
  <si>
    <t>2YTJYC60230937</t>
  </si>
  <si>
    <t>FOR THE PROSPECT POLICE DEPT TO USE TO STORE POLICE EQUIPMENT.</t>
  </si>
  <si>
    <t>2YTJYC60301495</t>
  </si>
  <si>
    <t>DSCASE004</t>
  </si>
  <si>
    <t>SHIPPING CASE</t>
  </si>
  <si>
    <t>FOR THE PROSPECT POLICE DEPARTMENT TO USE TO STORE POLICE EQUIPMENT.</t>
  </si>
  <si>
    <t>2YTJYC60513017</t>
  </si>
  <si>
    <t>TROUSERS,COLD WEATHER</t>
  </si>
  <si>
    <t>FOR THE PROSPECT POLICE DEPARTMENT TO ISSUE TO AN OFFICER TO WEAR IN POOR WEATHER CONDITIONS.</t>
  </si>
  <si>
    <t>2YTJYC60512983</t>
  </si>
  <si>
    <t>SHIRT,COLD WEATHER</t>
  </si>
  <si>
    <t>FOR THE PROSPECT POLICE DEPARTMENT TO ISSUE TO AN OFFICER TO WEAR IN THE COLD.</t>
  </si>
  <si>
    <t>2YTJYC60512982</t>
  </si>
  <si>
    <t>2YTJYC60442833</t>
  </si>
  <si>
    <t>FOR THE PROSPECT POLICE DEPT TO ISSUE TO OFFICERS TO USE ON SPECIAL ASSIGNMENTS OR TRAINING IN COLD WEATHER.</t>
  </si>
  <si>
    <t>2YTJYC60513001</t>
  </si>
  <si>
    <t>FOR THE PROSPECT POLICE DEPARTMENT TO ISSUE TO AN OFFICER TO WEAR IN POOR WEATHER.</t>
  </si>
  <si>
    <t>2YTJYC60442838</t>
  </si>
  <si>
    <t>FOR THE PROSPECT POLICE DEPT TO ISSUE TO OFFICERS TO WEAR FOR SPECIAL ASSIGNMENTS OR TRAINING IN THE WET WEATHER.</t>
  </si>
  <si>
    <t>2YTJYC60442836</t>
  </si>
  <si>
    <t>FOR THE PROSPECT POLICE DEPARTMENT TO ISSUE TO OFFICERS TO WEAR ON SPECIAL ASSIGNMENTS OR TRAINING IN WET WEATHER.</t>
  </si>
  <si>
    <t>2YTJYC60512998</t>
  </si>
  <si>
    <t>FOR THE PROSPECT POLICE DEPARTMENT TO ISSUE TO AN OFFICER TO WEAR IN WET WEATHER.</t>
  </si>
  <si>
    <t>2YTJYC60512984</t>
  </si>
  <si>
    <t>DSMITTENS</t>
  </si>
  <si>
    <t>MITTENS, COLD WEATHER</t>
  </si>
  <si>
    <t>FOR THE PROSPECT POLICE DEPARTMENT TO ISSUE TO OFFICERS TO WEAR IN THE COLD WEATHER.</t>
  </si>
  <si>
    <t>2YTJYC60230821</t>
  </si>
  <si>
    <t>PARKA,COLD WEATHER (NAVY)</t>
  </si>
  <si>
    <t xml:space="preserve">FOR THE PROSPECT POLICE DEPT TO ISSUE TO AN OFFICER TO WEAR IN THE COLD.
</t>
  </si>
  <si>
    <t>2YTJYC60583555</t>
  </si>
  <si>
    <t>FOR THE PROSPECT POLICE DEPARTMENT TO ISSUE TO AN OFFICER TO WEAR IN FOUL WEATHER.</t>
  </si>
  <si>
    <t>2YTJYC60583562</t>
  </si>
  <si>
    <t>FOR THE PROSPECT POLICE DEPARTMENT TO ISSUE TO POLICE OFFICERS TO WEAR IN THE COLD.</t>
  </si>
  <si>
    <t>2YTJYC60513339</t>
  </si>
  <si>
    <t>FOR THE PROSPECT POLICE DEPT TO ISSUE TO OFFICERS TO WEAR IN FOUL WEATHER.</t>
  </si>
  <si>
    <t>2YTJYC60442841</t>
  </si>
  <si>
    <t>FOR THE PROSPECT POLICE DEPARTMENT TO ISSUE TO AN OFFICER TO WEAR FOR SPECIAL ASSIGNMENTS OR TRAINING IN COLD WEATHER.</t>
  </si>
  <si>
    <t>2YTJYC60583556</t>
  </si>
  <si>
    <t>FOR THE PROSPECT POLICE DEPARTMENT TO ISSUE TO AN OFFICER TO WEAR IN COLD WEATHER.</t>
  </si>
  <si>
    <t>2YTJYC60372587</t>
  </si>
  <si>
    <t>KIT BAG,FLYER'S</t>
  </si>
  <si>
    <t>FOR THE PROSPECT POLICE DEPT TO ISSUE TO OFFICERS TO CARRY POLICE EQUIPMENT.</t>
  </si>
  <si>
    <t>2YTJYC60583561</t>
  </si>
  <si>
    <t>FIELD PACK</t>
  </si>
  <si>
    <t>FOR THE PROSPECT POLICE DEPARTMENT TO ISSUE TO AN OFFICER TO CARRY POLICE EQUIPMENT.</t>
  </si>
  <si>
    <t>2YTJYC60583559</t>
  </si>
  <si>
    <t>FRAME,FIELD PACK</t>
  </si>
  <si>
    <t>FOR THE PROSPECT POLICE DEPARTMENT TO USE WITH A FIELD PACK TO CARRY POLICE EQUIPMENT.</t>
  </si>
  <si>
    <t>DC</t>
  </si>
  <si>
    <t>DHS/CBP AIR AND MARINE HQ (2YTRRR)</t>
  </si>
  <si>
    <t>2YTRRR60020229</t>
  </si>
  <si>
    <t>DSECMECCK</t>
  </si>
  <si>
    <t>ELECTRONIC COUNTERMEASURES IN KITS</t>
  </si>
  <si>
    <t>TO SUPPORT BORDER PATROL UAS OPERATIONS.</t>
  </si>
  <si>
    <t>2YTRRR60020230</t>
  </si>
  <si>
    <t>2YTRRR60020231</t>
  </si>
  <si>
    <t>2YTRRR60020232</t>
  </si>
  <si>
    <t>2YTRRR60020233</t>
  </si>
  <si>
    <t>2YTRRR60020234</t>
  </si>
  <si>
    <t>2YTRRR60020235</t>
  </si>
  <si>
    <t>DHS/CBP WASHINGTON DC (2YTRGK)</t>
  </si>
  <si>
    <t>2YTRGK60372098</t>
  </si>
  <si>
    <t>MAGAZINE,CARTRIDGE</t>
  </si>
  <si>
    <t>FOR US CUSTOMS AND BORDER PROTECTION FEDERAL LAW ENFORCEMENT OFFICERS TO UTILIZE DURING LAW ENFORCEMENT OPERATIONS, EMERGENCIES, CIVIL DISTURBANCE RESPONSE, ACTIVE SHOOTER RESPONSE, AND DISASTER RELIEF MISSIONS.</t>
  </si>
  <si>
    <t>2YTRGK60372099</t>
  </si>
  <si>
    <t>SYSTEM,TOILET,BACKP</t>
  </si>
  <si>
    <t>2YTRGK60231825</t>
  </si>
  <si>
    <t>HEAT GUN,ELECTRIC</t>
  </si>
  <si>
    <t>2YTRGK60443393</t>
  </si>
  <si>
    <t>CHARGER,BATTERY</t>
  </si>
  <si>
    <t>2YTRGK60372424</t>
  </si>
  <si>
    <t>KEYBOARD,DATA ENTRY</t>
  </si>
  <si>
    <t>FOR U.S. CUSTOMS AND BORDER PROTECTION FEDERAL LAW ENFORCEMENT OFFICERS AT THE NATIONAL TARGETING CENTER TO UTILIZE FOR LAW ENFORCEMENT LOGISTICAL SUPPORT OPERATIONS AND EMERGENCIES.</t>
  </si>
  <si>
    <t>2YTRGK60020119</t>
  </si>
  <si>
    <t>COT,FOLDING</t>
  </si>
  <si>
    <t>FOR OUR TDY FEDERAL AGENTS AND OFFICERS TRAVELING TO SUPPORT HOMELAND SECURITY OPERATIONS FOR USE IN REMOTE SAFE AREAS TO PROVIDE REST AND COMFORT OF THE CBP LE PERSONAL</t>
  </si>
  <si>
    <t>2YTRGK60020118</t>
  </si>
  <si>
    <t>2YTRGK60372270</t>
  </si>
  <si>
    <t>MAT,FLOOR</t>
  </si>
  <si>
    <t>2YTRGK60020115</t>
  </si>
  <si>
    <t>LINER,WET WEATHER P</t>
  </si>
  <si>
    <t>2YTRGK60442845</t>
  </si>
  <si>
    <t>PARKA,CAMOUFLAGE</t>
  </si>
  <si>
    <t>2YTRGK60301822</t>
  </si>
  <si>
    <t>DSBOOTS00</t>
  </si>
  <si>
    <t>BOOT, MEN'S,</t>
  </si>
  <si>
    <t>USDT/TIGTA WASHINGTON DC (2YTSXU)</t>
  </si>
  <si>
    <t>2YTSXU60654427</t>
  </si>
  <si>
    <t>THESE LINERS WILL BE ISSUED TO MEMBERS OF OUR ESF 13 TEAM THAT DEPLOYS WITH FEMA TO DISASTER AREAS</t>
  </si>
  <si>
    <t>2YTSXU60584759</t>
  </si>
  <si>
    <t>THIS JACKET WILL BE ISSUED TO A VERY LARGE AGENT WHO IS A MEMBER OF OUR ESF 13 TEAM - THEY DEPLOY WITH FEMA TO DISASTER AREAS</t>
  </si>
  <si>
    <t>2YTSXU60443381</t>
  </si>
  <si>
    <t>BOOTS,HOT WEATHER</t>
  </si>
  <si>
    <t>THESE BOOTS WILL BE ISSUED TO AGENTS WHO ARE ON OUR ESF 13 TEAM.  THEY DEPLOY WITH FEMA TO DISASTER AREAS</t>
  </si>
  <si>
    <t>2YTSXU60443384</t>
  </si>
  <si>
    <t>BOOTS,COMBAT</t>
  </si>
  <si>
    <t>2YTSXU60443385</t>
  </si>
  <si>
    <t>2YTSXU60443387</t>
  </si>
  <si>
    <t>2YTSXU60372214</t>
  </si>
  <si>
    <t>THESE PACKS WILL BE ISSUED TO AGENTS WHO ARE PART OF OUR ESF 13 TEAM.  THEY DEPLOY WITH FEMA TO AUSTERE LOCALES.</t>
  </si>
  <si>
    <t>FL</t>
  </si>
  <si>
    <t>JACKSON COUNTY SHERIFF OFFICE (2YTFUX)</t>
  </si>
  <si>
    <t>2YTFUX6040CG00</t>
  </si>
  <si>
    <t>2YTFUX60372313</t>
  </si>
  <si>
    <t>FOR LAW ENFORCEMENT USE TO INCLUDE DRUG ENFORCEMENT, SURVEILLANCE, SEARCH AND RESCUE, ETC.</t>
  </si>
  <si>
    <t>LAKE COUNTY SHERIFF'S OFFICE (2YTGE4)</t>
  </si>
  <si>
    <t>2YTGE460160659</t>
  </si>
  <si>
    <t>ENGINE,DIESEL</t>
  </si>
  <si>
    <t xml:space="preserve">TO ENHANCE THE AGENCY, LAKE COUNTY SHERIFF'S OFFICE, IN ITS LAW ENFORCEMENT RESPONSE INTO DISASTER AREAS AS REQUESTED BY THE STATE OF FLORIDA TO ASSIST THE LOCAL COMMUNITY DURING TIMES OF CRISIS. THIS ASSET WOULD BE A RE-POWER FOR A PART OF OUR SELF-SUSTAINING CAMP SET. 
</t>
  </si>
  <si>
    <t>2YTGE460725844</t>
  </si>
  <si>
    <t>VENTILATOR,VOLUME,P</t>
  </si>
  <si>
    <t>TO ENHANCE THE AGENCY, LAKE COUNTY SHERIFF'S OFFICE, IN ITS LAW ENFORCEMENT RESPONSE INTO DISASTER AREAS AS REQUESTED BY THE STATE OF FLORIDA TO ASSIST THE LOCAL COMMUNITY DURING TIMES OF CRISIS. THIS ASSET WOULD BE PART OF OUR SELF-SUSTAINING CAMP SET.</t>
  </si>
  <si>
    <t>2YTGE460442663</t>
  </si>
  <si>
    <t>LITTER,RIGID,STOKES</t>
  </si>
  <si>
    <t xml:space="preserve">TO ENHANCE THE AGENCY, LAKE COUNTY SHERIFF'S OFFICE, IN ITS LAW ENFORCEMENT RESPONSE INTO DISASTER AREAS AS REQUESTED BY THE STATE OF FLORIDA TO ASSIST THE LOCAL COMMUNITY DURING TIMES OF CRISIS. THIS ASSET WOULD BE PART OF OUR SELF-SUSTAINING DEPLOYMENT PACKAGE. 
</t>
  </si>
  <si>
    <t>PINELLAS COUNTY SHERIFF'S OFFICE (2YTJ0D)</t>
  </si>
  <si>
    <t>2YTJ0D60301895</t>
  </si>
  <si>
    <t>TRUCK,CARGO</t>
  </si>
  <si>
    <t>TRUCK NEEDED FOR HIGH WATER RESCUES DURING STORM OR HURRICANE EVENT.</t>
  </si>
  <si>
    <t>2YTJ0D60583795</t>
  </si>
  <si>
    <t>HIGH PROFILE VEHICLE NEEDED TO FORD THROUGH DEEP WATER DURING WATER RESCUES DURING A HURRICANE OR STORM EVENT.</t>
  </si>
  <si>
    <t>POLK COUNTY SHERIFF OFFICE (2YTJS0)</t>
  </si>
  <si>
    <t>2YTJS060796045</t>
  </si>
  <si>
    <t>DETECTOR,GAS</t>
  </si>
  <si>
    <t>THE POLK COUNTY SHERIFF'S OFFICE WILL USE THE REQUESTED PROPERTY DURING ANTI-TERRORISM PREPAREDNESS, PROTECTION, PREVENTION, RESPONSE, RECOVERY AND RELIEF OPERATIONS AS WELL AS DISASTER-RELATED EMERGENCIES AND SEARCH AND RESCUE OPERATIONS.</t>
  </si>
  <si>
    <t>2YTJS060352593</t>
  </si>
  <si>
    <t>THE POLK COUNTY SHERIFF'S OFFICE WILL USE THE REQUESTED PROPERTY TO STORE AND TRANSPORT EQUIPMENT, MATERIALS AND SUPPLIES USED DURING DISASTER RELATED EMERGENCIES, SEARCH AND RESCUE OPERATIONS AND EVENT SAFETY AND SECURITY OPERATIONS.</t>
  </si>
  <si>
    <t>2YTJS060352592</t>
  </si>
  <si>
    <t>2YTJS060352599</t>
  </si>
  <si>
    <t>2YTJS060352594</t>
  </si>
  <si>
    <t>2YTJS060231879</t>
  </si>
  <si>
    <t>DSFRTCONT</t>
  </si>
  <si>
    <t>FREIGHT CONTAINERS</t>
  </si>
  <si>
    <t>THE POLK COUNTY SHERIFF'S OFFICE WILL USE THE REQUESTED PROPERTY TO STORE EQUIPMENT, MATERIALS AND SUPPLIES USED DURING DISASTER RELATED EMERGENCIES AND SEARCH AND RESCUE OPERATIONS.</t>
  </si>
  <si>
    <t>SAINT LUCIE COUNTY SHERIFF OFFICE (2YTKLY)</t>
  </si>
  <si>
    <t>2YTKLY53186698</t>
  </si>
  <si>
    <t>FOR USE BY LAW ENFORCEMENT AT OUR EVIDENCE COMPOUND. WE HAVE TO STORE AND MOVE EVIDENCE UNTIL CASES GET CLEARED.</t>
  </si>
  <si>
    <t>STUART POLICE DEPARTMENT (2YTLJF)</t>
  </si>
  <si>
    <t>2YTLJF60090037</t>
  </si>
  <si>
    <t>ILLUMINATOR,INFRARE</t>
  </si>
  <si>
    <t>NEEDED FOR AGENCY USE IN HIGH RISK OPERATIONS</t>
  </si>
  <si>
    <t>SUMTER CSO (2YTLLK)</t>
  </si>
  <si>
    <t>2YTLLK60796004</t>
  </si>
  <si>
    <t>MAINTENANCE PLATFORM,AIRCRAFT</t>
  </si>
  <si>
    <t>THE SUMTER COUNTY SHERIFF REQUESTS THIS ITEM TO BE USED BY LAW ENFORCEMENT FOR MAINTAINING OUR MILITARY SURPLUS AIRCRAFT.</t>
  </si>
  <si>
    <t>2YTLLK60584123</t>
  </si>
  <si>
    <t>PULLEY,FLAT</t>
  </si>
  <si>
    <t xml:space="preserve">THE SUMTER COUNTY SHERIFF REQUESTS THIS TOOL TO BE USED BY LAW ENFORCEMENT TO MAINTAIN MILITARY SURPLUS VEHICLES. 
</t>
  </si>
  <si>
    <t>2YTLLK60513440</t>
  </si>
  <si>
    <t>ROPE,FIBROUS</t>
  </si>
  <si>
    <t>CL</t>
  </si>
  <si>
    <t>THE SUMTER COUNTY SHERIFF REQUESTS THIS ITEM TO BE USED BY LAW ENFORCEMENT OFFICERS IN OUR FITNESS TRAINING PROGRAM.</t>
  </si>
  <si>
    <t>2YTLLK60584120</t>
  </si>
  <si>
    <t>REMOVER,ELECTRICAL CONTACT</t>
  </si>
  <si>
    <t xml:space="preserve">THE SUMTER COUNTY SHERIFF REQUESTS THIS ELECTRICAL TOOL TO BE USED BY LAW ENFORCEMENT TO MAINTAIN MILITARY SURPLUS HELICOPTERS. 
</t>
  </si>
  <si>
    <t>2YTLLK60584121</t>
  </si>
  <si>
    <t>2YTLLK60584119</t>
  </si>
  <si>
    <t>DSLADDER2</t>
  </si>
  <si>
    <t>LADDER, SCAFFOLDING</t>
  </si>
  <si>
    <t>THE SUMTER COUNTY SHERIFF REQUESTS THIS LADDER TO BE USED BY LAW ENFORCEMENT IN SUPPORT OF MAINTAINING MILITARY SURPLUS HELICOPTERS.</t>
  </si>
  <si>
    <t>VALPARAISO POLICE DEPT (2YTMYV)</t>
  </si>
  <si>
    <t>2YTMYV60029870</t>
  </si>
  <si>
    <t>MAT,SLEEPING,SELF-I</t>
  </si>
  <si>
    <t>WILL BE USED BY POLICE DEPARTMENT PERSONNEL DURING EMERGENCIES SUCH AS HURRICANES OR WINTER EVENTS.  OFFICERS AND DISPATCHES MAY BE PART OF RIDEOUT TEAMS OR BE UNABLE TO RETURN HOME WHILE PROVIDING SERVICES TO THE CITY.</t>
  </si>
  <si>
    <t>WAKULLA COUNTY SHERIFF DEPT (2YTM47)</t>
  </si>
  <si>
    <t>2YTM4760654441</t>
  </si>
  <si>
    <t>THESE ITEMS WILL BE UTILIZED BY LAW ENFORCEMENT ON THEIR ISSUED PATROL RIFLES. THESE ITEMS WILL ALSO BE UTILIZED BY OUR SPECIAL RESPONSE TEAMS FOR HIGH RISK OPERATIONS, IE SEARCH WARRANTS, ACTIVE SHOOTER, ETC. I HAVE CONTACTED JACKSONVILLE, WERE THE ITEMS ARE LOCATED. I CONFIRM AND ACCEPT THE CONDITION OF THESE NIGHT VISION DEVICES OR OPTICS.</t>
  </si>
  <si>
    <t>2YTM4760583861</t>
  </si>
  <si>
    <t>THESE ITEMS WILL BE UTILIZED BY LAW ENFORCEMENT FOR MAINTENANCE AND STORAGE OF EQUIPMENT.</t>
  </si>
  <si>
    <t>2YTM4760583864</t>
  </si>
  <si>
    <t>THESE ITEMS WILL BE UTILIZED BY LAW ENFORCEMENT FOR STORAGE AND MAINTENANCE OF EQUIPMENT.</t>
  </si>
  <si>
    <t>2YTM4760583905</t>
  </si>
  <si>
    <t>DSNIGHTVI</t>
  </si>
  <si>
    <t>NIGHT VISION EQUIP, EMIT, REFLECTED RAD</t>
  </si>
  <si>
    <t>THIS NVG WILL BE UTILIZED BY OUR SPECIAL OPERATIONS TEAM WITHIN THE SHERIFF'S OFFICE. I HAVE CONTACTED JACKSONVILLE DLA, WHERE THE PROPERTY IS LOCATED. I CONFIRM AND ACCEPT THE CONDITION OF NIGHT VISION DEVICE.</t>
  </si>
  <si>
    <t>2YTM4760583906</t>
  </si>
  <si>
    <t>2YTM4760513226</t>
  </si>
  <si>
    <t>FIRST AID KIT,INDIV</t>
  </si>
  <si>
    <t>ITEMS WILL BE UTILIZED BY LAW ENFORCEMENT OFFICERS FOR LIFE SUSTAINING MEASURES AND TRAINING PURPOSES.</t>
  </si>
  <si>
    <t>2YTM4760513224</t>
  </si>
  <si>
    <t>2YTM4760513223</t>
  </si>
  <si>
    <t>2YTM4760513218</t>
  </si>
  <si>
    <t>2YTM4760443217</t>
  </si>
  <si>
    <t>2YTM4760443197</t>
  </si>
  <si>
    <t>ITEMS WILL BE UTILIZED BY LAW ENFORCEMENT OFFICERS ON PATROL AND SPECIAL RESPONSE TEAMS. LIFE SUSTAINING CAPABILITIES AND TRAINING.</t>
  </si>
  <si>
    <t>2YTM4760513195</t>
  </si>
  <si>
    <t>2YTM4760513187</t>
  </si>
  <si>
    <t>2YTM4760513186</t>
  </si>
  <si>
    <t>2YTM4760513184</t>
  </si>
  <si>
    <t>2YTM4760513191</t>
  </si>
  <si>
    <t>2YTM4760583908</t>
  </si>
  <si>
    <t>BINOCULAR</t>
  </si>
  <si>
    <t>2YTM4760583885</t>
  </si>
  <si>
    <t>DSLUGGAGE</t>
  </si>
  <si>
    <t>LUGGAGE</t>
  </si>
  <si>
    <t>THESE WILL BE UTILIZED FOR LAW ENFORCEMENT EQUIPMENT STORAGE.</t>
  </si>
  <si>
    <t>2YTM4760584333</t>
  </si>
  <si>
    <t>DSINDEQU0</t>
  </si>
  <si>
    <t>INDIVIDUAL EQUIPMENT</t>
  </si>
  <si>
    <t>THESE ITEMS WILL BE UTILIZED BY LAW ENFORCEMENT PERSONNEL FOR STORAGE AND TRANSPORTATION OF EQUIPMENT.</t>
  </si>
  <si>
    <t>GA</t>
  </si>
  <si>
    <t>BERRIEN COUNTY SHERIFF DEPT (2YTA6K)</t>
  </si>
  <si>
    <t>2YTA6K60221807</t>
  </si>
  <si>
    <t>DSVAN0001</t>
  </si>
  <si>
    <t>VAN, COMMERCIAL</t>
  </si>
  <si>
    <t>THIS WILL BE USED BY THE SHERIFF'S OFFICE FOR AN UNMARKED VEHICLE FOR INVESTIGATION STAFF.</t>
  </si>
  <si>
    <t>2YTA6K60160673</t>
  </si>
  <si>
    <t>DSEARTHMO</t>
  </si>
  <si>
    <t>EARTH MOVING AND EXCAVATING EQUIPMENT</t>
  </si>
  <si>
    <t>THIS WILL BE USED BY THE SHERIFF'S OFFICE TO MAINTAIN SHERIFF'S OFFICE GROUNDS AND RESPOND TO SITUATIONS DURING STORMS WHERE EMERGENCY ACCESS IS HINDERED AND SHERIFF'S OFFICE PERSONAL CAN CLEAR DEBRIS.</t>
  </si>
  <si>
    <t>2YTA6K60160612</t>
  </si>
  <si>
    <t>WILL BE USED BY THE SHERIFF'S OFFICE TO MOVE, LOAD AND UNLOAD EQUIPMENT AND EVIDENCE.</t>
  </si>
  <si>
    <t>2YTA6K53448837</t>
  </si>
  <si>
    <t>THESE WILL BE USED BY THE SHERIFF'S OFFICE FOR STORAGE OF EQUIPMENT AND EVIDENCE OVERFLOW.</t>
  </si>
  <si>
    <t>CLAYTON COUNTY POLICE DEPARTMENT (2YTCHK)</t>
  </si>
  <si>
    <t>2YTCHK60583554</t>
  </si>
  <si>
    <t>TRUCK,TANK</t>
  </si>
  <si>
    <t>VEHICLE WILL PROVIDE DIRECT SUPPORT TO THE POLICE AVN UNIT IN DAILY OOPERATIONS THAT SUPPORT ALL LAW ENFORCEMENT SERVICE TO THE COUNTY.CURRENTLY THE UNIT NEEDS A FUEL STORAGE TANKER TO REPLACE THE UNITS 1973 TANKER THAT IS NO LONGER IN A SAFE AND DEPENDABLE CONDITION.THE UNIT RECEIVED A HWMTT TANKER BY LESO BUT DUE TO PARTS AND MAINT IT HAS NOT BEEN ABLE TO FUNCTION.THE DEPARTMENT IS UNABLE TO PURCHASE A VEHICLE DUE TO BUDGET RESTRICTIONS.THIS VEHICLE WILL BE USED DIRECTLY FOR LAW ENFORCEMENT.</t>
  </si>
  <si>
    <t>2YTCHK60372774</t>
  </si>
  <si>
    <t>BATTERY COMPARTMENT</t>
  </si>
  <si>
    <t>THE CLAYTON COUNTY POLICE DEPT  IS REQUESTING ASSIGNMENT OF THESE BATTERY COMPARTMENTS FOR OUR NVG SYSTEMS TO AIDE IN LAW ENFORCEMENT INVESTIGATIONS.  THIS EQUIPMENT WILL ENABLE OUR NVG SYSTEMS TO BE USED.  CURRENT BATTERY COMPARTMENTS HAVE FOUND TO BE UNSERVICEABLE AND DO NOT FUNCTION.  IF AWARDED THIS EQUIPMENT WILL ALLOW FOR CONTINUED OPERATION BY THE AVIATION UNIT AND ALL DEPARTMENT LAW ENFORCEMENT OFFICERS IN PATROL, INVESTIGATIONS AND NARCOTICS DIVISIONS.</t>
  </si>
  <si>
    <t>COFFEE COUNTY SHERIFF OFFICE (2YTCMM)</t>
  </si>
  <si>
    <t>2YTCMM60654231</t>
  </si>
  <si>
    <t>TRUCK,FIRE FIGHTING</t>
  </si>
  <si>
    <t>DEPUTIES AT THE COFFEE COUNTY SHERIFF'S OFFICE WILL USE THE WINCH AND OTHER EQUIPMENT ON THE TRUCK TO HELP CLEAR AND CLEAN DEBRIS OFF ROADS DURING AND AFTER NATURAL DISASTERS. THE TRUCK WILL BE USED AT CRIME SCENES, SEARCH AND RESCUES, AND MOBILE COMMAND POSTS.</t>
  </si>
  <si>
    <t>COLUMBUS METRO AIRPORT DPS (2YTCPZ)</t>
  </si>
  <si>
    <t>2YTCPZ60795876</t>
  </si>
  <si>
    <t>THIS WILL BE USED FOR INCIDENT COMMAND FOR OUR LAW ENFORCEMENT HERE AT THE COLUMBUS AIRPORT.  WE WILL USE THIS FOR MASS CASUALTY SCENE ITEMS SUCH AS BACKBOARDS, FIRE BLANKETS, AND HAZMAT ITEMS.</t>
  </si>
  <si>
    <t>FORSYTH COUNTY SHERIFF OFFICE (2YTD7D)</t>
  </si>
  <si>
    <t>2YTD7D60020255</t>
  </si>
  <si>
    <t>BASIC CORPSMAN KIT,</t>
  </si>
  <si>
    <t>ITEMS WILL BE USED BY THE FORSYTH CO. SHERIFF'S OFFICE FOR LAW ENFORCEMENT PURPOSES ONLY. ITEMS WILL BE USED BY THE AGENCY'S SWAT MEDICS TO AID IN MEDICAL TREATMENT OF TEAM MEMBERS AND THE PUBLIC IN A TACTICAL FIELD ENVIRONMENT.</t>
  </si>
  <si>
    <t>2YTD7D60020335</t>
  </si>
  <si>
    <t>ITEMS WILL BE USED BY THE FORSYTH CO. SHERIFF'S OFFICE FOR LAW ENFORCEMENT PURPOSES ONLY. ITEMS WILL BE USED BY OFFICERS IN THE FIELD TO AID IN BLEEDING CONTROL WHEN RESPONDING TO TRAUMATIC EVENTS.</t>
  </si>
  <si>
    <t>2YTD7D60090155</t>
  </si>
  <si>
    <t>MANIKIN,TRAUMA</t>
  </si>
  <si>
    <t>ITEM WILL BE USED BY THE FORSYTH CO. SHERIFF'S OFFICE FOR LAW ENFORCEMENT PURPOSES ONLY. ITEM WILL BE USED TO AID IN TRAINING OFFICERS TO CONTROL BLEEDING AND TRAUMA ASSESSMENT DURING TACTICAL EMERGENCY CASUALTY CARE TRAINING.</t>
  </si>
  <si>
    <t>GA DEPT OF PUBLIC SAFETY (2YTEEW)</t>
  </si>
  <si>
    <t>2YTEEW6058KM01</t>
  </si>
  <si>
    <t>DSMISCSVS</t>
  </si>
  <si>
    <t>MISCELLANEOUS SERVICE AND TRADE EQUIPMEN</t>
  </si>
  <si>
    <t>HAHIRA PD (2YTEZF)</t>
  </si>
  <si>
    <t>2YTEZF60029730</t>
  </si>
  <si>
    <t>DSREFRIG0</t>
  </si>
  <si>
    <t>REFRIGERATOR</t>
  </si>
  <si>
    <t>TO BE USED BY LAW ENFORCEMENT FOR STORAGE OF COLD STORAGE EVIDENCE WHILE AWAITING TRANSPORT TO OUTSIDE LABS.</t>
  </si>
  <si>
    <t>2YTEZF60231006</t>
  </si>
  <si>
    <t>DSSCALE00</t>
  </si>
  <si>
    <t>SCALES AND BALANCES</t>
  </si>
  <si>
    <t>TO BE USED BY LAW ENFORCEMENT OFFICERS TO WEIGH SUBSTANCES SUCH AS COCAINE, MARIJUANA AND OTHERS.</t>
  </si>
  <si>
    <t>2YTEZF60230995</t>
  </si>
  <si>
    <t>TO BE USED BY LAW ENFORCEMENT OFFICERS DURING THE COURSE OF INVESTIGATIONS TO WEIGH SUBSTANCES TO DETERMINE EXACT WEIGHTS FOR CHARGING PURPOSES..</t>
  </si>
  <si>
    <t>2YTEZF53609448</t>
  </si>
  <si>
    <t>DSFILECA0</t>
  </si>
  <si>
    <t>FILE CABINET</t>
  </si>
  <si>
    <t>TO BE USED FOR THE STORAGE OF LAW ENFORCEMENT RECORDS SUCH AS INVESTIGATIVE CASE FILES AND OTHER DOCUMENTS</t>
  </si>
  <si>
    <t>HART COUNTY SHERIFF DEPT (2YTE6D)</t>
  </si>
  <si>
    <t>2YTE6D60233517</t>
  </si>
  <si>
    <t>DSATV4WHE</t>
  </si>
  <si>
    <t>ALL TERRAIN VEHICLE, 4 WHEEL</t>
  </si>
  <si>
    <t>FOR USE BY THE LAW ENFORCEMENT AGENCY IN THE TRANSPORTATION AND MOVEMENT OF AGENCY EQUIPMENT AND SUPPLIES. THIS EQUIPMENT MAY ALSO BE UTILIZED IN SUPPORT OF OFF-ROAD RESCUE AND RECOVERY OPERATIONS, COUNTER-DRUG ENFORCEMENT INITIATIVES, AND THE CLEARING AND MAINTENANCE OF LAW ENFORCEMENT AGENCY PARKING LOTS AND GROUNDS.</t>
  </si>
  <si>
    <t>MIDVILLE POLICE DEPT (2YTHQD)</t>
  </si>
  <si>
    <t>2YTHQD60231795</t>
  </si>
  <si>
    <t>TO PROVIDE GENERATORS FOR THE MIDVILLE POLICE DEPARTMENT THAT WOULD BE BENEFICIAL DURING CERTAIN DISASTERS AND SPECIAL EVENTS.</t>
  </si>
  <si>
    <t>ODUM PD (2YTTAP)</t>
  </si>
  <si>
    <t>2YTTAP60161087</t>
  </si>
  <si>
    <t>THE ODUM POLICE DEPARTMENT IS IN NEED OF A FEW CONTAINERS FOR STORAGE OF POLICE EQUIPMENT AND FILES, SUCH AS GUN SAFE THAT STORES EVIDENCE  AND OLD COURT FILES TO KEEP UNTIL DISPOSAL.</t>
  </si>
  <si>
    <t>2YTTAP60161088</t>
  </si>
  <si>
    <t>CONTAINER,FREIGHT,GENERAL PURPOSE</t>
  </si>
  <si>
    <t>THE ODUM POLICE DEPARTMENT IS IN NEED OF A FEW STORAGE CONTAINERS FOR THERE GUN RANGE TO STORE TARGETS AND GUN SUPPLIES AND EARPLUGS AND SAFTEY GLASSES USED WHILE SHOOTING THERE FIREARM</t>
  </si>
  <si>
    <t>SCREVEN COUNTY SHERIFFS OFFICE (2YTKVK)</t>
  </si>
  <si>
    <t>2YTKVK53397895</t>
  </si>
  <si>
    <t>THIS ITEM IS BEING REQUESTED BY THE SCREVEN COUNTY SHERIFFS OFFICE TO BE USED BY DEPUTIES FOR LAW ENFORCEMENT PURPOSES. THE TRAILER WILL BE USED BY DEPUTIES TO FACILITATE THE TRANSPORT OF LARGE VEHICLES AND EQUIPMENT AS NEEDED FOR LAW ENFORCEMENT.</t>
  </si>
  <si>
    <t>TATTNALL COUNTY SHERIFF'S OFFICE (2YTLP8)</t>
  </si>
  <si>
    <t>2YTLP860231083</t>
  </si>
  <si>
    <t>COOLER,AIR,EVAPORAT</t>
  </si>
  <si>
    <t>FOR DEPARTMENT USE AT AT MAINTENANCE SHOP AND OFFICE AREAS OF SHERIFFS DEPARTMENT.</t>
  </si>
  <si>
    <t>2YTLP860231082</t>
  </si>
  <si>
    <t>THOMAS COUNTY SHERIFF OFFICE (2YTLSU)</t>
  </si>
  <si>
    <t>2YTLSU53256836</t>
  </si>
  <si>
    <t>TRUCK,VAN</t>
  </si>
  <si>
    <t>THE THOMAS COUNTY SHERIFF'S OFFICE WILL UTILIZE THIS VEHICLE FOR STORM DETAILS WHEN NEEDING TO DROP OFF TRAFFIC SAFETY EQUIPMENT</t>
  </si>
  <si>
    <t>TOCCOA POLICE DEPARTMENT (2YTLVU)</t>
  </si>
  <si>
    <t>2YTLVU60372165</t>
  </si>
  <si>
    <t>THE TOCCOA POLICE DEPARTMENT IS GOING TO BE CHANGING LOCATIONS AND WE ARE IN NEED OF A BACK-UP GENERATOR FOR POWER OUTAGES.</t>
  </si>
  <si>
    <t>2YTLVU60372159</t>
  </si>
  <si>
    <t>OUR POLICE DEPARTMENT AGENCY IS MOVING LOCATIONS AND WE ARE IN NEED OF A BACK UP GENERATOR IN CASE OF A POWER OUTAGE.</t>
  </si>
  <si>
    <t>WILLACOOCHEE PD (2YTNPQ)</t>
  </si>
  <si>
    <t>2YTNPQ60090600</t>
  </si>
  <si>
    <t>RACK, STORAGE, SMALL ARMS</t>
  </si>
  <si>
    <t>THE WILLACOOCHEE POLICE DEPARTMENT IS IN NEED OF SOME GUN RACKS TO BE ABLE TO ORGANIZE OUR DEPARTMENTAL WEAPONS.</t>
  </si>
  <si>
    <t>2YTNPQ60513868</t>
  </si>
  <si>
    <t>FILING CABINET</t>
  </si>
  <si>
    <t>TTHE WILLACOOCHEE POLICE DEPARTMENT IS CURRENTLY SEEKING A DURABLE AND SECURE FILING CABINET TO HELP ORGANIZE AND STORE OUR IMPORTANT POLICE FILES. AS WE CONTINUE TO MANAGE VARIOUS DOCUMENTS RELATED TO CASE REPORTS, EVIDENCE, AND DEPARTMENTAL RECORDS, IT IS ESSENTIAL TO HAVE A RELIABLE FILING SOLUTION.</t>
  </si>
  <si>
    <t>2YTNPQ60372064</t>
  </si>
  <si>
    <t>DSCABINE5</t>
  </si>
  <si>
    <t>CABINET, OFFICE</t>
  </si>
  <si>
    <t>WILLACOCHEE POLICE DEPARTMENT IS IN NEED OF A CABINET OFFICE TO BE ABLE  TO STORE CASE FILE PERATAINING TO THE POLICE DEPARTMENT.</t>
  </si>
  <si>
    <t>2YTNPQ60795924</t>
  </si>
  <si>
    <t>SHREDDING MACHINE,PAPER</t>
  </si>
  <si>
    <t>THE WILLACOOCHEE POLICE DEPARTMENT IS SEEKING TO ACQUIRE A HIGH-QUALITY DOCUMENT SHREDDING MACHINE TO FACILITATE THE SECURE AND PROPER DESTRUCTION OF SENSITIVE INFORMATION. IT IS ESSENTIAL FOR THE DEPARTMENT TO MAINTAIN CONFIDENTIALITY AND COMPLY WITH LEGAL REGULATIONS REGARDING DOCUMENT DISPOSAL.</t>
  </si>
  <si>
    <t>2YTNPQ60795922</t>
  </si>
  <si>
    <t>2YTNPQ53538749</t>
  </si>
  <si>
    <t>BOX,SHIPPING</t>
  </si>
  <si>
    <t>THE WILLACOOCHEE POLICE DEPARTMENT IS SEEKING CONTAINERS TO SECURELY STORE EQUIPMENT, ENSURING WE ARE WELL-PREPARED FOR HURRICANES AND NATURAL DISASTERS. THIS WILL ENHANCE OUR READINESS AND RESPONSE CAPABILITIES IN CHALLENGING SITUATIONS.</t>
  </si>
  <si>
    <t>2YTNPQ53448747</t>
  </si>
  <si>
    <t>THE WILLACOOCHEE POLICE DEPARTMENT IS SEEKING  CONTAINERS TO SECURELY STORE EQUIPMENT, ENSURING WE ARE WELL-PREPARED FOR HURRICANES AND NATURAL DISASTERS. THIS WILL ENHANCE OUR READINESS AND RESPONSE CAPABILITIES IN CHALLENGING SITUATIONS.</t>
  </si>
  <si>
    <t>2YTNPQ53448748</t>
  </si>
  <si>
    <t>2YTNPQ60211513</t>
  </si>
  <si>
    <t>WILLACOOCHEE POLICE DEPARTMENT IS IN NEED OF STORAGE CONTAINER TO BE ABLE TO STORE POLICE DEPARTMENT EQUIPMENT .</t>
  </si>
  <si>
    <t>2YTNPQ60211514</t>
  </si>
  <si>
    <t>2YTNPQ60211515</t>
  </si>
  <si>
    <t>2YTNPQ60211516</t>
  </si>
  <si>
    <t>2YTNPQ60211519</t>
  </si>
  <si>
    <t>2YTNPQ60211518</t>
  </si>
  <si>
    <t>2YTNPQ60211517</t>
  </si>
  <si>
    <t>ID</t>
  </si>
  <si>
    <t>BONNER COUNTY SHERIFF OFFICE (2YTBDC)</t>
  </si>
  <si>
    <t>2YTBDC60160599</t>
  </si>
  <si>
    <t>THIS WRECKER WILL BE USED BY THE BONNER COUNTY SHERIFF'S OFFICE FOR TOWING AND RECOVERY OF FLEET VEHICLES</t>
  </si>
  <si>
    <t>2YTBDC53327597</t>
  </si>
  <si>
    <t>THIS TRAILER WILL BE USED BY BONNER COUNTY DEPUTIES FOR TRANSPORTATION OF MOTORCYCLES AND ATV'S</t>
  </si>
  <si>
    <t>2YTBDC60301754</t>
  </si>
  <si>
    <t>DOOR,VEHICULAR</t>
  </si>
  <si>
    <t>THESE DOORS WILL BE USED TO REPLACE EXISTING DOORS ON SHERIFF'S OFFICE VEHICLES</t>
  </si>
  <si>
    <t>2YTBDC60513248</t>
  </si>
  <si>
    <t>THESE TOOL BOXES WILL BE USED BY SHERIFF'S OFFICE FLEET MECHANICS FOR THE MAINTENANCE AND REPAIR OF FLEET VEHICLS</t>
  </si>
  <si>
    <t>2YTBDC60372457</t>
  </si>
  <si>
    <t>THESE TOOL KITS WILL BE USED BY SHERIFF'S OFFICE FLEET MECHANICS FOR MAINTENANCE AND REPAIR OF VEHICLES</t>
  </si>
  <si>
    <t>2YTBDC60513245</t>
  </si>
  <si>
    <t>TOOL KIT,REFRIGERATION EQUIPMENT</t>
  </si>
  <si>
    <t>THESE TOOL KITS WILL BE USED BY SHERIFF'S OFFICE FLEET MECHANICS FOR THE MAINTENANCE AND REPAIR OF FLEET VEHICLES</t>
  </si>
  <si>
    <t>COEUR D' ALENE POLICE DEPT (2YTCMH)</t>
  </si>
  <si>
    <t>2YTCMH60583927</t>
  </si>
  <si>
    <t>MOBILE UNIT,DENTAL</t>
  </si>
  <si>
    <t>THIS VEHICLE WOULD BE USED AS A MOBILE COMMAND POST TO REPLACE THE ONE THAT WAS DESTROYED DURING A FIRE AT OUR POLICE DEPARTMENT.  EQUIPMENT WOULD BE REMOVED FROM INSIDE THIS UNIT TO MAKE IT USABLE FOR OUR AGENCY.</t>
  </si>
  <si>
    <t>KOOTENAI CSO (2YTGAF)</t>
  </si>
  <si>
    <t>2YTGAF60513133</t>
  </si>
  <si>
    <t>PARACHUTE,CARGO</t>
  </si>
  <si>
    <t>THESE WOULD BE USED FOR SHERIFF SEARCH AND RESCUE SHELTERS.</t>
  </si>
  <si>
    <t>2YTGAF60513135</t>
  </si>
  <si>
    <t>CANOPY,EJECTION SEA</t>
  </si>
  <si>
    <t>THIS WOULD BE USED BY SHERIFF'S SEARCH AND RESCUE AS A PORTABLE CLASSROOM.</t>
  </si>
  <si>
    <t>2YTGAF60513134</t>
  </si>
  <si>
    <t>2YTGAF60372168</t>
  </si>
  <si>
    <t>ENGINE,OUTBOARD,STARBOARD</t>
  </si>
  <si>
    <t>THIS BOAT ENGINE WOULD BE USED TO REPLACE AN EXISTING, MUCH OLDER ENGINE CURRENTLY SERVING ON A LAW ENFORCEMENT PATROL BOAT.</t>
  </si>
  <si>
    <t>2YTGAF60372166</t>
  </si>
  <si>
    <t>OUTBOARD ENGINE</t>
  </si>
  <si>
    <t>2YTGAF60372158</t>
  </si>
  <si>
    <t>2YTGAF60372157</t>
  </si>
  <si>
    <t>2YTGAF60372156</t>
  </si>
  <si>
    <t>2YTGAF60372170</t>
  </si>
  <si>
    <t>2YTGAF60513136</t>
  </si>
  <si>
    <t>THIS TOOL KIT WOULD BE USED BY LAW ENFORCEMENT MAINTENANCE FOR REPAIRS ON LAW ENFORCEMENT FACILITIES.</t>
  </si>
  <si>
    <t>2YTGAF60302015</t>
  </si>
  <si>
    <t>THIS GENERATOR WOULD BE SED BY SHERIFF'S OFFICE PERSONNEL TO WORK ON OFF SITE LOCATIONS OR TO PROVIDE POWER TO LAW ENFORCEMENT DURING EMERGENCIES WHEN POWER WAS NOT AVAILABLE.</t>
  </si>
  <si>
    <t>2YTGAF60371938</t>
  </si>
  <si>
    <t>THIS GENERATOR WOULD BE USED FOR LAW ENFORCEMENT OFF SITE MAINTENANCE AND SUPPORT.  IN THE EVENT OF AN EMERGENCY WHERE POWER IS LOST, THIS UNIT COULD ASSIST IN RESTORING NECESSARY POWER TO EQUIPMENT.</t>
  </si>
  <si>
    <t>2YTGAF60301792</t>
  </si>
  <si>
    <t>DSLAPTOP2</t>
  </si>
  <si>
    <t>LAPTOP COMPUTER</t>
  </si>
  <si>
    <t>THESE LAPTOPS WOULD BE USED BY LAW ENFORCEMENT SPECIAL TEAMS INCLUDING DIVE, SONAR, SWAT, DRONE, AND MORE.  WE WOULD USE THEM TO TRACK EQUIPMENT AND MISSIONS.</t>
  </si>
  <si>
    <t>IL</t>
  </si>
  <si>
    <t>BRADLEY POLICE DEPT (2YTBGJ)</t>
  </si>
  <si>
    <t>2YTBGJ60231306</t>
  </si>
  <si>
    <t>GENERATOR SET,DIESEL ENGINE,TRAILER MOUN</t>
  </si>
  <si>
    <t>THIS GENERATOR WILL ENHANCE OUR EMERGENCY PREPAREDNESS AND RESPONSE CAPABILITIES. IT WILL PROVIDE US RELIABLE POWER FOR COMMUNICATIONS, COMMAND OPERATIONS, LIGHTING AND CRITICAL EQUIPMENT DURING DISASTERS, LARGE-SCALE INCIDENTS AND PROLONGED OUTAGES.  THIS ENSURES CONTINUITY OF OPERATIONS, OFFICER SAFETY, AND EFFECTIVE SERVICE TO THE COMMUNITY WHEN ELECTRICAL INFRASTRUCTURE IS COMPROMISED.</t>
  </si>
  <si>
    <t>2YTBGJ60231299</t>
  </si>
  <si>
    <t>CHAMPAIGN POLICE DEPT (2YTB67)</t>
  </si>
  <si>
    <t>2YTB6760584643</t>
  </si>
  <si>
    <t>NVD HELMET</t>
  </si>
  <si>
    <t>I AM REQUESTING THESE ITEMS FOR OFFICIAL LEA PURPOSES ON BEHALF OF THE CHAMPAIGN POLICE DEPARTMENT. I AM REQUESTING THESE ITEMS SO THEY CAN BE UTILIZED DURING NATURAL DISASTER RECOVERY OPERATIONS AS WELL AS HIGH RISK NARCOTICS TRAFFICKING BASED WARRANT SERVICES.</t>
  </si>
  <si>
    <t>CHICAGO POLICE DEPARTMENT (2YTCB4)</t>
  </si>
  <si>
    <t>2YTCB460301713</t>
  </si>
  <si>
    <t>SIGHT,NIGHT VISION SNIPERSCOPE</t>
  </si>
  <si>
    <t>THIS WILL BE USED BY CPD SWAT TEAM FOR EVENTS AND OPERATIONS.</t>
  </si>
  <si>
    <t>DELAVAN POLICE DEPT (2YTC8P)</t>
  </si>
  <si>
    <t>2YTC8P60584390</t>
  </si>
  <si>
    <t>DSRACK000</t>
  </si>
  <si>
    <t>ELECTRICAL RACK</t>
  </si>
  <si>
    <t>THE DELAVAN POLICE DEPARTMENT REQUESTS SERVER RACK EQUIPMENT TO  SUPPORT THE CRITICAL INFRASTRUCTURE OF THE DEPARTMENT. THIS EQUIPMENT IS ESSENTIAL FOR MAINTAINING SECURE, EFFICIENT OPERATIONS AND ENSURING THE RELIABILITY OF OUR NETWORK SYSTEMS, WHICH ARE VITAL FOR LAW ENFORCEMENT ACTIVITIES AND THE SAFETY OF OUR COMMUNITY.</t>
  </si>
  <si>
    <t>2YTC8P60654493</t>
  </si>
  <si>
    <t>METEOROLOGICAL STATION,AUTOMATIC</t>
  </si>
  <si>
    <t>THE DELAVAN POLICE DEPARTMENT IS REQUESTING A PORTABLE WEATHER STATION TO SUPPORT DELAVAN POLICE OFFICERS DURING TRAFFIC CRASHES, MAJOR INCIDENTS, SEARCH OPERATIONS, AND PUBLIC SAFETY EVENTS. THIS EQUIPMENT WILL ALLOW OFFICERS TO DOCUMENT REAL-TIME WEATHER CONDITIONS, INCLUDING WIND SPEED, TEMPERATURE, AND PRECIPITATION, FOR EVIDENTIARY AND SAFETY PURPOSES. THE PORTABLE SYSTEM ENHANCES SCENE DOCUMENTATION, OFFICER SAFETY, AND OPERATIONAL DECISION-MAKING DURING CRITICAL INCIDENTS.</t>
  </si>
  <si>
    <t>2YTC8P60726019</t>
  </si>
  <si>
    <t>DSCAMERA2</t>
  </si>
  <si>
    <t>CAMERA, STILL PICTURE</t>
  </si>
  <si>
    <t>DELAVAN POLICE DEPARTMENT IS REQUESTING FOR DELAVAN POLICE OFFICERS TO BUILD PHOTOGRAPY KITS IN PATROL VEHICLES TO PHOTOGRAPH CRIME AND ACCIDENT SCENES. DOCUMENTING A SCENE IS CRUCIAL, AND HAVING THE NECESSARY EQUIPMENT WILL GREATLY ASSIST OUR OFFICERS IN CAPTURING ACCURATE AND DETAILED EVIDENCE.</t>
  </si>
  <si>
    <t>2YTC8P60513072</t>
  </si>
  <si>
    <t>DSWORKST0</t>
  </si>
  <si>
    <t>COMPUTER WORKSTATION</t>
  </si>
  <si>
    <t>THE DELAVAN POLICE DEPARTMENT REQUESTS SERVER EQUIPMENT TO SUPPORT AND MAINTAIN CRITICAL DEPARTMENT INFRASTRUCTURE. THIS EQUIPMENT WILL FUNCTION AS A DEDICATED SERVER, NOT A DESKTOP WORKSTATION, AND IS ESSENTIAL FOR SECURE DATA STORAGE, NETWORK SERVICES, AND RELIABLE SYSTEM OPERATIONS THAT SUPPORT DAILY LAW ENFORCEMENT ACTIVITIES AND COMMUNITY SAFETY. THE EQUIPMENT WILL BE INVENTORIED AND USED SOLELY FOR LAW ENFORCEMENT PURPOSES.</t>
  </si>
  <si>
    <t>2YTC8P60654952</t>
  </si>
  <si>
    <t>DSSWITCH6</t>
  </si>
  <si>
    <t>SWITCH, NETWORK</t>
  </si>
  <si>
    <t>DELAVAN POLICE DEPARTMENT REQUEST FOR USE BY DELAVAN POLICE OFFICERS THIS NETWORK SWITCH TO SUPPORT SECURE CONNECTIVITY FOR MOBILE COMMAND POSTS, EMERGENCY OPERATIONS, AND INCIDENT RESPONSE. THIS EQUIPMENT WILL ALLOW RELIABLE INTEGRATION OF COMPUTERS, CAMERAS, RADIOS, AND COMMUNICATION SYSTEMS DURING DISASTERS AND CRITICAL INCIDENTS, ENSURING COORDINATED, REAL-TIME OPERATIONAL CAPABILITY.</t>
  </si>
  <si>
    <t>2YTC8P60645460</t>
  </si>
  <si>
    <t>PRINTING MACHINE,LABEL</t>
  </si>
  <si>
    <t>DELAVAN POLICE DEPARTMENT REQUEST FOR USE BY DELAVAN POLICE OFFICERS LABEL PRINTER TO SUPPORT EVIDENCE MANAGEMENT, PROPERTY CONTROL, AND OPERATIONAL ORGANIZATION. THIS EQUIPMENT WILL ALLOW OFFICERS TO PRODUCE CLEAR, DURABLE LABELS FOR EVIDENCE PACKAGING, INVENTORY TRACKING, AND EQUIPMENT IDENTIFICATION, IMPROVING CHAIN OF CUSTODY, ACCOUNTABILITY, AND EFFICIENCY DURING INVESTIGATIONS AND DAILY OPERATIONS.</t>
  </si>
  <si>
    <t>FORRESTON PD (2YTRT6)</t>
  </si>
  <si>
    <t>2YTRT660090571</t>
  </si>
  <si>
    <t>THE FORRESTON POLICE DEPARTMENT COULD UTILIZE THIS PIECE OF EQUIPMENT IN OUR SQUADS DUE TO OR COMMUNITY HAVING A VOLUNTEER FIRE DEPT</t>
  </si>
  <si>
    <t>FULTON POLICE DEPT (2YTEEE)</t>
  </si>
  <si>
    <t>2YTEEE60231046</t>
  </si>
  <si>
    <t>POWER PLANT,ELECTRIC,TRAILER MOUNTED</t>
  </si>
  <si>
    <t>THE FULTON POLICE DEPARTMENT NEEDS THIS UNIT AS A BACK UP POWER SOURCE IN THE EVENT OF A POWER OUTAGE. THE FULTON POLICE DO NOT CURRENTLY HAVE A SOURCE FOR BACK UP POWER. THIS POWER SOURCE WILL BENEFIT THE FULTON POLICE IN THE EVENT OF AN EMERGENCY OR NATURAL DISASTER.</t>
  </si>
  <si>
    <t>KANE COUNTY SHERIFF OFFICE (2YTF3G)</t>
  </si>
  <si>
    <t>2YTF3G60020146</t>
  </si>
  <si>
    <t>DSPLACTR1</t>
  </si>
  <si>
    <t>PLASMA CUTTER AND ACCESSORIES</t>
  </si>
  <si>
    <t>CUTTER NEEDED FOR THE KANE COUNTY SHERIFFS OFFICE FLEET SERVICES AND BUILDING MAINTENANCE DIVISIONS.  CUTTERS WILL BE UTILIZED FOR VEHICLE AND BUILDING REPAIRS.</t>
  </si>
  <si>
    <t>2YTF3G60655423</t>
  </si>
  <si>
    <t>SERVICING PLATFORM,SELF-PROPELLED</t>
  </si>
  <si>
    <t>SERVICING PLATFORM NEEDED TO PERFORM MAINTENANCE AT ONE OF THE THREE KANE COUNTY SHERIFF'S OFFICE LOCATIONS.  THIS PIECE OF EQUIPMENT, WITH ITS SMALL FOOTPRINT, WILL ALLOW US TO GET INTO LOCATIONS PREVIOUSLY ONLY ACCESSIBLE BY MANUALLY BUILDING SCAFFOLDING TO SERVICE OUR INTERNAL SYSTEMS.</t>
  </si>
  <si>
    <t>2YTF3G60442711</t>
  </si>
  <si>
    <t>BATTERY POWER SUPPLY</t>
  </si>
  <si>
    <t>CHARGER NEEDED FOR PERIODIC MAINTENANCE AND BATTERY CHARGING FOR THE KANE COUNTY SHERIFFS OFFICE MAXXPRO ARMORED VEHICLE AND OUR LESO ISSUED HUMVEES WHICH ARE 24VDC.</t>
  </si>
  <si>
    <t>2YTF3G60372447</t>
  </si>
  <si>
    <t>THERMOMETER IS NEEDED TO SUPPLEMENT THE KANE COUNTY SHERIFFS OFFICE NEW TEMS TACTICAL EMERGENCY MEDICAL SUPPORT ARMORED VEHICLE FOR IMMEDIATE PATIENT CARE.  THE ADDITIONAL UNITS WILL BE KEPT AS SPARES.</t>
  </si>
  <si>
    <t>2YTF3G60372446</t>
  </si>
  <si>
    <t>THERMOMETER IS NEEDED TO SUPPLEMENT THE KANE COUNTY SHERIFFS OFFICE NEW TEMS TACTICAL EMERGENCY MEDICAL SUPPORT ARMORED VEHICLE FOR IMMEDIATE PATIENT CARE.</t>
  </si>
  <si>
    <t>2YTF3G60372448</t>
  </si>
  <si>
    <t>2YTF3G60654741</t>
  </si>
  <si>
    <t>PULSE OXIMETER IS BEING REQUESTED TO PLACE INTO THE KANE COUNTY SHERIFFS TEMS ARMORED VEHICLE.  OUR TEMS TACTICAL EMERGENCY MEDICAL SERVICES VEHICLE IS THE ONLY ARMORED AMBULANCE REGISTERED IN THE STATE OF ILLINOIS.  THIS EQUIPMENT WILL INCREASE THE LEVEL OF EMERGENCY CARE WE CAN PROVIDE TO A PATIENT.</t>
  </si>
  <si>
    <t>2YTF3G60584694</t>
  </si>
  <si>
    <t>DSANALYZ2</t>
  </si>
  <si>
    <t>CHEMICAL ANALYSIS INSTRUMENTS</t>
  </si>
  <si>
    <t>TORCH TOC COMBUSTION ANALYZER IS BEING REQUESTED TO EQUIP THE NEW KANE COUNTY SHERIFFS OFFICE FORENSICS LABORATORY.  THE FORENSICS LAB BUILDOUT HAS JUST BEEN COMPLETED AND THIS EQUIPMENT WILL GO A LONG WAY TO HELP EXPAND THE LABS EVIDENCE PROCESSING CAPABILITIES.</t>
  </si>
  <si>
    <t>2YTF3G60584692</t>
  </si>
  <si>
    <t>CHROMATOGRAPH,GAS</t>
  </si>
  <si>
    <t>GAS CHROMATOGRAPHS ARE BEING REQUESTED TO EQUIP THE NEW KANE COUNTY SHERIFFS OFFICE FORENSICS LABORATORY.  THE FORENSICS LAB BUILDOUT HAS JUST BEEN COMPLETED AND THIS EQUIPMENT WILL GO A LONG WAY TO HELP EXPAND THE LABS EVIDENCE PROCESSING CAPABILITIES.</t>
  </si>
  <si>
    <t>2YTF3G60654695</t>
  </si>
  <si>
    <t>GAS CHROMATOGRAPH IS BEING REQUESTED TO EQUIP THE NEW KANE COUNTY SHERIFFS OFFICE FORENSICS LABORATORY.  THE FORENSICS LAB BUILDOUT HAS JUST BEEN COMPLETED AND THIS EQUIPMENT WILL GO A LONG WAY TO HELP EXPAND THE LABS EVIDENCE PROCESSING CAPABILITIES.</t>
  </si>
  <si>
    <t>2YTF3G60584693</t>
  </si>
  <si>
    <t>TORCH TOC COMBUSTION ANALYZERS ARE BEING REQUESTED TO EQUIP THE NEW KANE COUNTY SHERIFFS OFFICE FORENSICS LABORATORY.  THE FORENSICS LAB BUILDOUT HAS JUST BEEN COMPLETED AND THIS EQUIPMENT WILL GO A LONG WAY TO HELP EXPAND THE LABS EVIDENCE PROCESSING CAPABILITIES.</t>
  </si>
  <si>
    <t>2YTF3G60442755</t>
  </si>
  <si>
    <t>SHAKING MACHINE,LAB</t>
  </si>
  <si>
    <t>LAB SHAKING MACHINE NEEDED TO HELP FURNISH THE KANE COUNTY SHERIFFS OFFICE NEW FORENSICS LAB.  THIS EQUIPMENT CAN BE UTILIZED IN MULTIPLE TESTING AND EVIDENCE BASE PROCEDURES.</t>
  </si>
  <si>
    <t>2YTF3G60442759</t>
  </si>
  <si>
    <t>2YTF3G60442710</t>
  </si>
  <si>
    <t>METER,ROENTGEN RATE</t>
  </si>
  <si>
    <t>THE RADIATION METER IS NEED FOR THE KANE COUNTY SHERIFFS OFFICE HAZARDOUS RESPONSE TEAM. HAVING ONE OF THESE METERS IMMEDIATELY AVAILABLE TO OUR TEAM WOULD DRASTICALLY REDUCE SUSPICIOUS SUBSTANCE AND PACKAGE DETECTION.</t>
  </si>
  <si>
    <t>2YTF3G60231108</t>
  </si>
  <si>
    <t>SCALES REQUESTED TO SUPPLEMENT THE NEW KANE COUNTY SHERIFFS OFFICE FORENSICS LAB AND AN ADDITIONAL ONE TO BE UTILIZED IN OUR SIU SPECIAL INVESTIGATIONS UNIT FOR WEIGHING EVIDENCE.</t>
  </si>
  <si>
    <t>2YTF3G53468913</t>
  </si>
  <si>
    <t>DSKITCHEN</t>
  </si>
  <si>
    <t>KITCHEN EQUIPMENT AND APPLIANCES</t>
  </si>
  <si>
    <t>KITCHEN EQUIPMENT NEEDED TO REPLACE THE ORIGINAL UNIT PLACED INTO SERVICE IN THE KANE COUNTY SHERIFFS OFFICE KITCHEN IN 2007.  OUR CURRENT UNIT HAS NEEDED COSTLY PERIODIC REPAIR AND IS IN DIRE NEED OF REPLACEMENT. THIS UNIT WILL BE A PERFECT SOLUTION TO OUR IMMEDIATE NEEDS.</t>
  </si>
  <si>
    <t>2YTF3G6051KM03</t>
  </si>
  <si>
    <t>GARBAGE DISPOSAL MA</t>
  </si>
  <si>
    <t>LYNWOOD POLICE DEPARTMENT (2YTG22)</t>
  </si>
  <si>
    <t>2YTG2260725532</t>
  </si>
  <si>
    <t>THIS PACK WOULD BE UTILIZED BY OUR SWAT OPERATOR TO TRANSPORT MISSION CRITICAL EQUIPMENT REQUIRED ON OPERATIONS.</t>
  </si>
  <si>
    <t>NORTHLAKE PD (2YTPK3)</t>
  </si>
  <si>
    <t>2YTPK353538875</t>
  </si>
  <si>
    <t>THE NORTHLAKE POLICE DEPARTMENT HAS MULTIPLE MEMBERS ON THE WEST SUBURBAN SPECIAL RESPONSE TEAM.  WE DESPERATELY NEED NGV'S FOR OUR OPERATORS.</t>
  </si>
  <si>
    <t>2YTPK353538879</t>
  </si>
  <si>
    <t>ROCHELLE POLICE DEPT (2YTKB5)</t>
  </si>
  <si>
    <t>2YTKB560443447</t>
  </si>
  <si>
    <t>IT WILL BE USED ON OUR PATROL RIFLE.</t>
  </si>
  <si>
    <t>2YTKB560443445</t>
  </si>
  <si>
    <t>UNMANNED VEHICLE,GROUND</t>
  </si>
  <si>
    <t>THIS WILL BE USED FOR OUR TACTICAL TEAM FOR INCIDENTS WHERE IT WOULD BE DEADLY TO SEND AN OPERATOR INTO WE CAN SEND THE ROBOT INSTEAD.  USE IN SEARCH WARRANTS FOR SURVEILLANCE BEFORE THEY ARE EXECUTED.</t>
  </si>
  <si>
    <t>2YTKB560160669</t>
  </si>
  <si>
    <t>FOR USE BY OUR SWAT TEAM FOR GETTING EYES ON SITUATIONS WITHOUT SACRIFICING THEMSELVES.</t>
  </si>
  <si>
    <t>2YTKB560583712</t>
  </si>
  <si>
    <t>VIEWER,INFRARED</t>
  </si>
  <si>
    <t>FOR USE FOR OUR TACTICAL TEAM NIGHT OPERATIONS.</t>
  </si>
  <si>
    <t>2YTKB560443307</t>
  </si>
  <si>
    <t>THIS WOULD BE USED TO CHARGE UNMANNED VEHICLE BATTERY.</t>
  </si>
  <si>
    <t>IN</t>
  </si>
  <si>
    <t>RANDOLPH COUNTY SHERIFF DEPT (2YTJ2X)</t>
  </si>
  <si>
    <t>2YTJ2X60513466</t>
  </si>
  <si>
    <t>UNMANNED AIRCRAFT</t>
  </si>
  <si>
    <t>OUR AGENCY CURRENTLY HAS A DRONE HOWEVER IT WAS CRASHED. OUR AGENCY WOULD LIKE TO HAVE A BACKUP OPTION FOR THERMAL RECON AND SEARCH AND RESCUE OPERATIONS.</t>
  </si>
  <si>
    <t>2YTJ2X60513869</t>
  </si>
  <si>
    <t>I UNDERSTAND AND CONFIRM THE CONDITION CODE H ON THESE ITEMS. I AM REQUESTING THEM TO PROVIDE TO SWAT OPERATORS FOR INCREASED ACCURACY.</t>
  </si>
  <si>
    <t>2YTJ2X60583871</t>
  </si>
  <si>
    <t>I UNDERSTAND AND CONFIRM THE CONDITION OF THIS ITEM IS A, I AM REQUESTING 19 OF THESE TO PROVIDE TO OUR OPERATOR ON OUR SWAT TEAM TO USE FOR TACTICAL COMMUNICATIONS.</t>
  </si>
  <si>
    <t>KY</t>
  </si>
  <si>
    <t>MEADE COUNTY SHERIFF DEPT (2YTPTW)</t>
  </si>
  <si>
    <t>2YTPTW53609267</t>
  </si>
  <si>
    <t>THE MEADE CO. SHERIFF'S OFFICE WOULD LIKE TO ACQUIRE THIS VEHICLE FOR OUR AGENCY'S USE IN LOADING AND UNLOADING OUR LAW ENFORCEMENT STORAGE CONTAINERS AND OTHER HEAVY SUPPLIES TO AND FROM NATURAL DISASTER AND MAJOR LAW ENFORCEMENT SCENES. ALSO TO USE FOR MOVING VEHICLES IN OUR AGENCY'S SECURED IMPOUND LOT. WE DO NOT CURRENTLY HAVE ANYTHING BIG ENOUGH TO FULFILL THESE NEEDS.</t>
  </si>
  <si>
    <t>OLDHAM COUNTY POLICE DEPT (2YT120)</t>
  </si>
  <si>
    <t>2YT12060583803</t>
  </si>
  <si>
    <t>THESE DEVICES WILL BE USED BY OUR TACTICAL TEAM TO ASSIST WITH PROPER IDENTIFICATION OF POTENTIAL THREATS IN LOW LIGHT OR NO LIGHT ENVIRONMENTS. THE DEVICES WILL ASSIST OUR NIGHT VISION CAPABILITIES AS OUR OFFICERS PROTECT THE COMMUNITY IN HIGH THREAT SITUATIONS.</t>
  </si>
  <si>
    <t>2YT12060583804</t>
  </si>
  <si>
    <t>2YT12060584108</t>
  </si>
  <si>
    <t>THESE DEVICES WILL BE UTILIZED BY THE OLDHAM COUNTY POLICE DEPARTMENT TACTICAL TEAM TO FURTHER IMPROVE OUR NIGHT VISION CAPABILITY AND OFFICER SAFETY IN LOW LIGHT OR NO LIGHT SITUATIONS. THE DEVICES WILL IMPROVE PRECISION MARKSMAN CAPABILITIES AND IMPROVE OUR ABILITY TO SERVE OUR COMMUNITY IN HIGH THREAT ENVIRONMENTS. PHOTOS PROVIDED BY THE DLA SITE HAVE BEEN RECEIVED AND THE CONDITION APPEARS FUNCTIONAL AND ACCEPTABLE BY OUR AGENCY.</t>
  </si>
  <si>
    <t>MI</t>
  </si>
  <si>
    <t>ALPENA COUNTY SHERIFFS OFFICE (2YTAG3)</t>
  </si>
  <si>
    <t>2YTAG353468418</t>
  </si>
  <si>
    <t>TRUCK,STAKE</t>
  </si>
  <si>
    <t>ALPENA COUNTY SHERIFF'S OFFICE - THIS WOULD BE USED TO MOVE SUPPLIES AND EQUIPMENT DURING NORMAL OPERATIONS AND EMERGENCY SITUATIONS.</t>
  </si>
  <si>
    <t>2YTAG360583880</t>
  </si>
  <si>
    <t>DSGENERA0</t>
  </si>
  <si>
    <t>GENERATOR</t>
  </si>
  <si>
    <t>ALPENA COUNTY SHERIFFS DEPARTMENT -   THIS GENERATOR WOULD BE USED TO OPERATE AN EMERGENCY SHELTER</t>
  </si>
  <si>
    <t>2YTAG360584116</t>
  </si>
  <si>
    <t>ALPENA COUNTY SHERIFF'S DEPARTMENT - THIS GENERATOR WOULD BE USED TO OPERATE AS A BACKUP POWER SUPPLY AT EMERGENCY SHELTER.</t>
  </si>
  <si>
    <t>2YTAG360160568</t>
  </si>
  <si>
    <t>TABLE,LIFT,HYDRAULIC</t>
  </si>
  <si>
    <t>ALPENA COUNTY SHERIFF'S OFFICE -  THIS LIFT WOULD BE USED FOR BUILDING MAINTENANCE, INTERIOR AND EXTERIOR</t>
  </si>
  <si>
    <t>2YTAG360513395</t>
  </si>
  <si>
    <t>ALPENA COUNTY SHERIFFS DEPARTMENT-  THIS LIFT WOULD BE USED TO ASSIST WITH MOVING SUPPLIES FOR ROUTINE OPERATIONS AS WELL AS EMERGENCY SHELTER PREPAREDNESS.</t>
  </si>
  <si>
    <t>2YTAG360584170</t>
  </si>
  <si>
    <t>TRACTOR,WHEELED,WAREHOUSE</t>
  </si>
  <si>
    <t>ALPENA COUNTY SHERIFF'S DEPARTMENT - THIS ITEM WOULD BE USED FOR PATROL OPERATIONS ON OFF ROAD AREAS AND TO ASSIST WITH SEARCH AND RESCUE OPERATIONS</t>
  </si>
  <si>
    <t>GENESEE COUNTY PARK RANGER DIV (2YTPEQ)</t>
  </si>
  <si>
    <t>2YTPEQ53609504</t>
  </si>
  <si>
    <t xml:space="preserve">THIS UNIT WILL BE USED BY THE RANGERS TO HAUL CARGO AND PERSONNEL TO VARIOUS LOCATIONS OF THE ELEVEN THOUSAND ACRES OF FOREST, LAKES, AND RIVERS UNDER THEIR JURISDICTION.  
</t>
  </si>
  <si>
    <t>2YTPEQ53609198</t>
  </si>
  <si>
    <t>THIS UNIT WILL BE USED BY THE RANGERS TO HAUL CARGO AND PERSONNEL TO VARIOUS LOCATIONS OF THE ELEVEN THOUSAND ACRES OF FOREST, LAKES, AND RIVERS UNDER THEIR JURISDICTION.</t>
  </si>
  <si>
    <t>2YTPEQ53609199</t>
  </si>
  <si>
    <t xml:space="preserve">UNIT WILL BE USED  AS AN AUXILIARY  OPERATION COMMAND OR AN RESCUE OPERATIONS CENTER.  STATIONED AT THE PARKS CROSS ROAD VILLAGE FACILITY.
</t>
  </si>
  <si>
    <t>GENESEE TOWNSHIP POLICE DEPT (2YTEJC)</t>
  </si>
  <si>
    <t>2YTEJC60302330</t>
  </si>
  <si>
    <t>DSCHAIR02</t>
  </si>
  <si>
    <t>CHAIR, OFFICE</t>
  </si>
  <si>
    <t>FOR USE WITHIN THE TOWNSHIP OFFICES AND POLICE DEPARTMENT</t>
  </si>
  <si>
    <t>2YTEJC60302331</t>
  </si>
  <si>
    <t>GRAND RAPIDS POLICE DEPT (2YTEQK)</t>
  </si>
  <si>
    <t>2YTEQK60090681</t>
  </si>
  <si>
    <t>FOR USE ON GOVERNMENT PROPERTY TO PROPERLY STORE AND SECURE GOVERNMENT EQUIPMENT. THE HOLDING FACILITY HAS BEEN CONTACTED TO VERIFY CONDITION.</t>
  </si>
  <si>
    <t>GROSSE POINTE FARMS PUBLIC SAFETY (2YTEWV)</t>
  </si>
  <si>
    <t>2YTEWV60161232</t>
  </si>
  <si>
    <t>THE SPECIAL RESPONSE TEAM REQUESTS A GROUND UNMANNED VEHICLE TO SUPPORT HIGH-RISK OPERATIONS INCLUDING BARRICADED SUBJECTS, ARMED SUSPECTS, AND HAZARDOUS ENVIRONMENT ASSESSMENTS. THE VEHICLE ENHANCES OFFICER AND PUBLIC SAFETY BY ALLOWING REMOTE RECONNAISSANCE, DELIVERY OF COMMUNICATION DEVICES, AND VISUAL ASSESSMENT WITHOUT EXPOSING PERSONNEL TO UNNECESSARY RISK.</t>
  </si>
  <si>
    <t>2YTEWV60371233</t>
  </si>
  <si>
    <t>THE SPECIAL RESPONSE TEAM REQUESTS A THROWABLE GROUND UNMANNED VEHICLE TO SUPPORT HIGH-RISK INCIDENTS SUCH AS BARRICADED SUBJECTS AND CONFINED-SPACE OPERATIONS. THE DEVICE ALLOWS RAPID REMOTE VISUAL ASSESSMENT AND COMMUNICATION IN AREAS INACCESSIBLE TO OFFICERS, REDUCING RISK TO PERSONNEL WHILE IMPROVING SITUATIONAL AWARENESS AND PUBLIC SAFETY.</t>
  </si>
  <si>
    <t>2YTEWV60161231</t>
  </si>
  <si>
    <t>UNMANNED VEHICLE,GR</t>
  </si>
  <si>
    <t>2YTEWV60090349</t>
  </si>
  <si>
    <t>TO BE USED BY GPF PD OFFICES FOR IMPROVED PATROL RIFLE ACCURACY, IN TRAINING FOR IMMEDIATE FEEDBACK ON RECOIL MANAGEMENT,  TO REDUCE RISK OF BLUE ON BLUE WHEN DECONFLICTING UNCONTESTED AREAS INTO SECURED AREAS, AND TO INCREASE VISIBILITY IN LOW TO NO LIGHT OPERATIONS WITH IR ILLUMINATION.</t>
  </si>
  <si>
    <t>2YTEWV60513142</t>
  </si>
  <si>
    <t>A COMBAT CASUALTY BAG IS REQUESTED TO SUPPORT POLICE OPERATIONS REQUIRING IMMEDIATE MEDICAL INTERVENTION DURING CRITICAL INCIDENTS. THE BAG ALLOWS OFFICERS TO RAPIDLY TREAT LIFE-THREATENING INJURIES TO OFFICERS OR CIVILIANS PRIOR TO EMS ARRIVAL, IMPROVING SURVIVAL OUTCOMES AND ENHANCING PUBLIC AND OFFICER SAFETY.</t>
  </si>
  <si>
    <t>2YTEWV60513139</t>
  </si>
  <si>
    <t>MES COMBAT MEDIC-20</t>
  </si>
  <si>
    <t>THE MES COMBAT MEDIC-20 KIT IS REQUESTED TO PROVIDE IMMEDIATE LIFESAVING MEDICAL CARE DURING HIGH-RISK INCIDENTS. THE KIT SUPPORTS RAPID TREATMENT OF TRAUMATIC INJURIES TO OFFICERS OR CIVILIANS PRIOR TO EMS ARRIVAL, IMPROVING SURVIVAL OUTCOMES AND ENHANCING OFFICER AND PUBLIC SAFETY DURING CRITICAL EVENTS.</t>
  </si>
  <si>
    <t>HURON CLINTON METRO AUTH POLICE (2YTRAL)</t>
  </si>
  <si>
    <t>2YTRAL60301539</t>
  </si>
  <si>
    <t>GOGGLES,INDUSTRIAL</t>
  </si>
  <si>
    <t>THE METROPARKS POLICE DEPARTMENT WILL UTYLIZE THE GOOGLES TO PROVIDE PROTECTION DURING CHECMILA WEAPONS TRAINING FOR NEW OFFICERS AS WELL AS DURING ANNUAL TRAINING.</t>
  </si>
  <si>
    <t>2YTRAL60443149</t>
  </si>
  <si>
    <t>MOUNTING LOCKING MECHANISM,GOGGLES,NIGHT</t>
  </si>
  <si>
    <t>OFFICERS ASSIGNED TO THE OAKLAND COUNTY SEARCH AND RESCUE TEAM WILL UTILIZE THESE MOUNTS TO ATTACH THEIR MILITARY-ISSUED NIGHT VISION GOGGLES TO THEIR HELMETS. BECAUSE THE MOUNTS ARE DESIGNED TO BREAK AWAY, MAINTAINING ADDITIONAL UNITS ON HAND WILL HELP ENSURE OPERATIONAL READINESS.</t>
  </si>
  <si>
    <t>IMLAY CITY POLICE DEPT (2YTFPW)</t>
  </si>
  <si>
    <t>2YTFPW60725353</t>
  </si>
  <si>
    <t>THE IMLAY CITY POLICE DEPARTMENT IS IN NEED OF FIRST AID KITS FOR THE DEPARTMENTS PATROLMEN.</t>
  </si>
  <si>
    <t>LANSING POLICE DEPARTMENT (2YTPER)</t>
  </si>
  <si>
    <t>2YTPER53609801</t>
  </si>
  <si>
    <t>DSOPTSIGH</t>
  </si>
  <si>
    <t>OPTICAL SIGHTING AND RANGING EQUIPMENT</t>
  </si>
  <si>
    <t>FOR USE BY LANSING POLICE DEPARTMENT ON ISSUED RIFLES TO INCREASE EASE OF IDENTIFYING TARGETS AND TO INCREASE ACCURACY. CONTACT HAS BEEN MADE TO VERIFY CONDITION</t>
  </si>
  <si>
    <t>2YTPER60029812</t>
  </si>
  <si>
    <t>FOR USE BY LANSING POLICE ON TRAINING PISTOLS FOR FORCE ON FORCE SCENARIOS. CONTACT HAS BEEN MADE TO CONFIRM CONDITION.</t>
  </si>
  <si>
    <t>2YTPER60372014</t>
  </si>
  <si>
    <t>REPLACEMENT LENS,CL</t>
  </si>
  <si>
    <t>FOR USE BY ON DUTY OFFICERS OF THE LANSING POLICE DEPARTMENT FOR EYE PROTECTION.</t>
  </si>
  <si>
    <t>2YTPER60301439</t>
  </si>
  <si>
    <t>INTERFACE UNIT,COMMUNICATION EQUIPMENT</t>
  </si>
  <si>
    <t>FOR USE BY ON DUTY OFFICERS OF THE LANSING POLICE DEPARTMENT TO IMPROVE RADIO COMMUNICATION AND PROTECT OFFICER'S HEARING.</t>
  </si>
  <si>
    <t>2YTPER60301438</t>
  </si>
  <si>
    <t>2YTPER60301435</t>
  </si>
  <si>
    <t>2YTPER53609862</t>
  </si>
  <si>
    <t>LIGHT,WARNING</t>
  </si>
  <si>
    <t>FOR USE BY ON DUTY OFFICERS OF THE LANSING POLICE DEPARTMENT FOR OFFICER IDENTIFICATION AND INCREASED SAFETY IN LOW LIGHT ENVIRONMENTS. CONTACT HAS BEEN MADE WITH LOCATION TO VERIFY PROPERTY CONDITION.</t>
  </si>
  <si>
    <t>2YTPER53609531</t>
  </si>
  <si>
    <t>DSOUTMENS</t>
  </si>
  <si>
    <t>OUTERWEAR, MEN'S</t>
  </si>
  <si>
    <t>FOR USE BY LANSING POLICE DEPARTMENT TACTICAL TEAM DURING WET AND RAINY OPERATIONS AND TRAINING</t>
  </si>
  <si>
    <t>MANISTEE COUNTY SHERIFF'S OFFICE (2YTG8B)</t>
  </si>
  <si>
    <t>2YTG8B60372583</t>
  </si>
  <si>
    <t>DEPARTMENTAL USE FOR NIGHTTIME TACTICAL AND OR SEARCH AND RESCUE OPERATIONS. SITE WILL BE CONTACTED TO VERIFY CONDITION.</t>
  </si>
  <si>
    <t>2YTG8B60029888</t>
  </si>
  <si>
    <t>DEPARTMENTAL USE FOR NIGHT TIME TACTICAL AND OR SEARCH AND RESCUE OPERATIONS. CONTACT WILL BE MADE WITH SITE PERSONNEL TO CONFIRM FUNCTIONALITY OF UNITS.</t>
  </si>
  <si>
    <t>2YTG8B60583851</t>
  </si>
  <si>
    <t>DSTHRMIMG</t>
  </si>
  <si>
    <t>THERMAL IMAGING EQUIPMENT</t>
  </si>
  <si>
    <t>DEPARTMENTAL USE FOR NIGHTTIME TACTICAL AND OR SEARCH AND RESCUE OPERATIONS. SITE HAS BEEN CONTACTED TO CONFIRM AND ACCEPT CONDITION OF ITEM.</t>
  </si>
  <si>
    <t>2YTG8B53539319</t>
  </si>
  <si>
    <t>DEPARTMENTAL USE FOR NIGHT TIME TACTICAL AND OR SEARCH AND RESCUE OPERATIONS</t>
  </si>
  <si>
    <t>2YTG8B60583713</t>
  </si>
  <si>
    <t>DEPARTMENTAL USE FOR COLD WEATHER DUTIES OR PATROL AND OR SEARCH AND RESCUE OPERATIONS.</t>
  </si>
  <si>
    <t>MASON COUNTY SHERIFF DEPT (2YTHD9)</t>
  </si>
  <si>
    <t>2YTHD953537654</t>
  </si>
  <si>
    <t>IF AQUIRED, THE MASON COUNTY SHERIFF'S OFFICE WOULD USE THESE IN TACTICAL SITUATIONS TO LOOK FOR DANGEROUS SUSPECTS. ITEMS HAVE BEEN VERIFIED WITH DLA DS COLUMBUS.</t>
  </si>
  <si>
    <t>2YTHD960372701</t>
  </si>
  <si>
    <t>IF ACQUIRED, THESE UNITS WOULD BE USED WITH OUR ACQUIRED NIGHT VISION GOGGLES FOR TACTICAL OPERATIONS FOR THE MASON COUNTY SHERIFF'S OFFICE. CONDITION OF UNITS WERE VERIFIED WITH DLA RED RIVER.</t>
  </si>
  <si>
    <t>MOUNT MORRIS TOWNSHIP POLICE DEPT (2YTH5N)</t>
  </si>
  <si>
    <t>2YTH5N60029841</t>
  </si>
  <si>
    <t>SPECTACLES,INDUSTRI</t>
  </si>
  <si>
    <t>FOR USE BY THE MT. MORRIS TWP POLICE OFFICERS DURING HIGH RISK SEARCH WARRANTS AND RANGE INSTRUCTION.</t>
  </si>
  <si>
    <t>2YTH5N60090059</t>
  </si>
  <si>
    <t>TO BE UTILIZED BY THE MT. MORRIS TWP OFFICERS AND PERSONNEL TO CONDUCT EMERGENCY PREPAREDNESS AND ASSIST WITH VEHICLE EXTRACTION FROM INCLEMENT WEATHER CONDITIONS.</t>
  </si>
  <si>
    <t>OAKLAND COUNTY SHERIFF OFFICE (2YT1WK)</t>
  </si>
  <si>
    <t>2YT1WK60230926</t>
  </si>
  <si>
    <t>FOR USE BY THE SHERIFF'S DEPARTMENT FOR STORAGE OF RIFLES IN THE WEAPONS VAULT.</t>
  </si>
  <si>
    <t>2YT1WK60513039</t>
  </si>
  <si>
    <t>THE OAKLAND COUNTY SHERIFFS OFFICE REQUESTS AN RQ-11 RAVEN FIXED-WING UAS TO PROVIDE LONG-ENDURANCE, LONG-DISTANCE AERIAL OBSERVATION FOR SEARCH OPERATIONS AND LARGE INCIDENTS. THIS IS A CAPABILITY WE CURRENTLY LACK. EXTENDED FLIGHT TIME ALLOWS CONTINUOUS COVERAGE OF WOODED, RURAL, AND PARK AREAS WITHOUT REPEATED BATTERY CHANGES, WHILE GREATER RANGE SUPPORTS WIDE PERIMETERS AND TRACKING BEYOND ROTARY DRONE LIMITS, IMPROVING SAFETY AND EFFECTIVENESS.</t>
  </si>
  <si>
    <t>2YT1WK60513040</t>
  </si>
  <si>
    <t>2YT1WK60513041</t>
  </si>
  <si>
    <t>2YT1WK53607703</t>
  </si>
  <si>
    <t>THE OAKLAND COUNTY SHERIFFS OFFICE REQUESTS A GROUND ROBOT TO SUPPORT TACTICAL, HAZARDOUS DEVICE, AND RECONNAISSANCE OPERATIONS. OUR EXISTING UNITS ARE AGING AND LACK THE MODERN CAMERAS, RADIOS, AND RELIABILITY NEEDED FOR CURRENT THREATS. THESE LIMITATIONS REDUCE EFFECTIVENESS AND INCREASE RISK TO PERSONNEL. A NEW ROBOT ENSURES SAFE, REMOTE ASSESSMENT AND MAINTAINS OPERATIONAL READINESS FOR HIGH-RISK INCIDENTS.</t>
  </si>
  <si>
    <t>2YT1WK60160238</t>
  </si>
  <si>
    <t>THE OAKLAND COUNTY SHERIFFS OFFICE REQUESTS FIVE FLIR FIRSTLOOK 110 ROBOTS TO SUPPORT TACTICAL ENTRY, LARGE STRUCTURE CLEARING, AND CONFINED-SPACE RESCUE OPERATIONS. THIS BACKPACK-DEPLOYABLE PLATFORM PROVIDES RAPID RECONNAISSANCE BEFORE PERSONNEL ENTRY. DUE TO EXPECTED CONDITION ISSUES, MULTIPLE UNITS ARE REQUESTED TO ALLOW PARTS INTERCHANGE AND REFURBISHMENT, WITH THE GOAL OF FIELDING SEVERAL FULLY OPERATIONAL SYSTEMS TO MAINTAIN MISSION READINESS.</t>
  </si>
  <si>
    <t>2YT1WK53609307</t>
  </si>
  <si>
    <t>DSUNMNGVH</t>
  </si>
  <si>
    <t>UNMANNED GROUND VEHICLES</t>
  </si>
  <si>
    <t>THE OAKLAND COUNTY SHERIFFS OFFICE REQUESTS AN ENVIRONMENTAL SENSOR HUB FOR THE PACKBOT 510 TO SUPPORT HAZARDOUS MATERIALS AND CONFINED-SPACE OPERATIONS. THE SENSOR HUB ALLOWS REMOTE MONITORING OF OXYGEN LEVELS AND AIRBORNE CHEMICAL HAZARDS BEFORE PERSONNEL ENTRY. THIS CAPABILITY IMPROVES SITUATIONAL AWARENESS, REDUCES RISK TO RESPONDERS, AND SUPPORTS SAFE DECISION-MAKING DURING HIGH-RISK INCIDENTS INVOLVING UNKNOWN OR POTENTIALLY DANGEROUS ATMOSPHERES.</t>
  </si>
  <si>
    <t>2YT1WK53538725</t>
  </si>
  <si>
    <t>SHACKLE</t>
  </si>
  <si>
    <t>FOR USE BY OSD OFFICERS ASSIGNED TO SHERIFF'S SEARCH AND RESCUE TEAM. TO BE USED FOR RIGGING RESCUE SYSTEMS.</t>
  </si>
  <si>
    <t>2YT1WK53398011</t>
  </si>
  <si>
    <t>FOR USE BY OSD OFFICERS ASSIGNED TO THE SHERIFF'S SEARCH AND RESCUE TEAM FOR COLLAPSE AND TECHNICAL RESCUES. THE AGENCY CURRENTLY DOES NOT HAVE THIS CAPABILITY.</t>
  </si>
  <si>
    <t>2YT1WK60020038</t>
  </si>
  <si>
    <t>FOR USE BY ON DUTY OSD OFFICERS ASSIGNED TO THE SHERIFF'S SEARCH AND RESCUE TEAM, AND SWAT TEAM TO PROVIDE NIGHT VISION CAPABILITIES TO THE TEAM MEMBERS.</t>
  </si>
  <si>
    <t>2YT1WK60231229</t>
  </si>
  <si>
    <t>FOR USE BY ON DUTY OSD OFFICERS ASSIGNED TO THE SHERIFF'S SEARCH AND RESCUE TEAM AND SWAT. THIS EQUIPMENT WILL PROVIDE NIGHT VISION CAPABILITIES TO OFFICERS OPERATING IN NIGHT SEARCH AND RESCUE AND TACTICAL RESPONSE.</t>
  </si>
  <si>
    <t>2YT1WK53468724</t>
  </si>
  <si>
    <t>SPINEBOARD</t>
  </si>
  <si>
    <t>FOR USE BY ON DUTY OSD OFFICERS ASSIGNED TO THE SHERIFF'S SEARCH AND RESCUE TEAM FOR MOVING NON-AMBULATORY PATIENTS.</t>
  </si>
  <si>
    <t>2YT1WK53539489</t>
  </si>
  <si>
    <t>CAMERA,RECONNAISSANCE SYSTEM</t>
  </si>
  <si>
    <t>THE OAKLAND COUNTY SHERIFFS OFFICE REQUESTS FOUR FLIR SAFIRE III EO IR CAMERA SYSTEMS TO SUPPORT AVIATION OPERATIONS. OUR TWO HELICOPTERS CURRENTLY OPERATE CAMERAS THAT ARE OVER 10 YEARS OLD, LIMITING CAPABILITY AND RELIABILITY. THESE SYSTEMS WOULD SIGNIFICANTLY ENHANCE SEARCH, TRACKING, AND SITUATIONAL AWARENESS. FOUR UNITS ARE REQUESTED TO MAXIMIZE THE LIKELIHOOD OF FIELDING TWO FULLY OPERATIONAL SYSTEMS TO SUPPORT CONTINUOUS AVIATION READINESS.</t>
  </si>
  <si>
    <t>2YT1WK60584307</t>
  </si>
  <si>
    <t>DSGRILL01</t>
  </si>
  <si>
    <t>GRILL, OUTDOOR</t>
  </si>
  <si>
    <t>THE OAKLAND COUNTY SHERIFFS OFFICE REQUESTS A COMMERCIAL-GRADE GRILL TO SUPPORT PERSONNEL DURING TRAINING DAYS, EXTENDED DEPLOYMENTS, AND COMMUNITY ENGAGEMENT EVENTS. THIS EQUIPMENT WILL BE USED FOR MORALE, TEAM COHESION, AND OUTREACH ACTIVITIES THAT STRENGTHEN RELATIONSHIPS BETWEEN DEPUTIES AND THE COMMUNITY WE SERVE.</t>
  </si>
  <si>
    <t>OCEANA COUNTY SHERIFF DEPT (2YT1XS)</t>
  </si>
  <si>
    <t>2YT1XS60372148</t>
  </si>
  <si>
    <t>THIS MOTOR WOULD BE USED ON THE OCEANA COUNTY SHERIFF'S OFFICE PATROL BOAT FOR MARINE PATROL OPERATIONS</t>
  </si>
  <si>
    <t>2YT1XS53538819</t>
  </si>
  <si>
    <t>THIS GENERATOR IF ACQUIRED WOULD BE UTILIZED WITH OCEANA SHERIFF'S OFFICE EQUIPMENT TRAILERS, AND OCEANA SHERIFF'S OFFICE MARINE, ROAD, AND SNOW, DIVISIONS FOR PROVIDING POWER FOR LIGHTING AND HEATING, ALONG WITH OTHER VITAL ELECTRICAL EQUIPMENT DURING CRITICAL INCIDENTS AND TRAINING EVENTS.</t>
  </si>
  <si>
    <t>2YT1XS60230885</t>
  </si>
  <si>
    <t>DSDETECTA</t>
  </si>
  <si>
    <t>DETECTORS DEMIL A</t>
  </si>
  <si>
    <t>THIS WOULD BE UTILIZED BY DETECTIVES WITH THE OCEANA COUNTY SHERIFF'S OFFICE FOR USE DURING INVESTIGATIONS THAT REQUIRE SCANNING EARTH FOR EVIDENCE. THE CONDITION OF THIS UNIT WAS VERIFIED WITH DLA JACKSONVILLE</t>
  </si>
  <si>
    <t>2YT1XS60160417</t>
  </si>
  <si>
    <t>THESE PARKAS WOULD BE ISSUED TO ROAD PATROL OFFICERS WITH THE OCEANA COUNTY SHERIFF'S OFFICE TO KEEP DRY DURING RAINFALL.</t>
  </si>
  <si>
    <t>MN</t>
  </si>
  <si>
    <t>RENVILLE COUNTY SHERIFF OFFICE (2YTJ59)</t>
  </si>
  <si>
    <t>2YTJ5960090342</t>
  </si>
  <si>
    <t>LASES WILL BE USED FOR DEPUTIES TO AID IN TACTICAL OPERATIONS.  ALSO REQUESTING ALL OF THEM FOR MANY WILL NOT WORK AND NEED TO FIND THOSE THAT WORK AND DON'T WORK.I ACCEPT THE CONDITION OF THE ITEM</t>
  </si>
  <si>
    <t>2YTJ5960090341</t>
  </si>
  <si>
    <t>LASES WILL BE USED FOR DEPUTIES TO AID IN TACTICAL OPERATIONS.  ALSO REQUESTING ALL OF THEM FOR MANY WILL NOT WORK AND NEED TO FIND THOSE THAT WORK AND DON'T WORK. I ACCEPT THE CONDITION OF THE ITEM</t>
  </si>
  <si>
    <t>2YTJ5960090339</t>
  </si>
  <si>
    <t>2YTJ5960090343</t>
  </si>
  <si>
    <t>SHERBURNE COUNTY SHERIFF'S OFFICE (2YTK1W)</t>
  </si>
  <si>
    <t>2YTK1W60725476</t>
  </si>
  <si>
    <t>VEST,FLAME RESISTAN</t>
  </si>
  <si>
    <t>THE SHERBURNE COUNT SHERIFF'S OFFICE IS REQUESTING COLD WEATHER CLOTHING FOR USE BY SPECIAL TEAMS TASKED WITH WORKING INVESTIGATIONS IN ADVERSE CLIMATES.  THIS ITEM IS PART OF A LAYERING SYSTEM USED TO ADAPT TO CHANGING CONDITIONS WHILE PREVENTING WEATHER RELATED INJURY DUE TO COLD WET CONDITIONS.  THESE TEAMS ARE ALSO TASKED WITH HIGH RISK WARRANT SERVICE AND CALL RESPONSE.</t>
  </si>
  <si>
    <t>2YTK1W60725477</t>
  </si>
  <si>
    <t>2YTK1W60514067</t>
  </si>
  <si>
    <t>2YTK1W60584068</t>
  </si>
  <si>
    <t>2YTK1W60584070</t>
  </si>
  <si>
    <t>2YTK1W60514071</t>
  </si>
  <si>
    <t>2YTK1W60514073</t>
  </si>
  <si>
    <t>2YTK1W60584074</t>
  </si>
  <si>
    <t>2YTK1W60584077</t>
  </si>
  <si>
    <t>2YTK1W60514078</t>
  </si>
  <si>
    <t>2YTK1W60584079</t>
  </si>
  <si>
    <t>2YTK1W60584080</t>
  </si>
  <si>
    <t>2YTK1W60514081</t>
  </si>
  <si>
    <t>LINER,EXTREME COLD</t>
  </si>
  <si>
    <t>2YTK1W60090041</t>
  </si>
  <si>
    <t>2YTK1W60090042</t>
  </si>
  <si>
    <t>2YTK1W60090045</t>
  </si>
  <si>
    <t>2YTK1W60090047</t>
  </si>
  <si>
    <t>2YTK1W60090050</t>
  </si>
  <si>
    <t>2YTK1W60161137</t>
  </si>
  <si>
    <t>THE SHERBURNE COUNTY SHERIFF'S OFFICE IS REQUESTING INCLIMATE WEATHER GEAR FOR OUTDOOR OPERATIONS.  THE GEAR WILL HELP KEEP OFFICERS WARM AND DRY.  THIS KEEPS OFFICERS WORKING AT PEAK PERFORMANCE AND REDUCES CHANCE OF WEATHER REALTED INJURY.  OFFICER MAY FIND THEMSELVES WORKING IN INCLIMATE WEATHER DURING HIGH RISK DEPLOYMENTS AND INVESTIGATIONS OR DURING SEARCH AND RESCUE MISSIONS.</t>
  </si>
  <si>
    <t>2YTK1W60161139</t>
  </si>
  <si>
    <t>2YTK1W60161140</t>
  </si>
  <si>
    <t>2YTK1W60161141</t>
  </si>
  <si>
    <t>2YTK1W60231142</t>
  </si>
  <si>
    <t>2YTK1W60161143</t>
  </si>
  <si>
    <t>2YTK1W60161144</t>
  </si>
  <si>
    <t>2YTK1W60231146</t>
  </si>
  <si>
    <t>.THE SHERBURNE COUNTY SHERIFF'S OFFICE IS REQUESTING INCLIMATE WEATHER GEAR FOR OUTDOOR OPERATIONS.  THE GEAR WILL HELP KEEP OFFICERS WARM AND DRY.  THIS KEEPS OFFICERS WORKING AT PEAK PERFORMANCE AND REDUCES CHANCE OF WEATHER REALTED INJURY.  OFFICER MAY FIND THEMSELVES WORKING IN INCLIMATE WEATHER DURING HIGH RISK DEPLOYMENTS AND INVESTIGATIONS OR DURING SEARCH AND RESCUE MISSIONS.</t>
  </si>
  <si>
    <t>2YTK1W60231147</t>
  </si>
  <si>
    <t>2YTK1W60231148</t>
  </si>
  <si>
    <t>2YTK1W60231149</t>
  </si>
  <si>
    <t>2YTK1W60231150</t>
  </si>
  <si>
    <t>2YTK1W60231151</t>
  </si>
  <si>
    <t>2YTK1W60161152</t>
  </si>
  <si>
    <t>2YTK1W60161153</t>
  </si>
  <si>
    <t>2YTK1W60231156</t>
  </si>
  <si>
    <t>2YTK1W60231157</t>
  </si>
  <si>
    <t>2YTK1W60231158</t>
  </si>
  <si>
    <t>2YTK1W60231159</t>
  </si>
  <si>
    <t>2YTK1W60231160</t>
  </si>
  <si>
    <t>2YTK1W60231167</t>
  </si>
  <si>
    <t>2YTK1W60231169</t>
  </si>
  <si>
    <t>2YTK1W60231171</t>
  </si>
  <si>
    <t>2YTK1W60231174</t>
  </si>
  <si>
    <t>2YTK1W60231175</t>
  </si>
  <si>
    <t>2YTK1W60231176</t>
  </si>
  <si>
    <t>2YTK1W60654619</t>
  </si>
  <si>
    <t>2YTK1W60584616</t>
  </si>
  <si>
    <t>2YTK1W60231177</t>
  </si>
  <si>
    <t>2YTK1W60654614</t>
  </si>
  <si>
    <t>2YTK1W60654615</t>
  </si>
  <si>
    <t>MO</t>
  </si>
  <si>
    <t>BOONVILLE POLICE DEPT (2YTBDZ)</t>
  </si>
  <si>
    <t>2YTBDZ60302367</t>
  </si>
  <si>
    <t>FOR USE ON LAW ENFORCEMENT CARBINES TO ENHANCE TARGET ACQUISITION AND ACCURACY, FOR TACTICAL TEAM MEMBERS.</t>
  </si>
  <si>
    <t>HOWELL COUNTY SHERIFF OFFICE (2YTFKX)</t>
  </si>
  <si>
    <t>2YTFKX60230834</t>
  </si>
  <si>
    <t>THE HOWELL COUNTY SHERIFF'S OFFICE IS A LAW ENFORCEMENT AGENCY. THIS TRUCK WILL REPLACE AN OLDER TRUCK THAT IS UNRELIABLE MECHANICALLY. TRUCK WILL TRANSPORT DEBRIS REMOVAL EQUIPMENT TO RESPOND TO A MULTITUDE OF DIFFERENT DISASTERS HAULING HEAVY EQUIPMENT AND SUPPLIES. THESE INCLUDE FLOOD AND STORM DEBRIS REMOVAL EQUIPMENT LIKE SKID STEERS, EXCAVATOR AND LOADER. HOWELL COUNTY IS CURRENTLY UNDER A FEDERAL DISASTER DECLARATION THIS TRUCK WOULD AID IN OUR CONTINUED RESPONSE EFFORTS.??</t>
  </si>
  <si>
    <t>2YTFKX60231227</t>
  </si>
  <si>
    <t>THE HOWELL COUNTY SHERIFF'S OFFICE IS A LAW ENFORCEMENT AGENCY. HCSO WILL USE THE REQUESTED TRAILER TO TRANSPORT DEBRIS REMOVAL EQUIPMENT. THIS TRAILER COUPLED WITH A TRUCK WOULD RESPOND TO A MULTITUDE OF DIFFERENT NATURAL AND MAN-MADE DISASTERS HAULING HEAVY EQUIPMENT AND SUPPLIES. THESE INCLUDE FLOOD AND STORM DEBRIS REMOVAL EQUIPMENT LIKE SKID STEERS, BULLDOZER AND EXCAVATOR. HOWELL COUNTY IS CURRENTLY UNDER A FEDERAL DISASTER DECLARATION THIS WOULD AID IN OUR CONTINUED RESPONSE.??</t>
  </si>
  <si>
    <t>2YTFKX60230835</t>
  </si>
  <si>
    <t>TRAILER,FLAT BED</t>
  </si>
  <si>
    <t>THE HOWELL COUNTY SHERIFF'S OFFICE IS A LAW ENFORCEMENT AGENCY. HCSO WILL THIS THIS TRAILER IN TO TRANSPORT UTILITY VEHICLES RESPONSE TO EMERGENCIES SUCH AS NATURAL DISASTERS, MISSING PERSONS, MANHUNTS. CRIME SCENES AND OTHER EMERGENCY SITUATIONS AS THEY ARISE. HCSO PATROLS 926 SQ MILES OF VERY RURAL??ROUGH TERRAIN. IN ADDITION, HCSO ALSO RESPONDS TO AND PATROLS OVER 50,000 ACRES OF STATE AND NATIONAL FORREST LAND WITHIN HOWELL COUNTY.??</t>
  </si>
  <si>
    <t>2YTFKX60655407</t>
  </si>
  <si>
    <t>PLASMA CUTTER,PORTA</t>
  </si>
  <si>
    <t>HCSO IS A LAW ENFORCEMENT AGENCY. HCSO WILL USE THE REQUESTED PLASMA CUTTER FOR FACILITY MAINTENANCE, RANGE IMPROVEMENTS, AND EMERGENCY OPERATIONS. THIS TOOL ALLOWS PERSONNEL TO QUICKLY CUT METAL FOR REPAIRS, EQUIPMENT FABRICATION, AND INFRASTRUCTURE WORK. IT CAN ALSO ASSIST WITH DEBRIS REMOVAL AND ACCESS DURING DISASTER RESPONSE. A PLASMA CUTTER IMPROVES EFFICIENCY, REDUCES DOWNTIME, AND SUPPORTS SAFE, EFFECTIVE OPERATIONS.</t>
  </si>
  <si>
    <t>2YTFKX60583994</t>
  </si>
  <si>
    <t>THE HOWELL COUNTY SHERIFFS OFFICE IS A LAW ENFORCEMENT AGENCY. HCSO WILL USE THE REQUESTED LAWN MOWERS TO MAINTAIN GROUNDS AT THE SHERIFFS OFFICE BUILDING AND THE TRAINING FACILITY. PROPER GROUNDS MAINTENANCE IMPROVES SAFETY, VISIBILITY, AND ACCESSIBILITY, REDUCES HAZARDS, AND PRESERVES PUBLIC PROPERTY. MAINTAINING THESE AREAS ENSURES A SAFE ENVIRONMENT FOR EMPLOYEES, TRAINEES, AND THE PUBLIC.</t>
  </si>
  <si>
    <t>2YTFKX60655768</t>
  </si>
  <si>
    <t>HCSO IS A LAW ENFORCEMENT AGENCY. HCSO WILL USE THE REQUESTED LAWN MOWER TO MAINTAIN GROUNDS AT HCSO FACILITIES AND TRAINING AREAS. PROPER MAINTENANCE IMPROVES VISIBILITY, REDUCES SAFETY HAZARDS, AND HELPS PROTECT BUILDINGS, FENCES, AND INFRASTRUCTURE. MAINTAINING THESE AREAS ENSURES A SAFE ENVIRONMENT FOR EMPLOYEES AND VISITORS WHILE PRESERVING COUNTY PROPERTY AND SUPPORTING DAILY OPERATIONS.</t>
  </si>
  <si>
    <t>2YTFKX60513342</t>
  </si>
  <si>
    <t>THE HOWELL COUNTY SHERIFF'S OFFICE HAS FOUR CANINE TEAMS THAT SERVE OUR COMMUNITY IN PATROL, TRACKING,  NARCOTICS,  AND SUSPECT APPREHENSION. THESE KITS WILL BE ISSUED TO EACH HANDLER FOR TREATING THEIR CANINE IN AN EMERGENCY SITUATION. HAVING DEDICATED CANINE MEDICAL KITS ALLOWS DEPUTIES TO IMMEDIATELY TREAT LIFE THREATENING INJURIES IN THE FIELD INCREASING SURVIVAL CHANCES.</t>
  </si>
  <si>
    <t>2YTFKX60796048</t>
  </si>
  <si>
    <t>MWD WORLDWIDE DEPLOYABLE KENNEL SYSTEM</t>
  </si>
  <si>
    <t>HCSO IS A LAW ENFORCEMENT AGENCY. HCSO WILL USE THE REQUESTED K9 KENNEL SYSTEM WITH HEAT AND AIR CONDITIONING TO SAFELY HOUSE WORKING K9S DURING DUTY HOURS, TRAINING, AND DEPLOYMENTS. CLIMATE-CONTROLLED KENNELS PROTECT THE DOGS DURING EXTREME HEAT AND COLD, IMPROVE READINESS, AND ENSURE PROPER CARE. THE SYSTEM ALSO PROVIDES SECURE CONTAINMENT AND ALLOWS RAPID K9 DEPLOYMENT DURING PATROL, SEARCHES, AND DISASTER RESPONSE.</t>
  </si>
  <si>
    <t>2YTFKX53538848</t>
  </si>
  <si>
    <t>DISTRIBUTOR,WATER,TANK TYPE</t>
  </si>
  <si>
    <t>THE HCSO IS A LAW ENFORCEMENT AGENCY. HCSO WILL USE THIS WATER TRUCK FOR DUST CONTROL HAUL AND TO DISTRIBUTE WATER DURING DISASTERS, WILDFIRE RESPONSE, AND OTHER INCIDENTS, IMPROVING SAFETY, AND VISIBILITY.</t>
  </si>
  <si>
    <t>2YTFKX60584518</t>
  </si>
  <si>
    <t>DSTRUTRAA</t>
  </si>
  <si>
    <t>TRUCK AND TRACTOR ATTACHMENTS</t>
  </si>
  <si>
    <t>THE HOWELL COUNTY SHERIFFS OFFICE IS A LAW ENFORCEMENT AGENCY. HCSO WILL USE THE REQUESTED ATTACHMENTS FOR PROPERTY MAINTENANCE AT SHERIFFS OFFICE FACILITIES AND TRAINING GROUNDS. THIS EQUIPMENT WILL BE SMOOTH GRAVEL, MAINTAIN ROADS, MAINTAIN PERIMETERS, IMPROVE VISIBILITY, AND REDUCE HAZARDS.</t>
  </si>
  <si>
    <t>2YTFKX60513077</t>
  </si>
  <si>
    <t>DSFIRETRU</t>
  </si>
  <si>
    <t>FIRE TRUCK</t>
  </si>
  <si>
    <t>THE HOWELL COUNTY SHERIFF'S OFFICE IS A LAW ENFORCEMENT AGENCY. A FIRE TRUCK IS NEEDED TO ENSURE RAPID FIRE SUPPRESSION FOR THE HCSO TRAINING RANGE. LIVE FIRE, EXPLOSIVE BREACHING AND TACTICAL EXERCISES CREATE ELEVATED FIRE RISKS, AND IMMEDIATE RESPONSE CAPABILITY IS ESSENTIAL TO PROTECT PERSONNEL, FACILITIES, AND SURROUNDING LANDS. ACQUISITION OF THIS TRUCK WOULD REDUCE THE BURDEN ON LOCAL VOLUNTEER FIRE DEPTS. HCSO HAS MULTIPLE TRAINED FIREFIGHTERS ALREADY ON STAFF.</t>
  </si>
  <si>
    <t>2YTFKX60654323</t>
  </si>
  <si>
    <t>HALLIGAN BAR</t>
  </si>
  <si>
    <t>THE HOWELL COUNTY SHERIFF'S OFFICE IS A LAW ENFORCEMENT AGENCY. THESE HALLIGAN TOOLS WOULD FILL A NEED FORCIBLE ENTRY TOOLS DURING EMERGENCIES LIKE NATURAL DISASTERS, MISSING PERSONS CASES, FUGITIVE APPREHENSION, AND OTHER CRISES. THESE UNITS WOULD ENHANCE HCSO'S CAPABILITIES AND BENEFIT NOT ONLY HOWELL COUNTY BUT ALSO SURROUNDING AREAS RELYING ON HCSO FOR MUTUAL AID IN EMERGENCY RESPONSE.</t>
  </si>
  <si>
    <t>2YTFKX60443344</t>
  </si>
  <si>
    <t>CARTRIDGE,RESPIRATO</t>
  </si>
  <si>
    <t>THE HOWELL COUNTY SHERIFFS OFFICE IS A LAW ENFORCEMENT AGENCY. HCSO WILL USE THE REQUESTED GAS MASK FILTERS TO ENSURE DEPUTIES ARE PROPERLY PROTECTED DURING HAZARDOUS INCIDENTS INVOLVING SMOKE, CHEMICAL AGENTS, OR AIRBORNE CONTAMINANTS. THESE FILTERS ARE CRITICAL FOR RESPONSES TO FIRES, CHEMICAL RELEASES, DRUG-RELATED INVESTIGATIONS, AND DISASTER RESPONSE OPERATIONS.</t>
  </si>
  <si>
    <t>2YTFKX60715978</t>
  </si>
  <si>
    <t>PUMP UNIT,CENTRIFUGAL</t>
  </si>
  <si>
    <t>HCSO IS A LAW ENFORCEMENT AGENCY. HCSO WILL USE THE REQUESTED PUMP TO REMOVE STANDING WATER AT THE HCSO TRAINING FACILITY. PROPER DRAINAGE IS NECESSARY TO MAINTAIN SAFE TRAINING AREAS, PROTECT INFRASTRUCTURE, AND PREVENT EROSION OR DAMAGE TO THE RANGE. THIS EQUIPMENT WILL ALLOW PERSONNEL TO QUICKLY MANAGE WATER ACCUMULATION AFTER STORMS AND ENSURE THE FACILITY REMAINS SAFE AND OPERATIONAL FOR TRAINING.</t>
  </si>
  <si>
    <t>2YTFKX60726053</t>
  </si>
  <si>
    <t>TOOL KIT,WOODWORKIN</t>
  </si>
  <si>
    <t>HCSO IS A LAW ENFORCEMENT AGENCY. HCSO WILL USE THE REQUESTED WOODWORKING TOOL KITS FOR FACILITY MAINTENANCE, RANGE IMPROVEMENTS, AND REPAIR PROJECTS AT HCSO BUILDINGS AND TRAINING FACILITY THESE TOOLS ALLOW PERSONNEL TO COMPLETE MINOR CONSTRUCTION AND REPAIR TASKS QUICKLY AND EFFICIENTLY. HAVING DEDICATED WOODWORKING TOOLS REDUCES REPAIR DELAYS, LOWERS MAINTENANCE COSTS, AND HELPS ENSURE HCSO FACILITIES REMAIN SAFE AND OPERATIONAL.</t>
  </si>
  <si>
    <t>2YTFKX60513987</t>
  </si>
  <si>
    <t>TOOL KIT,PIONEER,ENGINEER'S</t>
  </si>
  <si>
    <t>THE HOWELL COUNTY SHERIFFS OFFICE IS A LAW ENFORCEMENT AGENCY. HCSO WILL PLACE THE TOOL KITS IN DISASTER RESPONSE HUMVEES TO SUPPORT EMERGENCY OPERATIONS DURING DISASTERS. THESE KITS WILL BE USED FOR DEBRIS REMOVAL, FORCED ACCESS, AND MINOR INFRASTRUCTURE STABILIZATION. HAVING DEDICATED TOOL KITS READILY AVAILABLE ENHANCES SELF SUFFICIENCY, REDUCES DOWNTIME, AND ALLOWS DEPUTIES TO QUICKLY RESTORE ACCESS, ASSIST CITIZENS, AND MAINTAIN OPERATIONAL READINESS DURING DISASTER RESPONSE MISSIONS.</t>
  </si>
  <si>
    <t>2YTFKX60654896</t>
  </si>
  <si>
    <t>HCSO IS A LAW ENFORCEMENT AGENCY. HCSO WILL USE THE REQUESTED IR ILLUMINATORS FOR DEPUTY PATROL RIFLES TO ENHANCE VISIBILITY DURING NIGHTTIME AND LOW-LIGHT OPERATIONS. THESE DEVICES ALLOW DEPUTIES USING NIGHT VISION EQUIPMENT TO POSITIVELY IDENTIFY THREATS, NAVIGATE SAFELY, AND COORDINATE EFFECTIVELY IN TACTICAL SITUATIONS. IR ILLUMINATION IMPROVES OFFICER SAFETY, REDUCES RISK OF MISIDENTIFICATION, AND STRENGTHENS OPERATIONAL READINESS DURING CRITICAL INCIDENTS AND DISASTER RESPONSE OPERATIONS.</t>
  </si>
  <si>
    <t>2YTFKX60584553</t>
  </si>
  <si>
    <t>THE HOWELL COUNTY SHERIFF'S OFFICE IS A LAW ENFORCEMENT AGENCY. HCSO WILL USE THIS GENERATOR FOR REMOTE POWER SOLUTIONS IN AREAS WITHOUT POWER. THIS GENERATOR WILL BE USED TO POWER MOBILE LIGHT SETS, COMPUTERS AND OTHER ITEMS REQUIRING ELECTRICITY.??</t>
  </si>
  <si>
    <t>2YTFKX60583993</t>
  </si>
  <si>
    <t>LIGHT KIT,WEAPONS</t>
  </si>
  <si>
    <t>THE HOWELL COUNTY SHERIFFS OFFICE IS A LAW ENFORCEMENT AGENCY. HCSO WILL USE THE REQUESTED WEAPON-MOUNTED LIGHTS TO IMPROVE DEPUTY SAFETY AND SITUATIONAL AWARENESS DURING LOW-LIGHT AND NIGHTTIME OPERATIONS. THESE LIGHTS ALLOW DEPUTIES TO POSITIVELY IDENTIFY THREATS, NAVIGATE SAFELY, AND REDUCE THE RISK OF MISIDENTIFICATION. WEAPON LIGHTS ARE CRITICAL FOR PATROL RESPONSE, BUILDING SEARCHES, AND EMERGENCY SITUATIONS WHERE LIGHTING CONDITIONS ARE LIMITED.</t>
  </si>
  <si>
    <t>2YTFKX60583874</t>
  </si>
  <si>
    <t>THE HOWELL COUNTY SHERIFF'S OFFICE IS A LAW ENFORCEMENT AGENCY.?? THESE LIGHTS WOULD FILL A NEED FOR LOW LIGHT AND NO LIGHT NAVIGATION DURING EMERGENCIES LIKE NATURAL DISASTERS, MISSING PERSONS CASES, FUGITIVE APPREHENSION, AND OTHER CRISES. THESE UNITS WOULD PAIR WITH EXISTING NIGHT VISION DEVICES AND ENHANCE HCSO'S CAPABILITIES AND BENEFIT NOT ONLY HOWELL COUNTY BUT ALSO SURROUNDING AREAS RELYING ON HCSO FOR MUTUAL AID IN EMERGENCY RESPONSE.</t>
  </si>
  <si>
    <t>2YTFKX60725512</t>
  </si>
  <si>
    <t>DSBINOCUL</t>
  </si>
  <si>
    <t>BINOCULARS</t>
  </si>
  <si>
    <t>HCSO IS A LAW ENFORCEMENT AGENCY. HCSO WILL USE THE REQUESTED BINOCULARS TO IMPROVE OBSERVATION DURING PATROL OPERATIONS, SEARCH AND RESCUE MISSIONS, AND DISASTER RESPONSE. BINOCULARS ALLOW DEPUTIES TO SAFELY MONITOR AREAS FROM A DISTANCE, LOCATE MISSING PERSONS, ASSESS HAZARDS, AND COORDINATE RESPONSES IN RURAL TERRAIN. THIS EQUIPMENT ENHANCES SITUATIONAL AWARENESS, IMPROVES SAFETY, AND STRENGTHENS OPERATIONAL EFFECTIVENESS.</t>
  </si>
  <si>
    <t>2YTFKX60583538</t>
  </si>
  <si>
    <t>THE HOWELL COUNTY SHERIFF'S OFFICE IS A LAW ENFORCEMENT AGENCY. HCSO WILL??USE THIS??CONTAINER FOR TRAINING PURPOSES. THIS CONTAINER WILL BE JOINED WITH OTHER SIMILAR CONTAINERS TO MIMIC REAL BUILDINGS AND WILL AID IN BUILDING SEARCH AND CLEARING EXERCISES. THE HOWELL COUNTY TRAINING FACILITY IS A REGIONAL FACILITY AND IS AVAILABLE TO A NUMBER OF LOCAL AND STATE LAW ENFORCEMENT AGENCIES TO USE FOR TRAINING.??</t>
  </si>
  <si>
    <t>2YTFKX60584509</t>
  </si>
  <si>
    <t>THE HOWELL COUNTY SHERIFFS OFFICE IS A LAW ENFORCEMENT AGENCY. HCSO WILL??USE THIS??CONTAINER FOR TRAINING PURPOSES. THIS CONTAINER WILL BE JOINED WITH OTHER SIMILAR CONTAINERS TO MIMIC REAL BUILDINGS AND WILL AID IN BUILDING SEARCH AND CLEARING EXERCISES. THE HOWELL COUNTY TRAINING FACILITY IS A REGIONAL FACILITY AND IS AVAILABLE TO A NUMBER OF LOCAL AND STATE LAW ENFORCEMENT AGENCIES TO USE FOR TRAINING.??</t>
  </si>
  <si>
    <t>2YTFKX60583553</t>
  </si>
  <si>
    <t>TRICON,FREIGHT,GENERAL PURPOSE</t>
  </si>
  <si>
    <t>THE HOWELL COUNTY SHERIFF'S OFFICE IS A LAW ENFORCEMENT AGENCY. HCSO WILL USE THE REQUESTED??CONTAINERS FOR SECURE AND DRY STORAGE OF TRAINING MATERIALS AT THE HCSO TRAINING FACILITY. THESE CONTAINERS WILL GREATLY INCREASE OUR SECURE STORAGE SPACE AND PROTECT VALUABLE TRAINING ITEMS WHEN THE FACILITY IS NOT BEING UTILIZED.??</t>
  </si>
  <si>
    <t>2YTFKX60513097</t>
  </si>
  <si>
    <t>THE HOWELL COUNTY SHERIFF'S OFFICE IS A LAW ENFORCEMENT AGENCY. HCSO WILL??ISSUE THESE GARMENTS TO DEPUTIES AND INVESTIGATORS. THESE ITEMS WILL BE UTILIZED TO MAINTAIN DRYNESS AND WARMTH OF THESE DEPUTIES AND INVESTIGATORS WHILE WORKING IN WET CONDITIONS AND COLD TEMPERATURES FOR EXTENDED PERIODS OF??TIME.</t>
  </si>
  <si>
    <t>2YTFKX60513099</t>
  </si>
  <si>
    <t>2YTFKX60513100</t>
  </si>
  <si>
    <t>2YTFKX60513102</t>
  </si>
  <si>
    <t>2YTFKX60513103</t>
  </si>
  <si>
    <t>2YTFKX60513104</t>
  </si>
  <si>
    <t>2YTFKX60513105</t>
  </si>
  <si>
    <t>2YTFKX60513106</t>
  </si>
  <si>
    <t>2YTFKX60513107</t>
  </si>
  <si>
    <t>2YTFKX60513109</t>
  </si>
  <si>
    <t>2YTFKX60513110</t>
  </si>
  <si>
    <t>2YTFKX60513111</t>
  </si>
  <si>
    <t>2YTFKX60513112</t>
  </si>
  <si>
    <t>2YTFKX60513113</t>
  </si>
  <si>
    <t>2YTFKX60513114</t>
  </si>
  <si>
    <t>2YTFKX60513115</t>
  </si>
  <si>
    <t>2YTFKX60583572</t>
  </si>
  <si>
    <t xml:space="preserve">
THE HOWELL COUNTY SHERIFF'S OFFICE IS A LAW ENFORCEMENT AGENCY. HCSO WILL??ISSUE THESE GARMENTS TO DEPUTIES AND INVESTIGATORS. THESE ITEMS WILL BE UTILIZED TO MAINTAIN DRYNESS AND WARMTH OF THESE DEPUTIES AND INVESTIGATORS WHILE WORKING IN WET CONDITIONS AND COLD TEMPERATURES FOR EXTENDED PERIODS OF??TIME.</t>
  </si>
  <si>
    <t>2YTFKX60513576</t>
  </si>
  <si>
    <t>2YTFKX60513579</t>
  </si>
  <si>
    <t>2YTFKX60513580</t>
  </si>
  <si>
    <t>2YTFKX60513581</t>
  </si>
  <si>
    <t>2YTFKX60725499</t>
  </si>
  <si>
    <t>2YTFKX60583998</t>
  </si>
  <si>
    <t>2YTFKX60584347</t>
  </si>
  <si>
    <t>2YTFKX60584348</t>
  </si>
  <si>
    <t>2YTFKX60583999</t>
  </si>
  <si>
    <t>2YTFKX60584000</t>
  </si>
  <si>
    <t>2YTFKX60584001</t>
  </si>
  <si>
    <t>2YTFKX60514002</t>
  </si>
  <si>
    <t>2YTFKX60514003</t>
  </si>
  <si>
    <t>2YTFKX60584004</t>
  </si>
  <si>
    <t>2YTFKX60514005</t>
  </si>
  <si>
    <t>2YTFKX60514006</t>
  </si>
  <si>
    <t>2YTFKX60584007</t>
  </si>
  <si>
    <t>2YTFKX60584008</t>
  </si>
  <si>
    <t>2YTFKX60514009</t>
  </si>
  <si>
    <t>2YTFKX60514010</t>
  </si>
  <si>
    <t>2YTFKX60514011</t>
  </si>
  <si>
    <t>2YTFKX60514012</t>
  </si>
  <si>
    <t>2YTFKX60514013</t>
  </si>
  <si>
    <t>2YTFKX60514014</t>
  </si>
  <si>
    <t>2YTFKX60514016</t>
  </si>
  <si>
    <t>2YTFKX60514017</t>
  </si>
  <si>
    <t>2YTFKX60513096</t>
  </si>
  <si>
    <t>2YTFKX60513095</t>
  </si>
  <si>
    <t>2YTFKX60725513</t>
  </si>
  <si>
    <t>2YTFKX60513093</t>
  </si>
  <si>
    <t>2YTFKX60725511</t>
  </si>
  <si>
    <t>FIELD PACK,LARGE,SE</t>
  </si>
  <si>
    <t>HCSO IS A LAW ENFORCEMENT AGENCY. HCSO WILL USE THE REQUESTED FIELD PACK BACKPACKS TO CARRY ESSENTIAL EQUIPMENT DURING SEARCH AND RESCUE, DISASTER RESPONSE, AND EXTENDED OPERATIONS. THESE PACKS ALLOW DEPUTIES TO TRANSPORT MEDICAL GEAR, COMMUNICATIONS EQUIPMENT, AND SURVIVAL SUPPLIES WHILE OPERATING IN REMOTE OR DISASTER-AFFECTED AREAS. FIELD PACKS IMPROVE MOBILITY, PREPAREDNESS, AND OPERATIONAL EFFECTIVENESS DURING EMERGENCIES.</t>
  </si>
  <si>
    <t>2YTFKX60726043</t>
  </si>
  <si>
    <t>CARRIER,HYDRATION S</t>
  </si>
  <si>
    <t>HCSO IS A LAW ENFORCEMENT AGENCY. HCSO WILL USE THE REQUESTED HYDRATION CARRIERS TO PROVIDE DEPUTIES WITH A RELIABLE WATER SUPPLY DURING TRAINING, PATROL OPERATIONS, SEARCH AND RESCUE, AND DISASTER RESPONSE. THESE CARRIERS ALLOW HANDS-FREE HYDRATION DURING EXTENDED OPERATIONS IN HOT OR REMOTE ENVIRONMENTS. PROPER HYDRATION IMPROVES DEPUTY SAFETY, ENDURANCE, AND EFFECTIVENESS DURING PROLONGED FIELD ASSIGNMENTS.</t>
  </si>
  <si>
    <t>2YTFKX60726049</t>
  </si>
  <si>
    <t>PACK,RUCKSACK</t>
  </si>
  <si>
    <t>HCSO IS A LAW ENFORCEMENT AGENCY. HCSO WILL USE THE REQUESTED BACKPACKS TO CARRY ESSENTIAL EQUIPMENT DURING PATROL, SEARCH AND RESCUE, TRAINING, AND DISASTER RESPONSE OPERATIONS. THESE PACKS ALLOW DEPUTIES TO TRANSPORT MEDICAL GEAR, COMMUNICATIONS EQUIPMENT, AND OTHER CRITICAL SUPPLIES WHILE OPERATING IN THE FIELD. BACKPACKS IMPROVE MOBILITY, ORGANIZATION, AND PREPAREDNESS DURING EXTENDED OPERATIONS AND EMERGENCY INCIDENTS.</t>
  </si>
  <si>
    <t>2YTFKX60726050</t>
  </si>
  <si>
    <t>RUCKSACK MEDIUM (OCP) SET</t>
  </si>
  <si>
    <t>2YTFKX60726051</t>
  </si>
  <si>
    <t>2YTFKX60513720</t>
  </si>
  <si>
    <t>THE HOWELL COUNTY SHERIFF'S OFFICE IS A LAW ENFORCEMENT AGENCY.?? THESE BACKPACKS WOULD FILL A NEED FOR CARRYING ADDITIONAL GEAR AND SUPPLIES DURING EMERGENCIES LIKE NATURAL DISASTERS, MISSING PERSONS CASES, FUGITIVE APPREHENSION, AND OTHER CRISES. THESE PACK WOULD BE ISSUED TO DEPUTIES TO ENSURE THEY ARE ABLE TO CARRY ALL NEEDED GEAR FOR LENGTHY INCIDENTS.??</t>
  </si>
  <si>
    <t>2YTFKX60513722</t>
  </si>
  <si>
    <t>2YTFKX60725510</t>
  </si>
  <si>
    <t>NORMANDY POLICE DEPT (2YT0M4)</t>
  </si>
  <si>
    <t>2YT0M453538823</t>
  </si>
  <si>
    <t>HOLSTER,PISTOL</t>
  </si>
  <si>
    <t>THE NORMANDY POLICE DEPARTMENT WILL UTILIZE THESE PISTOL HOLSTERS FOR POLICE OFFICER TO UTILIZE WHILE ON DUTY OR ON SPECIAL ASSIGNEMENTS.</t>
  </si>
  <si>
    <t>2YT0M453538821</t>
  </si>
  <si>
    <t>HOLSTER, PISTOL</t>
  </si>
  <si>
    <t>2YT0M460301372</t>
  </si>
  <si>
    <t>THE NORMANDY POLICE DEPARTMENT WILL UTILIZE THIS SUV FOR ASSIGNEMENT TO OUR DETECTIVE DIVISON FOR USE BY POLICE OFFICERS AS A RESPONSE VEHICLE FOR CRIMES AND CRITICAL INCIDENTS.</t>
  </si>
  <si>
    <t>2YT0M460301353</t>
  </si>
  <si>
    <t>2YT0M460301364</t>
  </si>
  <si>
    <t>2YT0M460372551</t>
  </si>
  <si>
    <t>THE NORMANDY POLICE DEPARTMENT WILL UTILIZE THIS PICKUP TRUCK FOR POLICE OFFICERS ASSIGNED TO THE DETECTIVE BUREAU OR SPECIAL OPERATIONS FOR USE IN UNDERCOVER OPERATIONS AND SERVICE OF NARCOTICS SEARCH WARRANTS.</t>
  </si>
  <si>
    <t>2YT0M453468318</t>
  </si>
  <si>
    <t>DSPICKUP0</t>
  </si>
  <si>
    <t>PICKUP</t>
  </si>
  <si>
    <t>THE NORMANDY POLICE DEPARTMENT WILL UTILIZE THIS PICKUP TRUCK FOR POLICE OFFICERS ASSIGNED TO SUPPORT SERVICES FOR THE TRANSPORTATION OF AGENCY EQUIPMENT.</t>
  </si>
  <si>
    <t>2YT0M453398315</t>
  </si>
  <si>
    <t>THE NORMANDY POLICE DEPARTMENT WILL UTILIZE THIS BOX TRUCK FOR POLICE OFFICERS ASSIGNED TO SUPPORT SERVICES FOR THE TRANSPORTATION OF AGENCY EQUIPMENT.</t>
  </si>
  <si>
    <t>2YT0M460301362</t>
  </si>
  <si>
    <t>THE NORMANDY POLICE DEPARTMENT WILL UTILIZE THIS EOD TRUCK FOR POLICE OFFICERS ASSIGNED TO SWAT FOR BOMB AND ROBOT RESPONSE.</t>
  </si>
  <si>
    <t>2YT0M453468312</t>
  </si>
  <si>
    <t>THE NORMANDY POLICE DEPARTMENT WILL UTILIZE THIS PICKUP FOR POLICE OFFICERS ASSIGNED TO SUPPORT SERVICES FOR THE TRANSPORTATION OF AGENCY EQUIPMENT.</t>
  </si>
  <si>
    <t>2YT0M453398314</t>
  </si>
  <si>
    <t>2YT0M460160385</t>
  </si>
  <si>
    <t>THE NORMANDY POLICE DEPARTMENT WILL UTILIZE THIS VAN TO TRANSPORT POLICE OFFICERS ASSIGNED TO SPECIAL OPERATIONS DURING WARRANT SERVICE.</t>
  </si>
  <si>
    <t>2YT0M460090685</t>
  </si>
  <si>
    <t>TRUCK,HAND</t>
  </si>
  <si>
    <t>THE NORMANDY POLICE DEPARTMENT WILL UTILIZE THESE HAND TRUCKS FOR POLICE OFFICERS ASSIGNED TO SUPPORT SERVICES FOR MOVING AND STORING LAW ENFORCEMENT EQUIPMENT.</t>
  </si>
  <si>
    <t>2YT0M460151195</t>
  </si>
  <si>
    <t>NET,DRAFT COVER</t>
  </si>
  <si>
    <t>THE NORMANDY POLICE DEPARTMENT WILL UTILIZE THESE TRUCK BED NET COVERS TO SECURE LAW ENFORCEMENT EQUIPMENT DURING TRANSPORTATION.</t>
  </si>
  <si>
    <t>2YT0M460151197</t>
  </si>
  <si>
    <t>CHAIN,WELDLESS</t>
  </si>
  <si>
    <t>THE NORMANDY POLICE DEPARTMENT WILL UTILIZE THIS LIGHTWEIGHT WELDLESS CHAIN FOR SECURING KEYS TO  EQUIPMENT ITEMS AND VARIOUS SUPPORT SERVICES SHOP USE PURPOSES.</t>
  </si>
  <si>
    <t>2YT0M460151198</t>
  </si>
  <si>
    <t>2YT0M460090686</t>
  </si>
  <si>
    <t>HAPS ELEC VACUUM</t>
  </si>
  <si>
    <t>THE NORMANDY POLICE DEPARTMENT WILL UTILIZE THESE THREE SHOP VACS FOR USE FOR POLICE OFFICERS TO MAINTAIN PATROL VEHICLES, SUPPORT SERVICES VEHICLES, AND THE THREE STATIONS.</t>
  </si>
  <si>
    <t>2YT0M460160736</t>
  </si>
  <si>
    <t>BARRIER,VEHICLE ARRESTING,PORTABLE</t>
  </si>
  <si>
    <t>THE NORMANDY POLICE DEPARTMENT WILL UTILIZE THESE PORTABLE VEHICLE ARRESTING BARRIERS FOR DEPLOYMENT DURING CRITICAL INCIDENTS TO PROTECT OFFICERS AND ACCESS TO CONTROLLED AREAS, DURING HIGH RISK WARRANT SERVICE TO PREVENT ESCAPE, AND ALSO DURING CRIME SUPPRESION DETAILS.</t>
  </si>
  <si>
    <t>2YT0M460020324</t>
  </si>
  <si>
    <t>THE NORMANDY POLICE DEPARTMENT WILL UTILIZE THIS HEATER FOR THE MGPTS TENTS IT AQUIRED FOR EMERGENCY SHELTERING DURING NATURAL DISASTERS OR IN SUPPORT OF POLICE OFFICERS DURING EXTENDED DEPLOYMENTS FOR CIVIL UNREST.</t>
  </si>
  <si>
    <t>2YT0M460231433</t>
  </si>
  <si>
    <t>THE NORMANDY POLICE DEPARTMENT WILL UTILIZE THESE POWER WASHERS FOR POLICE OFFICERS PERFORMING LAW ENFORCEMENT VEHICLE MAINTENANCE.</t>
  </si>
  <si>
    <t>2YT0M453397786</t>
  </si>
  <si>
    <t>DRILL,ELECTRIC,PORTABLE</t>
  </si>
  <si>
    <t>THE NORMANDY POLICE DEPARTMENT WILL UTILIZE THESE POWER TOOLS FOR VEHICLE AND FACILITY MAINTENANCE.</t>
  </si>
  <si>
    <t>2YT0M460302406</t>
  </si>
  <si>
    <t>DSLOCK000</t>
  </si>
  <si>
    <t>LOCK, COMMERCIAL</t>
  </si>
  <si>
    <t>THE NORMANDY POLICE DEPARTMENT WILL UTILIZE THESE COMMERCIAL LOCKS TO SECURE LAW ENFORCEMENT EQUIPMENT AND FACILITIES..</t>
  </si>
  <si>
    <t>2YT0M460292408</t>
  </si>
  <si>
    <t>THE NORMANDY POLICE DEPARTMENT WILL UTILIZE THESE MICROPHONE HEADSETS FOR POLICE OFFICERS ASSIGNED TO SWAT FOR USE DURING CRITICAL INCIDENT RESPONSE.</t>
  </si>
  <si>
    <t>2YT0M460230887</t>
  </si>
  <si>
    <t>THE NORMANDY POLICE DEPARTMENT WILL UTILIZE THESE GENERATORS FOR POLICE OFFICERS DURING NATURAL DISASTER RESPONSE, INCLEMENT WEATHER, AND DURING EXTENDED ENGAGEMENTS REQUIRING MOBILE POWER WHERE TRADITIONAL UTILITIES AREN'T AVAILABLE.</t>
  </si>
  <si>
    <t>2YT0M460230886</t>
  </si>
  <si>
    <t>2YT0M460151200</t>
  </si>
  <si>
    <t>DSUPS0001</t>
  </si>
  <si>
    <t>UNINTERRUPTIBLE POWER SUPPLY/BACKUP HM</t>
  </si>
  <si>
    <t>THE NORMANDY POLICE DEPARTMENT WILL UTILIZE THIS POWER SUPPLY BANK FOR CONNECTION TO AN AGENCY COMPUTER TP PROVIDE UNINTERRUPTED POWER IN CASE OF POWER OUTAGES.</t>
  </si>
  <si>
    <t>2YT0M460371924</t>
  </si>
  <si>
    <t>DSTRAFFIC</t>
  </si>
  <si>
    <t>TRAFFIC AND TRANSIT SIGNAL SYSTEMS</t>
  </si>
  <si>
    <t>THE NORMANDY POLICE DEPARTMENT WILL UTILIZE THIS TRAFFIC CONTROL SYSTEM FOR TEMPORARY TRAFFIC CONTROL DURING RESPONSES TO CRITICAL INCIDENTS OR SPECIAL EVENTS</t>
  </si>
  <si>
    <t>2YT0M460371922</t>
  </si>
  <si>
    <t>THE NORMANDY POLICE DEPARTMENT WILL UTILIZE THIS TRAFFIC CONTROL SYSTEM FOR TEMPORARY TRAFFIC CONTROL DURING RESPONSES TO CRITICAL INCIDENTS OR SPECIAL EVENTS.</t>
  </si>
  <si>
    <t>2YT0M460302404</t>
  </si>
  <si>
    <t>DSDIGITA0</t>
  </si>
  <si>
    <t>CAMERA, DIGITAL</t>
  </si>
  <si>
    <t>THE NORMANDY POLICE DEPARTMENT WILL UTILIZE THIS DIGITAL CAMERA FOR POLICE OFFICERS TO PROCESS CRIME SCENES.</t>
  </si>
  <si>
    <t>2YT0M460302400</t>
  </si>
  <si>
    <t>2YT0M460302399</t>
  </si>
  <si>
    <t>2YT0M460372949</t>
  </si>
  <si>
    <t>CAMERA,RECONNAISSAN</t>
  </si>
  <si>
    <t>THE NORMANDY POLICE DEPARTMENT WILL UTILIZE THESE RECONNAISSANCE CAMERAS FOR POLICE OFFICERS CONDUCTING NARCOTICS MISSIONS AND FOR THOSE ASSIGNED TO SPECIAL OPERATIONS.</t>
  </si>
  <si>
    <t>2YT0M460302410</t>
  </si>
  <si>
    <t>TRIPOD,PHOTOGRAPHIC</t>
  </si>
  <si>
    <t>THE NORMANDY POLICE DEPARTMENT WILL UTILIZE THESE CAMERA TRIPODS FOR POLICE OFFICERS ASSIGNED TO CRIME SCENE PROCESSING.</t>
  </si>
  <si>
    <t>2YT0M460302407</t>
  </si>
  <si>
    <t>DSTRIPOD0</t>
  </si>
  <si>
    <t>TRIPOD, CAMERA</t>
  </si>
  <si>
    <t>THE NORMANDY POLICE DEPARTMENT WILL UTILIZE THESE CAMERA TRIPPDS FOR POLICE OFFICERS TO PROCESS CRIME SCENES AND FOR USE DURING VIDEO CONFERENCE MEETINGS AND FOR PROMOTIONAL VIDEO DEVELOPMENT.</t>
  </si>
  <si>
    <t>2YT0M460302402</t>
  </si>
  <si>
    <t>DSLENS001</t>
  </si>
  <si>
    <t>LENS, CAMERA</t>
  </si>
  <si>
    <t>THE NORMANDY POLICE DEPARTMENT WILL UTILIZE THESE CAMERA LENSES FOR CAMERAS ASSIGNED TO POLICE OFFICERS FOR CRIME SCENE PROCESSING.</t>
  </si>
  <si>
    <t>2YT0M460302386</t>
  </si>
  <si>
    <t>DSMONIT08</t>
  </si>
  <si>
    <t>MONITOR, COMPUTER</t>
  </si>
  <si>
    <t>THE NORMANDY POLICE DEPARTMENT WILL UTILIZE THIS COMPUTER MONITOR FOR LAW ENFORCEMENT COMPUTERS UTILIZED BY POLICE DEPARTMENT STAFF.</t>
  </si>
  <si>
    <t>2YT0M460151201</t>
  </si>
  <si>
    <t>DSSPEAKE3</t>
  </si>
  <si>
    <t>SPEAKERS, COMPUTER, SET</t>
  </si>
  <si>
    <t>THE NORMANDY POLICE DEPARTMENT WILL UTILIZE THESE COMPUTER SPEAKERS TO ADD TO AGENCY COMPUTERS TO ASSIST POLICE OFFICERS IN THEIR INVESTIGATIONS</t>
  </si>
  <si>
    <t>2YT0M460302403</t>
  </si>
  <si>
    <t>MATTRESS,PNEUMATIC</t>
  </si>
  <si>
    <t>THE NORMANDY POLICE DEPARTMENT UTILIZE THESE PNEUMATIC MATTRESSES FOR POLICE OFFICERS ASSIGNED TO EXTENDED DEPLOYMENTS FOR CIVIL UNREST, MASS CASUALTY EVENTS, AND DURING INCLEMENT WEATHER.</t>
  </si>
  <si>
    <t>2YT0M460090595</t>
  </si>
  <si>
    <t>DSRECEIV2</t>
  </si>
  <si>
    <t>RECEIVER, HOME STEREO</t>
  </si>
  <si>
    <t>THE NORMANDY POLICE DEPARTMENT WILL UTILIZE THIS HOME STEREO RECEIVER FOR THE POLICE OFFICERS RECREATIONAL AREA AND SQUAD ROOM.</t>
  </si>
  <si>
    <t>2YT0M453538828</t>
  </si>
  <si>
    <t>THE NORMANDY POLICE DEPARTMENT WILL UTILIZE THESE SMALL SHIPPING CONTAINERS FOR STORAGE OF LAW ENFORCEMENT EQUIPMENT WHEN NOT IN ACTIVE USE AND TO ASSIST IN OUR STATION REMODEL.</t>
  </si>
  <si>
    <t>OREGON COUNTY SHERIFF OFFICE (2YT15P)</t>
  </si>
  <si>
    <t>2YT15P60513358</t>
  </si>
  <si>
    <t>THE CAR WILL BE USED BY THE OREGON COUNTY SHERIFF'S OFFICE FOR TRANSPORTATION OF PERSONNEL AND DETAINEES FOR TRAINING, DETENTION MANEUVERS, AND EMERGENCY SITUATIONS.</t>
  </si>
  <si>
    <t>2YT15P60513359</t>
  </si>
  <si>
    <t>2YT15P60513357</t>
  </si>
  <si>
    <t>2YT15P60513356</t>
  </si>
  <si>
    <t>2YT15P60725012</t>
  </si>
  <si>
    <t>TRUCK,HAZARDOUS MAT</t>
  </si>
  <si>
    <t>THE OREGON COUNTY SHERIFF'S OFFICE WILL USE THE TRUCK AS A MOBILE COMMAND POST AND TO TRANSPORT EQUIPMENT AND SUPPLIES DURING DISASTER AND HIGH RISK OPERATIONS.</t>
  </si>
  <si>
    <t>2YT15P60725193</t>
  </si>
  <si>
    <t>TRUCK,MAINTENANCE</t>
  </si>
  <si>
    <t>THE OREGON COUNTY SHERIFF'S OFFICE WILL USE THE TRUCK TO TRANSPORT SUPPLIES, EQUIPMENT, AND PERSONNEL FOR DAY TO DAY OPERATIONS AND IN HIGH RISK OR EMERGENCY SITUATIONS.</t>
  </si>
  <si>
    <t>2YT15P60304065</t>
  </si>
  <si>
    <t>THE OREGON COUNTY SHERIFF'S OFFICE WILL USE THE TRUCK TO TRANSPORT SUPPLIES AND EQUIPMENT TO SUPPORT LAW ENFORCEMENT OPERATIONS DURING EMERGENCY SITUATIONS.</t>
  </si>
  <si>
    <t>2YT15P60654413</t>
  </si>
  <si>
    <t>TRACTOR,FULL TRACKED,LOW SPEED</t>
  </si>
  <si>
    <t>THE OREGON COUNTY SHERIFF'S OFFICE WILL USE THE DOZER TO CONSTRUCT AND MAINTAIN SHERIFF'S OFFICE FACILITIES AND FOR DISASTER RESPONSE TO IMPROVE PUBLIC SAFETY.</t>
  </si>
  <si>
    <t>2YT15P60725753</t>
  </si>
  <si>
    <t>THE OREGON COUNTY SHERIFF'S OFFICE WILL USE THE DEVICES TO PROMOTE OFFICER AND CIVILIAN SAFETY DURING HIGH RISK OPERATIONS. I HAVE CONTACTED AND ACCEPT THE CONDITION OF THE UNITS.</t>
  </si>
  <si>
    <t>2YT15P60725754</t>
  </si>
  <si>
    <t>2YT15P60443361</t>
  </si>
  <si>
    <t>THE OREGON COUNTY SHERIFF'S OFFICE WILL USE THIS UNIT FOR THE STAGING AND STORAGE OF EMERGENCY RESPONSE EQUIPMENT AND SUPPLIES FOR RAPID DEPLOYMENT IN EMERGENCY AND DISASTER SITUATIONS.</t>
  </si>
  <si>
    <t>OSAGE COUNTY SHERIFF OFFICE (2YT16P)</t>
  </si>
  <si>
    <t>2YT16P53539229</t>
  </si>
  <si>
    <t>SUIT,SURVIVAL,COLD</t>
  </si>
  <si>
    <t>THE OSAGE COUNTY SHERIFF'S OFFICE WILL USE THESE COLD WEATHER SURVIVAL SUITS IN OUR MARINE WATER UNIT IN EXTREME COLD WEATHER CONDITIONS. THIS WILL INCREASE OFFICER SAFETY FOR IN EXTREME ENVIRONMENTS AND WILL INCREASE OPERATIONAL HOURS FOR RESCUE AND RECOVERY.</t>
  </si>
  <si>
    <t>OZARK COUNTY  SHERIFF OFFICE (2YT19C)</t>
  </si>
  <si>
    <t>2YT19C60372094</t>
  </si>
  <si>
    <t>THE OZARK COUNTY SHERIFFS OFFICE REQUIRES A 4 DOOR 1 TON CHEVY PICKUP TRUCK THROUGH THE LESO PROGRAM TO SUPPORT EMERGENCY OPERATIONS AND CRITICAL INCIDENTS. THIS VEHICLE WILL BE USED TO TRANSPORT PERSONNEL EQUIPMENT AND SUPPLIES DURING DISASTERS SEARCH AND RESCUE MISSIONS AND LAW ENFORCEMENT RESPONSES. ITS FOUR WHEEL DRIVE AND HEAVY DUTY CAPACITY ARE ESSENTIAL FOR ACCESSING REMOTE AREAS NAVIGATING ROUGH TERRAIN AND OPERATING SAFELY DURING SEVERE WEATHER.</t>
  </si>
  <si>
    <t>MT</t>
  </si>
  <si>
    <t>GREAT FALLS POLICE DEPT (2YTESZ)</t>
  </si>
  <si>
    <t>2YTESZ60090114</t>
  </si>
  <si>
    <t>TO BE USED BY THE POLICE DEPARTMENT FOR SCENE SURVEILLANCE FOR HIGH RISK INCIDENTS AS WELL AS FOR SEARCH AND RESCUE.</t>
  </si>
  <si>
    <t>2YTESZ60583764</t>
  </si>
  <si>
    <t>UNMANNED AIRCRAFT SYSTEM</t>
  </si>
  <si>
    <t>ITEM TO BE USED BY TRAINED DRONE PILOTS OF THE POLICE DEPARTMENTS FOR HIGH RISK INCIDENTS.</t>
  </si>
  <si>
    <t>NC</t>
  </si>
  <si>
    <t>ASHE CSO (2YTA0F)</t>
  </si>
  <si>
    <t>2YTA0F60583705</t>
  </si>
  <si>
    <t>THE ASHE COUNTY SHERIFF'S OFFICE REQUESTS THIS ITEM FOR USE IN SEARCH AND RESCUE OPERATIONS. THIS TRAILER WILL ALLOW US TO CARRY EQUIPMENT AND PERSONNEL INTO THE FIELD WHEN SEARCHING FOR LOST PERSONS IN THE MOUNTAINS.</t>
  </si>
  <si>
    <t>CARY PD (2YTB2Q)</t>
  </si>
  <si>
    <t>2YTB2Q53538702</t>
  </si>
  <si>
    <t>FLOODLIGHT SET,ELEC</t>
  </si>
  <si>
    <t>THE CARY POLICE DEPARTMENT SUPPORTS MORE THAN 75 SPECIAL EVENTS EACH YEAR. SOME OF THESE EVENTS OCCUR IN THE EVENING WHERE TRAFFIC CONTROL DUTIES ARE REQUIRED. THIS ITEM WOULD ENHANCE OFFICER SAFETY BY ILLUMINATED THE AREA AT NIGHT.</t>
  </si>
  <si>
    <t>CASWELL BEACH PD (2YTB3L)</t>
  </si>
  <si>
    <t>2YTB3L60029702</t>
  </si>
  <si>
    <t>THIS WOULD BE FOR THE CASWELL BEACH POLICE DEPARTMENT 2YTB3L.THIS STORAGE RACK WOULD HELP US SECURE WEAPONS BETTER WHEN THEY ARE NOT IN USE FOR THE DEPARTMENT ISSUED WEAPONS. IN CASE OF EMERGENCIES AND NON-EMERGENCIES I.E. WHEN OFFICERS GO ON VACATION OR INJURED. THIS STORAGE RACK WOULD KEEP THE WEAPONS SAFER.  I HAVE CONTACTED THE SITE AND ACCEPT THE ITEMS IN ITS CURRENT CONDITION.</t>
  </si>
  <si>
    <t>2YTB3L60513376</t>
  </si>
  <si>
    <t>THE CASWELL BEACH POLICE ARE REQUESTING 10 INTRENCHING TOOLS. THESE ITEMS WILL BE ISSUED TO OFFICERS WHO WILL BE WORKING DURING HURRICANES AND SEVERE WEATHER EVENTS THAT WOULD REQUIRE THEM TO DIG AND ASSIST IN RESCUE OPERATIONS.</t>
  </si>
  <si>
    <t>2YTB3L60029705</t>
  </si>
  <si>
    <t>DSSAMMOCN</t>
  </si>
  <si>
    <t>SMALL ARMS AMMO CAN</t>
  </si>
  <si>
    <t>THIS WOULD BE FOR THE CASWELL BEACH POLICE DEPARTMENT 2YTB3L. THESE AMMO CANS WOULD ASSIST US IN KEEPING THE AMMO THAT IS IN OUR VEHICLES IN ONE SECURED LOCATION INSTEAD OF HAVING IT SCATTERED ABOUT THE VEHICLE. IF IT IS SCATTERED IN THE VEHICLE THIS WOULD BE DETRIMENTAL TO THE SAFETY AND SECURITY OF THE OFFICERS IN CASE OF A HIGH-STAKE SITUATION. I HAVE CONTACTED THE SITE AND ACCEPT THE ITEMS IN ITS CURRENT CONDITION.</t>
  </si>
  <si>
    <t>2YTB3L60423328</t>
  </si>
  <si>
    <t>THE CASWELL BEACH POLICE IS REQUESTING THE ASSAULT PACKS FOR USE IN DISASTER PREPARDNESS DUE TO THE  AREA BEING PRONE TO HURRICANES AND SEVERE WEATHER EVENTS. OFFICERS  WILL BE ISSUED ONE PACK FOR STORAGE OF EMERGENCY EQUIPMENT AND  SUIPPLIES</t>
  </si>
  <si>
    <t>2YTB3L60423329</t>
  </si>
  <si>
    <t>FAIR BLUFF PD (2YT077)</t>
  </si>
  <si>
    <t>2YT07760231254</t>
  </si>
  <si>
    <t>THESE ITEMS WOULD ASSIST THE FAIR BLUFF POLICE DEPARTMENT WITH SPECIAL OPERATIONS RELATED TO, BUT NOT LIMITED TO, URBAN AND OR RURAL SURVEILLANCE, HOSTAGE SITUATIONS, AND DYNAMIC RAIDS PURSUANT TO SEARCH WARRANTS ISSUED FOR NARCOTICS AND OR TERRORISM RELATED ACTIVITIES. REQEUSTED BY A SMALLER AGENCY WITH A VERY LIMITED BUDGET FOR COSTLY ITEMS.</t>
  </si>
  <si>
    <t>2YT07760584112</t>
  </si>
  <si>
    <t>MES,COMBAT LIFESAVE</t>
  </si>
  <si>
    <t>THE FAIR BLUFF POLICE DEPARTMENT REQUESTS THE ACQUISITION OF FIRST AID ITEMS TO SUPPORT DAILY NARCOTICS AND COUNTER-TERRORISM OPERATIONS. IMMEDIATE MEDICAL INTERVENTION IS VITAL IN HIGH-RISK ENVIRONMENTS. IFAK ITEMS WILL ENSURE OFFICERS CAN PROVIDE CRITICAL CARE RAPIDLY, SAFEGUARDING PERSONNEL DURING ENGAGEMENTS. THANK YOU FOR YOUR SUPPORT.</t>
  </si>
  <si>
    <t>2YT07760231126</t>
  </si>
  <si>
    <t>THESE ITEMS WOULD ASSIST THE FAIR BLUFF POLICE DEPARTMENT WITH THE ONGOING ENFORCEMENT OPERATIONS PERTAINING TO ILLEGAL NARCOTICS AND POTENTIAL TERRORISM THREATS.  FIRST AID KITS ARE A NECESSITY TO NOT ONLY POTENTIALLY SAVE THE LIVES OF FELLOW OFFICERS, BUT ALSO THE LIVES OF THE CITIZENS WHO RESIDE IN THE JURISDICTION IN WHICH WE WORK.</t>
  </si>
  <si>
    <t>2YT07760141114</t>
  </si>
  <si>
    <t>THE FAIR BLUFF POLICE DEPARTMENT IS IN NEED OF BAGS TO ASSIST WITH CARRYING EQUIPMENT DURING URBAN AND WOODLAND OPERATIONS RELATED TO NARCOTICS, POTENTIAL TERRORISM, AND OTHER CRIMINAL ACTIVITIES. THESE DEVICES COULD ASSIST IN THE PRESERVATION OF LIFE.</t>
  </si>
  <si>
    <t>MARTIN CSO (2YTHDE)</t>
  </si>
  <si>
    <t>2YTHDE60513488</t>
  </si>
  <si>
    <t>CHASSIS,TRAILER</t>
  </si>
  <si>
    <t>THE MARTIN COUNTY SHERIFFS OFFICE WOULD LIKE TO ACQUIRE THE TRAILERS.  THESE TRAILERS WILL ALLOW US TO MOUNT PORTABLE LIGHT TOWERS THAT WE HAVE TO THESE.  THE LIGHT TOWERS ON THE TRAILERS WILL MAKE THEM EASIER TO DEPLOY WHEN NEEDED.  WE USE THE LIGHT TOWERS FOR CRIME SCENES AND DISASTERS.</t>
  </si>
  <si>
    <t>2YTHDE60372369</t>
  </si>
  <si>
    <t>THE MARTIN COUNTY SHERIFFS OFFICE WILL USE THE UTILITY OFF ROAD VEHICLE FOR SEARCH AND RESCUE OPERATIONS.  THE VEHICLE WILL ALSO BE USED FOR COUNTER NARCOTIC OPERATIONS.  WE ARE A RURAL COUNTY AND HAVE LOTS OF UNDEVELOPED LAND THAT WE OPERATE IN, INCLUDING SWAMPS AND WOODED AREAS.  WE ARE A TIER 1 COUNTY AND OTHERWISE CAN NOT AFFORD THIS EQUIPMENT.</t>
  </si>
  <si>
    <t>2YTHDE60796037</t>
  </si>
  <si>
    <t>TOOL KIT,BEARING RE</t>
  </si>
  <si>
    <t>THE MARTIN COUNTY SHERIFFS OFFICE WOULD LIKE TO ACQUIRE THE BEARING TOOL KIT.  THE TOOL KIT WILL BE USED TO HELP MAINTAIN OUR HIGH WATER RESCUE VEHICLES.  WE ARE ABLE TO KEEP OUR TRUCKS IN SERVICE BY PERFORMING OUR OWN MAINTENNACE.</t>
  </si>
  <si>
    <t>2YTHDE60866861</t>
  </si>
  <si>
    <t>TOOL KIT,GENERAL MECHANIC'S</t>
  </si>
  <si>
    <t>THE MARTIN COUNTY SHERIFFS OFFICE WOULD LIKE TO ACQUIRE THE TOOL KITS.  THESE TOOL KITS WILL BE USED TO MAINTAIN OUR HIGH WATER RESCUE VEHICLES.  THESE TOOLS WILL BE CARRIED ON THE TRUCKS SO THAT REPAIRS MAY BE MADE WHILE DEPLOYED DURING RESCUE OPERATIONS AND STORM RECOVERY EFFORTS.</t>
  </si>
  <si>
    <t>2YTHDE60726039</t>
  </si>
  <si>
    <t>THE MARTIN COUNTY SHERIFFS OFFICE WOULD LIKE TO ACQUIRE THE GENERATOR.  THE GENERATOR WILL BE USED ON OUR SERVICE TRUCK TO ALLOW FIELD REPAIRS TO OUR HIGH WATER RESCUE TRUCKS AND OTHER EQUIPMENT IN THE FIELD.  THIS GENERATOR WILL ALLOW FOR WELDING DURING EMERGENCIES.</t>
  </si>
  <si>
    <t>2YTHDE60090075</t>
  </si>
  <si>
    <t>THE MARTIN COUNTY SHERIFFS OFFICE WOULD LIKE TO ACQUIRE A TRAUMA MANIKIN TO AID IN TRAINING OUR OFFICERS IN FIRST AID AND TRAUMA LIFE SAVING TECHNIQUES.  WE DO THIS TRAINING YEARLY BUT A MANIKIN WOULD MAKE THE TRAINING MUCH MORE REALISTIC.</t>
  </si>
  <si>
    <t>2YTHDE60020077</t>
  </si>
  <si>
    <t>DESK,FIELD</t>
  </si>
  <si>
    <t>THE MARTIN COUNTY SHERIFFS OFFICE WOULD LIKE TO ACQUIRE TWO FIELD DESK TO BE USED DURING EMERGENCIES.  THE FIELD DESK WILL BE USED BY STAFF SUPPORTING OPERATIONS WHEN INCIDENT COMMAND IS IN EFFECT.</t>
  </si>
  <si>
    <t>2YTHDE60866453</t>
  </si>
  <si>
    <t>CAN,MILITARY</t>
  </si>
  <si>
    <t>THE MARTIN COUNTY SHERIFFS OFFICE WOULD LIKE TO ACQUIRE THE MILITARY CANS TO ALLOW EXTRA FUEL TO BE CARRIED WITH US DURING EMERGENCY RESPONSES AND PREPARING FOR DISASTERS.  THE CANS BE SENT OUT WITH OUR PERSONNEL DURING MAJOR EVENTS.</t>
  </si>
  <si>
    <t>2YTHDE53538904</t>
  </si>
  <si>
    <t>DSNONFERP</t>
  </si>
  <si>
    <t>PLATE, SHEET, STRIP, AND FOIL; NONFERROU</t>
  </si>
  <si>
    <t>THE MARTIN COUNTY SHERIFFS OFFICE WOULD LIKE TO ACQUIRE THIS PLATE METAL AND TUBING.  THESE MATERIALS WILL BE USED TO MAKE REPAIRS AND BUILD EQUIPMENT TO BE USED FOR DAY TO DAY LAW ENFORCEMENT OPERATIONS.  THIS METAL WILL ALSO BE USED TO MAINTAIN OUR VEHICLES USED FOR DISASTER ASSISTANCE AND RECOVERY.</t>
  </si>
  <si>
    <t>NORTHAMPTON CSO (2YT1QG)</t>
  </si>
  <si>
    <t>2YT1QG60029706</t>
  </si>
  <si>
    <t>WARRIOR AID LITTER</t>
  </si>
  <si>
    <t>THE NORTHAMPTON COUNTY SHERIFF'S OFFICE, A LAW ENFORCEMENT AGENCY REQUEST'S THIS EQUIPMENT BE ISSUED TO OUR AGENCY FOR USE IN EMERGENCY MEDICAL RESPONSE.  WE ARE OFTEN THE FIRST TO REACH THE SCENE OF AN EMERGENCY MEDICAL SITUATION AND THIS EQUIPMENT WOULD BE INVALUABLE TO OUR DEPUTIES.</t>
  </si>
  <si>
    <t>2YT1QG60029682</t>
  </si>
  <si>
    <t>THE NORTHAMPTON COUNTY SHERIFF'S OFFICE, A LAW ENFORCEMENT AGENCY, REQUEST'S THIS EQUIPMENT BE ISSUED TO OUR AGENCY.  WE WILL ISSUE THIS EQUIPMENT TO OUR DEPUTIES FOR USE IN EMERGENCY MEDICAL RESPONSE.  WE ARE OFTEN THE FIRST ON THE SCENE TO A MEDICAL EMERGENCY AND THIS EQUIPMENT CAN MEAN THE DIFFERENCE IN LIFE AND DEATH TO OUR DEPUTIES AND OUR CITIZENS.</t>
  </si>
  <si>
    <t>PENDER CSO (2YTJH5)</t>
  </si>
  <si>
    <t>2YTJH560513374</t>
  </si>
  <si>
    <t>THE PENDER COUNTY SHERIFF'S OFFICE WILL UTILIZE THIS RESOURCE DURING NATURAL DISASTERS. THIS VEHICLE WILL BE USED TO TRANSPORT FOOD, WATER AND FUEL CUBES TO AREAS OF THE COUNTY THAT IS NOT ACCESSIBLE DURING FLOOD EVENTS WE HAVE IN OUR COUNTY. A SUPPORT VEHICLE.</t>
  </si>
  <si>
    <t>RICHMOND CSO (2YTJ78)</t>
  </si>
  <si>
    <t>2YTJ7853539060</t>
  </si>
  <si>
    <t>RCSO NEEDS THIS EQUIPMENT FOR USE IN COUNTER DRUG EFFORTS, DISASTER RELATED EMERGENCY RESPONSE AND PREPAREDNESS, AND FOR SEARCH AND RESCUE OPERATIONS.  THE ADDITION OF THIS NEEDED EQUIPMENT WILL ENABLE THE RCSO TO MAINTAIN A HIGH LEVEL OF READINESS WHEN DEPLOYED FOR SUCH ACTIVITIES.</t>
  </si>
  <si>
    <t>2YTJ7860493823</t>
  </si>
  <si>
    <t>TRUCK,UTILITY</t>
  </si>
  <si>
    <t>RCSO NEEDS THIS EQUIPMENT TO ASSIST THE AGENCY MAINTAINING A HIGH DEGREE OF READINESS FOR DISASTER PREPAREDNESS AND SEARCH AND RESCUE.  THE CONFIGURATION OF THIS UNIT WOULD ENABLE THE AGENCY TO MOBILIZE MEMBERS AND SUPPLIES TO OFF ROAD AND TOUGH TO REACH LOCATIONS WHERE CURRENT EQUIPMENT CANNOT TRAVEL.</t>
  </si>
  <si>
    <t>2YTJ7860160664</t>
  </si>
  <si>
    <t>RCSO NEEDS THIS EQUIPMENT IN THE PURSUIT OF COUNTER DRUG EFFORTS ALLOWING THE AGENCY TO REMOVE AND DISABLE OUTDOOR NARCOTIC GROW OPERATIONS.  THIS EQUIPMENT WILL ALSO BE UTILIZED FOR DISASTER RELATED EMERGENCY RESPONSE AND PREPAREDNESS SPECIFICALLY TO CLEAR PATHWAYS THAT HAVE BEEN AFFECTED BY SUCH DISASTER RELATED EVENTS.</t>
  </si>
  <si>
    <t>2YTJ7860443350</t>
  </si>
  <si>
    <t>DSCLIMBER</t>
  </si>
  <si>
    <t>CLIMBER</t>
  </si>
  <si>
    <t>RCSO NEEDS THIS EQUIPMENT TO HELP ITS OFFICERS MAINTAIN A HIGH DEGREE OF PHYSICAL FITNESS IN ITS MISSIONS FOR COUNTER DRUG, COUNTER TERRORISM, DISASTER RELATED EMERGENCY RESPONSE AND PREPAREDNESS AS WELL AS FOR SEARCH AND RESCUE OPERATIONS.  THE AGENCY CURRENTLY DOES NOT HAVE SUCH EQUIPMENT AND THE ADDITION OF SUCH WOULD BE A VALUABLE ASSET.</t>
  </si>
  <si>
    <t>2YTJ7860443275</t>
  </si>
  <si>
    <t>DSELLIPTI</t>
  </si>
  <si>
    <t>ELLIPTICAL</t>
  </si>
  <si>
    <t>RIVER BEND PD (2YTSZH)</t>
  </si>
  <si>
    <t>2YTSZH60231056</t>
  </si>
  <si>
    <t>ADAPTER RAIL,WEAPON</t>
  </si>
  <si>
    <t>THE RIVER BEND POLICE DEPARTMENT NEEDS THIS EQUIPMENT FOR COUNTER DRUG OPERATIONS. WE HAVE WEAPONS BUT DO NOT HAVE RAILINGS TO ADD ATTACHMENTS LIKE SIGHT OR FLASHLIGHTS. THIS WILL HELP OFFICERS BE ABLE TO SHOOT MORE EFFICIENT</t>
  </si>
  <si>
    <t>2YTSZH60301884</t>
  </si>
  <si>
    <t>THE RIVER BEND POLICE DEPARTMENT NEEDS THIS EQUIPMENT FOR COUNTER DRUG OPERATIONS. THERE ARE TIMES WHEN CONDUCTING DRUG OPERATIONS THAT SUSPECTS ASSAULT OFFICERS AND THESE WILL PROVIDE A LESS LETHAL WAY OF CONTROLLING SUSPECTS</t>
  </si>
  <si>
    <t>2YTSZH60090391</t>
  </si>
  <si>
    <t>THE RIVER BEND POLICE DEPARTMENT NEEDS THIS EQUIPMENT FOR SEARCH AND RESCUE OPERATIONS DURING NATURAL DISASTERS. THIS VEHICLE CAN HELP EVACUATE CITIZENS UDRING FLOODING</t>
  </si>
  <si>
    <t>2YTSZH60372113</t>
  </si>
  <si>
    <t>LIFE PRESERVER,VEST</t>
  </si>
  <si>
    <t>THE RIVER BEND POLICE DEPARTMENT NEEDS THIS EQUIPMENT FOR NATURAL DISASTER PREPAREDNESS AND SEARCH AND RESCUE OPERATIONS. THE TOWN SITS ON THE TRENT RIVER AND FLOODS QUITE FREQUENTLY. THIS EQUIPMENT WILL ALLOW RESCUES DURING HURRICANES AS WELL AS CAPSIZED BOATS</t>
  </si>
  <si>
    <t>2YTSZH60160390</t>
  </si>
  <si>
    <t>THE RIVER BEND POLICE DEPARTMENT NEEDS THIS EQUIPMENT FOR NATURAL DISASTER PREPAREDNESS. DURING NATURAL DISASTERS WE HAVE TO SLEEP AT THE POLICE HEADQUARTERS.</t>
  </si>
  <si>
    <t>ROANOKE RAPIDS PD (2YTKBH)</t>
  </si>
  <si>
    <t>2YTKBH60231846</t>
  </si>
  <si>
    <t>SNIPER RIFLE ACTION BARREL</t>
  </si>
  <si>
    <t>THIS ITEM WILL BE UTILIZED BY THE ROANOKE RAPIDS POLICE DEPARTMENT FOR ITS EMERGENCY RESPONSE TACTICAL TEAM.</t>
  </si>
  <si>
    <t>SCOTLAND NECK PD (2YTKUM)</t>
  </si>
  <si>
    <t>2YTKUM60233398</t>
  </si>
  <si>
    <t>SCOTLAND NECK PD MANAGE SIGNIFICANT QUANTITIES OF EQUIPMENT INCLUDING BARRICADES GENERATORS SUPPLIES PALLETS OF MATERIALS AMMUNITION SHIPMENTS AND TRAINING EQUIPMENT A FORKLIFT IMPROVES EFFICIENCY WHEN LOADING UNLOADING AND ORGANIZING THESE MATERIALS</t>
  </si>
  <si>
    <t>2YTKUM60655127</t>
  </si>
  <si>
    <t>PREFAB/SCAFFOLDING</t>
  </si>
  <si>
    <t>SCOTLAND NECK POLICE DEPT FACE INCREASING DEMANDS TO PROVIDE PROACTIVE VISIBLE AND EFFECTIVE PUBLIC SAFETY COVERAGE DURING LARGESCALE EVENTS EMERGENCY INCIDENTS DISASTER RESPONSE OPERATIONS AND HIGH TRAFFIC PUBLIC GATHERINGS A MOBILE ELEVATED SURVEILLANCE TOWER IS A CRITICAL RESOURCE THAT SIGNIFICANTLY ENHANCES SITUATIONAL AWARENESS OFFICER SAFETY AND COMMUNITY PROTECTION THIS EQUIPMENT PROVIDES AN ELEVATED VANTAGE POINT THAT ALLOWS OFFICERS TO MONITOR LARGE AREAS IN REAL TIME HELPING TO DETECT</t>
  </si>
  <si>
    <t>2YTKUM60233396</t>
  </si>
  <si>
    <t>SCOTLAND NECK PD WOULD UTLIZED THIS DURING DISASTERS AND LARGESCALE EMERGENCIES POLICE DEPARTMENTS OFTEN SERVE AS COORDINATION CENTERS FOR EMERGENCY RESPONSE IF THE STATION LOSES POWER DURING A CRISIS THE DEPARTMENT CANNOT EFFECTIVELY COORDINATE WITH FIRE EMS OR OTHER AGENCIES A GENERATOR ENSURES CONTINUITY OF OPERATIONS WHEN THE COMMUNITY NEEDS IT MOST</t>
  </si>
  <si>
    <t>TYRRELL CSO (2YTL4Q)</t>
  </si>
  <si>
    <t>2YTL4Q53609234</t>
  </si>
  <si>
    <t>DSBOAT000</t>
  </si>
  <si>
    <t>SMALL CRAFT BOAT</t>
  </si>
  <si>
    <t>TYRRELL COUNTY IS SURROUNDED BY WATER. THE SHERIFF'S OFFICE WOULD USE THIS VESSEL TO PATROL WATERWAYS, SEARCH AND RESCUE, AND RECOVERY.</t>
  </si>
  <si>
    <t>WAKE FOREST PD (2YTM4Z)</t>
  </si>
  <si>
    <t>2YTM4Z60029927</t>
  </si>
  <si>
    <t>THE WAKE FOREST POLICE DEPARTMENT NEEDS THIS EQUIPMENT TO ENHANCE RESPONSE TO ACTS OF TERRORISM, INCREASE OFFICER SAFTEY ON NARCOTICS SEARCH WARRANTS, AND ASSIST WITH SEARCH AND RESCUE EFFORTS. SITE CONTACTED AND WILLING TO ACCEPT AS IS.</t>
  </si>
  <si>
    <t>WILKESBORO PD (2YTNPG)</t>
  </si>
  <si>
    <t>2YTNPG60513514</t>
  </si>
  <si>
    <t>THE WILKESBORO POLICE DEPARTMENT IS REQUESTING THESE ITEMS FOR USE IN COUNTER-DRUG AND COUNTER-TERRORISM OPERATIONS. THE WILKESBORO POLICE DEPARTMENT HAS CONTACTED THE SITE AND WILL TAKE THE ITEMS IN THEIR CURRENT CONDITION.</t>
  </si>
  <si>
    <t>2YTNPG60725817</t>
  </si>
  <si>
    <t>THE WILKESBORO POLICE DEPARTMENT REQUEST THESE ITEMS TO BE USED IN COUNTER DRUG OPERATIONS. WE HAVE CONTACTED THE SITE AND WILL EXCEPT THESE ITEMS IN THEIR CURRENT CONDITION.</t>
  </si>
  <si>
    <t>2YTNPG60725815</t>
  </si>
  <si>
    <t>2YTNPG60372880</t>
  </si>
  <si>
    <t>THE WILKESBORO POLICE DEPARTMENT IS REQUESTING THESE ITEMS FOR USE IN COUNTER-DRUG OPERATIONS. THESE SIGHTS WILL BE UTILIZED BY SWORN OFFICERS FOR SEARCH WARRANTS. I HAVE CONTACTED THE STATION AND UNDERSTAND THE CONDITION OF THESE ITEMS.</t>
  </si>
  <si>
    <t>2YTNPG60652882</t>
  </si>
  <si>
    <t>ROBOT,EXPLOSIVE ORDNANCE DISPOSAL</t>
  </si>
  <si>
    <t>THE WILKESBORO POLICE DEPARTMENT REQUEST THIS ITEM FOR USE IN COUNTER-DRUG AND COUNTER-TERRORISM OPERATIONS. THE WILKESBORO POLICE DEPARTMENT WILL USE THIS ITEM BY SWORN OFFICERS DURING SEARCH WARRANT ACTIVITY. THE ITEM WILL BE SENT INTO STRUCTURES FOR PROTECTION OF SWORN OFFICERS.</t>
  </si>
  <si>
    <t>2YTNPG60372853</t>
  </si>
  <si>
    <t>THE WILKESBORO POLICE DEPARTMENT REQUEST THIS ITEM FOR USE BY SWORN OFFICERS IN COUNTER-DRUG OPERATIONS. THESE ROBOTS WILL BE USED DURING HIGH-RISK SEARCH WARRANTS TO KEEP OFFICERS OUT OF HARMS WAY.</t>
  </si>
  <si>
    <t>2YTNPG60423259</t>
  </si>
  <si>
    <t>THE WILKESBORO POLICE DEPARTMENT IS REQUESTING THESE ITEMS FOR USE IN COUNTER-DRUG OPERATIONS. THE WILKESBORO POLICE DEPARTMENT WILL USE THESE BAGS FOR ACTIVE-SHOOTER AND KIT STORAGE AND TO STORE VARIOUS SEARCH AND RESCUE EQUIPMENT. WE HAVE CONTACTED THE SITE AND ARE WILLING TO TAKE THESE ITEMS IN THEIR CURRENT CONDITION.</t>
  </si>
  <si>
    <t>2YTNPG60423260</t>
  </si>
  <si>
    <t>2YTNPG60423261</t>
  </si>
  <si>
    <t>2YTNPG60423262</t>
  </si>
  <si>
    <t>2YTNPG60423263</t>
  </si>
  <si>
    <t>2YTNPG60423264</t>
  </si>
  <si>
    <t>WILSONS MILLS PD (2YTQT2)</t>
  </si>
  <si>
    <t>2YTQT260301715</t>
  </si>
  <si>
    <t>ALL TERRAIN VEHICLE WHEELED</t>
  </si>
  <si>
    <t>WILSON'S MILLS POLICE DEPARTMENT NEEDS THESE VEHICLES FOR COUNTER DRUG OPERATIONS TO PATROL THE NEW HIGH SCHOOL.</t>
  </si>
  <si>
    <t>2YTQT260231707</t>
  </si>
  <si>
    <t>TOOL KIT,ELECTRONIC</t>
  </si>
  <si>
    <t>WILSON'S MILLS POLICE DEPARTMENT NEEDS THIS EQUIPMENT FOR COUNTER-DRUG, COUNTER-TERRORISM OPERATIONS.  THESE TOOL KITS WILL ALLOW OFFICERS TO KEEP PATROL CARS RUNNING.</t>
  </si>
  <si>
    <t>2YTQT260231708</t>
  </si>
  <si>
    <t>2YTQT260231709</t>
  </si>
  <si>
    <t>KIT,COMMANDER'S VIEWER</t>
  </si>
  <si>
    <t>WILSON'S MILLS NEEDS THIS EQUIPMENT FOR COUNTER-DRUG, COUNTER-TERRORISM OPERATIONS.  THE KITS WILL BE USED FOR SURVEILLANCE AND COMMAND OPERATIONS.</t>
  </si>
  <si>
    <t>2YTQT260231706</t>
  </si>
  <si>
    <t>MANAGEMENT SYSTEM,BIOMETRIC AND IDENTITY</t>
  </si>
  <si>
    <t>WILSON'S MILLS NEEDS THIS EQUIPMENT FOR COUNTER-DRUG, COUNTER-TERRORISM OPERATIONS.  THE KIT WILL PROVIDE SECURITY TO THE PROPERTY AND EVIDENCE STORAGE AREAS.</t>
  </si>
  <si>
    <t>2YTQT260211694</t>
  </si>
  <si>
    <t>COVERALLS,MECHANICS</t>
  </si>
  <si>
    <t>WILSON'S MILLS NEEDS THESE COVERALLS FOR COUNTER-DRUG, COUNTER-TERRORISM OPERATIONS.  THEY WILL BE USED FOR CRIME SCENE PROCESSING AND TO GIVE TO VICTIMS TO WEAR IF THEIR CLOTHING IS CONTAMINATED.</t>
  </si>
  <si>
    <t>2YTQT260211696</t>
  </si>
  <si>
    <t>2YTQT260211697</t>
  </si>
  <si>
    <t>2YTQT260211699</t>
  </si>
  <si>
    <t>DSSPCLOTA</t>
  </si>
  <si>
    <t>CLOTHING, SPECIAL PURPOSE, DEMIL A</t>
  </si>
  <si>
    <t>2YTQT260211700</t>
  </si>
  <si>
    <t>2YTQT260211693</t>
  </si>
  <si>
    <t>2YTQT260211692</t>
  </si>
  <si>
    <t>2YTQT260211691</t>
  </si>
  <si>
    <t>2YTQT260211690</t>
  </si>
  <si>
    <t>2YTQT260211688</t>
  </si>
  <si>
    <t>DSGLOVESP</t>
  </si>
  <si>
    <t>GLOVES, SAFETY</t>
  </si>
  <si>
    <t>WILSON'S MILLS POLICE DEPARTMENT NEEDS THESE GLOVES FOR RESCUE OPERATIONS TO ALLOW OFFICERS TO HELP STRANDED PERSONS WHILE PROTECTING THEIR HANDS.</t>
  </si>
  <si>
    <t>2YTQT260211689</t>
  </si>
  <si>
    <t>2YTQT260211704</t>
  </si>
  <si>
    <t>WAIST PACK</t>
  </si>
  <si>
    <t>WILSON'S MILLS POLICE DEPARTMENT NEEDS THIS EQUIPMENT FOR RESCUE OPERATIONS TO BUILD ACTIVE SHOOTER KITS FOR OFFICERS TO CARRY EXTRA MAGAZINES AND FIRST AID EQUIPMENT.</t>
  </si>
  <si>
    <t>2YTQT260211705</t>
  </si>
  <si>
    <t>2YTQT260211702</t>
  </si>
  <si>
    <t>SLEEPING BAG</t>
  </si>
  <si>
    <t>WILSON'S MILLS POLICE DEPARTMENT NEEDS THIS EQUIPMENT FOR RESCUE OPERATIONS FOR OFFICERS TO HAVE SOMETHING TO WARM UP VICTIMS AND SLEEP IN BETWEEN ASSIGNMENTS.</t>
  </si>
  <si>
    <t>2YTQT260211701</t>
  </si>
  <si>
    <t>CARRIER, ENTRENCHING TOOL</t>
  </si>
  <si>
    <t>WILSON'S MILLS NEEDS THIS EQUIPMENT FOR COUNTER-DRUG, COUNTER-TERRORISM OPERATIONS.  THE CARRIER WILL HOLD TOOLS USED TO DIG UP AND COLLECT EVIDENCE FROM SCENES.</t>
  </si>
  <si>
    <t>2YTQT260211698</t>
  </si>
  <si>
    <t>2YTQT260211695</t>
  </si>
  <si>
    <t>CARRIER,ENTRENCHING</t>
  </si>
  <si>
    <t>2YTQT260211703</t>
  </si>
  <si>
    <t>ND</t>
  </si>
  <si>
    <t>WILLIAMS COUNTY SHERIFF OFFICE (2YTNPZ)</t>
  </si>
  <si>
    <t>2YTNPZ53609247</t>
  </si>
  <si>
    <t>BAG,EQUIPMENT,STORA</t>
  </si>
  <si>
    <t>THESE WOULD BE USED FOR KEEPING ITEMS DRY DURING DIVE OPERATIONS BY THE WILLIAMS COUNTY SHERIFFS OFFICE DIVE RECOVERY TEAM</t>
  </si>
  <si>
    <t>NE</t>
  </si>
  <si>
    <t>HOWARD CSO (2YTFKS)</t>
  </si>
  <si>
    <t>2YTFKS60583788</t>
  </si>
  <si>
    <t>COLD WEATHER MITTENS ARE NEEDED TO MAINTAIN WARMTH AND FUNCTION DURING PROLONGED WINTER EXPOSURE, STATIC CONTAINMENT, AND DRONE OPERATIONS. EXTREME COLD REDUCES DEXTERITY, INCREASING SAFETY RISKS AND DEGRADING PERFORMANCE. MITTENS HELP PREVENT COLD-WEATHER INJURIES.</t>
  </si>
  <si>
    <t>2YTFKS60583789</t>
  </si>
  <si>
    <t>COLD WEATHER MITTENS ARE NEEDED TO MAINTAIN HAND WARMTH AND FUNCTION DURING PROLONGED WINTER OPERATIONS, STATIC CONTAINMENT, AND DRONE OPERATIONS. EXTREME COLD REDUCES DEXTERITY, INCREASING SAFETY RISKS AND DEGRADING PERFORMANCE. MITTENS HELP PREVENT COLD-WEATHER INJURIES.</t>
  </si>
  <si>
    <t>2YTFKS60583790</t>
  </si>
  <si>
    <t>2YTFKS60583791</t>
  </si>
  <si>
    <t>MITTEN SET,EXTREME</t>
  </si>
  <si>
    <t>2YTFKS60583792</t>
  </si>
  <si>
    <t>2YTFKS60371903</t>
  </si>
  <si>
    <t>WE HAVE RECENTLY RECEIVED SIMILAR PARKAS FOR OUR AGENCY.  WE WERE UNABLE TO GET ALL OF THE CORRECT SIZES FOR EVERYONE.  THIS PARKA IS ONE THAT WILL FIT ONE OF THE LAST MEMBERS TO NEED A COLD WEATHER JACKET.</t>
  </si>
  <si>
    <t>2YTFKS60442946</t>
  </si>
  <si>
    <t>TACTICAL ASSAULT PANELS REQUESTED TO HELP OPERATIONAL READINESS. PROVIDING LOAD-BEARING CAPABILITY FOR SNIPERS AND OBSERVERS. ALLOWS ORGANIZED CARRIAGE OF MAGAZINES, OPTICS TOOLS, COMMUNICATIONS, AND MISSION-SPECIFIC EQUIPMENT WHILE MAINTAINING MOBILITY. SUPPORTS EXTENDED RURAL INCIDENTS, OVERWATCH, AND INTEROPERABILITY WITH EXISTING SYSTEMS.</t>
  </si>
  <si>
    <t>NJ</t>
  </si>
  <si>
    <t>DEAL POLICE DEPT (2YTC6Y)</t>
  </si>
  <si>
    <t>2YTC6Y60725387</t>
  </si>
  <si>
    <t>THIS ITEM IS BEING REQUESTED FOR LAW ENFORCEMENT USE ONLY. POLICE OFFICERS WILL USED THE SPEED TRAILER THROUGHOUT OUR PATROL JURISDICTIONS TO ADVISED VEHICLES OF THE SPEED LIMITS, ESPECIALLY IN OUT SCHOOL ZONES.</t>
  </si>
  <si>
    <t>2YTC6Y60725386</t>
  </si>
  <si>
    <t>2YTC6Y60372492</t>
  </si>
  <si>
    <t>PROJECTOR,MULTIMEDIA</t>
  </si>
  <si>
    <t>THIS ITEM IS BEING REQUESTED FOR LAW ENFORCEMENT USE ONLY. THESE PROJECTORS WILL BE PLACED IN THE SQUAD ROOM IN THE POLICE DEPARTMENT AND USED FOR TRAINING AND PRESENTATIONS.</t>
  </si>
  <si>
    <t>2YTC6Y60442878</t>
  </si>
  <si>
    <t>DSBOOKCA1</t>
  </si>
  <si>
    <t>BOOKCASE</t>
  </si>
  <si>
    <t>THIS ITEM IS BEING REQUESTED FOR LAW ENFORCEMENT USE ONLY. POLICE OFFICERS WILL USE THESE SHELVES TO STORE TRAINING MATERIAL, HAND HELD RADAR UNITS AND STATIONARY THAT IS USED FOR EVERYDAY LAW ENFORCEMENT ACTIVITIES</t>
  </si>
  <si>
    <t>2YTC6Y60372486</t>
  </si>
  <si>
    <t>THIS ITEM IS BEING REQUESTED FOR LAW ENFORCEMENT ONLY. POLICE OFFICERS WILL UTILIZE THIS EQUIPMENT FOR DEFENSIVE TACTIC TRAINING AND ACTIVE SHOOTER TRAINING WITH SIMULATED AMMUNITIONS ROUNDS.</t>
  </si>
  <si>
    <t>2YTC6Y60372485</t>
  </si>
  <si>
    <t>DSRECGYME</t>
  </si>
  <si>
    <t>RECREATIONAL AND GYMNASTIC EQUIPMENT</t>
  </si>
  <si>
    <t>THIS ITEM IS BEING REQUESTED FOR LAW ENFORCEMENT ONLY. POLICE OFFICERS WILL UTILIZE THIS GYM EQUIPMENT TO KEEP IN SHAPE FOR OUR EVERYDAY ACTIVITIES DURING PATROL.</t>
  </si>
  <si>
    <t>2YTC6Y60372483</t>
  </si>
  <si>
    <t>DSGYM0000</t>
  </si>
  <si>
    <t>GYM</t>
  </si>
  <si>
    <t>DOJ/FBI NEWARK (2YTRW5)</t>
  </si>
  <si>
    <t>2YTRW560513501</t>
  </si>
  <si>
    <t>REQUESTED BY FBI NEWARK SWAT TO ENHANCE OFFICER ABILITY TO BE COMFORTABLE AND SAFE DURING COLD WEATHER ENFORCEMENT AND TRAINING OPERATIONS.</t>
  </si>
  <si>
    <t>2YTRW560513502</t>
  </si>
  <si>
    <t>2YTRW560513504</t>
  </si>
  <si>
    <t>REQUESTED BY FBI NEWARK TO ENHANCE OFFICER SAFETY DURING COLD WEATHER TRAINING AND ENFORCEMENT OPERATIONS.</t>
  </si>
  <si>
    <t>2YTRW560513505</t>
  </si>
  <si>
    <t>2YTRW560513506</t>
  </si>
  <si>
    <t>2YTRW560513500</t>
  </si>
  <si>
    <t>REQUESTED BY FBI NEWARK TO ENHANCE OFFICER'S ABILITY TO TRAIN AND CONDUCT ENFORCEMENT OPERATIONS DURING COLD WEATHER.</t>
  </si>
  <si>
    <t>2YTRW560513507</t>
  </si>
  <si>
    <t>REQUESTED BY FBI NEWARK SWAT TO ENHANCE OFFICER SAFETY DURING COLD WEATHER TRAINING AND ENFORCEMENT OPERATIONS.</t>
  </si>
  <si>
    <t>2YTRW560513498</t>
  </si>
  <si>
    <t>REQUESTED BY FBI NEWARK SWAT TO ENHANCE OFFICER ABILITY TO TRAIN AND EXECUTE ENFORCEMENT OPERATIONS IN COLD WEATHER.</t>
  </si>
  <si>
    <t>2YTRW560513496</t>
  </si>
  <si>
    <t>REQUESTED BY FBI NEWARK SWAT TO ENHANCE ABILITY TO CARRY EQUIPMENT DURING ENFORCEMENT OPERATIONS AND TRAINING.</t>
  </si>
  <si>
    <t>FREEHOLD TOWNSHIP POLICE DEPT (2YTECD)</t>
  </si>
  <si>
    <t>2YTECD60584585</t>
  </si>
  <si>
    <t>THIS LAW ENFORCEMENT AGENCY WILL UTILIZE THE UNMANNED AIRCRAFT FOR LAW ENFORCEMENT USE ONLY. THIS POLICE DEPARTMENT WOULD UTILIZE THE UNMANNED AIRCRAFT YEAR-ROUND WITH MULTIPLE LARGE PUBLIC GATHERINGS INCLUDING THE FREEHOLD RACEWAY MALL, COUNTY FAIR, MULTIPLE CONCERTS WITH LARGE PERFORMERS. THE UNMANNED AIRCRAFT WOULD BE PILOTED BY LAW ENFORCEMENT OFFICERS ONLY.</t>
  </si>
  <si>
    <t>2YTECD60584049</t>
  </si>
  <si>
    <t>DSWELDSOL</t>
  </si>
  <si>
    <t>MISCELLANEOUS WELD, SOLDER, BRAZING</t>
  </si>
  <si>
    <t>THIS EQUIPMENT WILL BE UTILIZED FOR LAW ENFORCEMENT USE ONLY. DETECTIVE WILL USE THIS WHILE BUILDING AND SOLDERING POLE CAMERA, ELECTRONICS FOR MISSIONS FOR THE POLICE DEPARTMENT ONLY.</t>
  </si>
  <si>
    <t>2YTECD60584104</t>
  </si>
  <si>
    <t>THIS EQUIPMENT WILL BE UTILIZED FOR LAW ENFORCEMENT USE ONLY. LEOS OF THIS LEA WHILE INSTALLING POLE CAMERAS IN HIGH LOCATIONS. TO ASSIST IN SECURING LEOS TO FIXED OBJECTS WHILE CONDUCTING RESCUE OPERATIONS DURING FLOODING AND OTHER DISASTERS AND DURING OTHER LAW EENFORCEMENT OPERATIONS THAT REQUIRE THE USE OF A SAFETY LINE DUE TO THE DANGER AND COMPLEXITY THE RESPONSE TO THE INCIDENT POSES.</t>
  </si>
  <si>
    <t>2YTECD60584586</t>
  </si>
  <si>
    <t>THIS EQUIPMENT WILL BE UTILIZED FOR LAW ENFORCEMENT USE ONLY. LEOS OF THIS LEA WILL USE THE GENERATOR FOR LONG TERM POWER OUTAGES TO POWER TRAFFIC SIGNALS AT INTERSECTIONS FOR TRAFFIC ISSUES.</t>
  </si>
  <si>
    <t>2YTECD60655176</t>
  </si>
  <si>
    <t>THIS EQUIPMENT WILL BE UTILIZED FOR LAW ENFORCEMENT USE ONLY. LEA WILL ISSUE THE FIRST AID KID TO LEOS TO KEEP ON THEIR BODY OR WITH THEIR EQUIPMENT WITHIN THEIR PATROL VEHICLE.</t>
  </si>
  <si>
    <t>2YTECD60655175</t>
  </si>
  <si>
    <t>2YTECD60655173</t>
  </si>
  <si>
    <t>2YTECD60504085</t>
  </si>
  <si>
    <t>LENS,CAMERA,GENERAL PHOTOGRAPHIC</t>
  </si>
  <si>
    <t>THIS LAW ENFORCEMENT AGENCY WILL USE THE CAMERA LENS FOR LAW ENFORCEMENT ONLY. DETECTIVES AND OFFICERS WILL UTILIZE THE CAMERA LENS FOR SCENE PROCESSING, SURVEILLANCE AND EVIDENCE GATHERING BY LAW ENFORCEMENT OFFICERS ONLY.</t>
  </si>
  <si>
    <t>2YTECD60513308</t>
  </si>
  <si>
    <t>THIS LAW ENFORCEMENT AGENCY WILL USE THE COMPUTER WORK STATIONS FOR THE DETECTIVE BUREAU SO DETECTIVES CAN UTILIZE ANALYTICAL SOFTWARE TO REVIEW CELL PHONE EXTRACTIONS, MOTOR VEHICLE EXTRACTIONS AND VIDEO REDACTIONS ALONG WITH OTHER TASKS IN AN EFFICIENT MANNER.</t>
  </si>
  <si>
    <t>2YTECD60654605</t>
  </si>
  <si>
    <t>DSCABINE3</t>
  </si>
  <si>
    <t>ADP CABINET</t>
  </si>
  <si>
    <t>THIS EQUIPMENT WILL BE UTILIZED FOR LAW ENFORCEMENT USE ONLY. LEA WILL USE THE ADP CABINET TO STORE SERVERS, SWITCHES AND MOTOR VEHICLE RECORDING SERVER WITHIN OUR SERVER ROOM.</t>
  </si>
  <si>
    <t>2YTECD60655164</t>
  </si>
  <si>
    <t>INSERT, IFAK</t>
  </si>
  <si>
    <t>THIS EQUIPMENT WILL BE UTILIZED FOR LAW ENFORCEMENT USE ONLY. LEA WILL ISSUE THE IFAK POUCHES TO LEOS TO KEEP ON THEIR BODY OR WITH THEIR EQUIPMENT WITHIN THEIR PATROL VEHICLE.</t>
  </si>
  <si>
    <t>2YTECD60725163</t>
  </si>
  <si>
    <t>POUCH,IFAK</t>
  </si>
  <si>
    <t>HACKENSACK POLICE DEPT (2YTEY4)</t>
  </si>
  <si>
    <t>2YTEY453469052</t>
  </si>
  <si>
    <t>DSSWEPASA</t>
  </si>
  <si>
    <t>WEAPON ACCESSORIES DEMIL A</t>
  </si>
  <si>
    <t>FOR USE BY THIS LEA ONLY. TO BE USED BY THE LEOS OF THIS AGENCY. THIS SPOTTING SCOPE WILL BE UTILIZED TO SUPPORT LONG-RANGE OBSERVATION, SURVEILLANCE, AND TRAINING DURING LAW ENFORCEMENT OPERATIONS AND CRITICAL INCIDENT RESPONSE.</t>
  </si>
  <si>
    <t>2YTEY460442700</t>
  </si>
  <si>
    <t>FOR USE BY THIS LEA ONLY. TO BE USED BY THE LEOS OF THIS AGENCY. THIS HIGH WATER RESCUE VEHICLE WILL BE UTILIZED DURING FLOODING, SEVERE WEATHER, AND EMERGENCY INCIDENTS TO SUPPORT LAW ENFORCEMENT OPERATIONS, RESCUE TRANSPORT, AND PUBLIC SAFETY.</t>
  </si>
  <si>
    <t>2YTEY460513130</t>
  </si>
  <si>
    <t>2YTEY460513279</t>
  </si>
  <si>
    <t>RADIO SET</t>
  </si>
  <si>
    <t>FOR USE BY THIS LEA ONLY. TO BE USED BY THE LEOS OF THIS AGENCY. THESE IN-CAR RADIOS WILL BE UTILIZED TO UPGRADE OUR CURRENT COMMUNICATIONS SYSTEM AND MAINTAIN SECURE, RELIABLE COMMUNICATIONS DURING LAW ENFORCEMENT OPERATIONS, EMERGENCY RESPONSES, CRITICAL INCIDENTS, AND HOMELAND SECURITY MISSIONS.</t>
  </si>
  <si>
    <t>2YTEY460442769</t>
  </si>
  <si>
    <t>FOR USE BY THIS LEA ONLY. TO BE USED BY THE LEOS OF THIS AGENCY. THIS NVG MOUNTING ARM WILL BE USED TO SECURELY ATTACH NIGHT VISION GOGGLES TO HELMETS DURING LAW ENFORCEMENT TACTICAL OPERATIONS AND NIGHT MISSIONS.</t>
  </si>
  <si>
    <t>2YTEY460442770</t>
  </si>
  <si>
    <t>HEADSET,HN,DUAL,COM</t>
  </si>
  <si>
    <t>FOR USE BY THIS LEA ONLY. TO BE USED BY THE LEOS OF THIS AGENCY. THIS DUAL COM HEADSET WILL BE UTILIZED TO MAINTAIN SIMULTANEOUS COMMUNICATIONS DURING LAW ENFORCEMENT OPERATIONS, TACTICAL DEPLOYMENTS, AND CRITICAL INCIDENT RESPONSE.</t>
  </si>
  <si>
    <t>HASBROUCK HEIGHTS POLICE DEPT (2YTQCV)</t>
  </si>
  <si>
    <t>2YTQCV60029891</t>
  </si>
  <si>
    <t>FOR USE BY THE MEMBERS OF THE HASBROUCK HEIGHTS POLICE DEPARTMENT ONLY. THESE NIGHT VISION GOGGLES WILL BE UTILIZED DURING LAW ENFORCEMENT OPERATIONS THAT REQUIRE LOW-LIGHT OR NO-LIGHT CAPABILITIES, INCLUDING SEARCH AND RESCUE, SURVEILLANCE, AND TACTICAL RESPONSE. I REACHED OUT TO THE BASE AND AM SATISFIED THAT THE ITEMS ARE USABLE OR CNA BE MADE TO BE USABLE BY MY AGENCY.</t>
  </si>
  <si>
    <t>LITTLE SILVER POLICE DEPT (2YTGUD)</t>
  </si>
  <si>
    <t>2YTGUD60654538</t>
  </si>
  <si>
    <t>THIS ITEM IS BEING REQUESTED FOR LAW ENFORCEMENT USE ONLY. THIS ITEM WILL BE USED TO STORE LAW ENFORCEMENT EQUIPMENT</t>
  </si>
  <si>
    <t>PARAMUS POLICE DEPT (2YTJDG)</t>
  </si>
  <si>
    <t>2YTJDG60099857</t>
  </si>
  <si>
    <t>PACKBOT 510 WITH FASTAC REMOTELY CONTROL</t>
  </si>
  <si>
    <t>TO BE USED BY PARAMUS POLICE ESU OFFICERS FOR TACTICAL OPERATIONS DURING A POLICE EMERGENCY AND CONFINED SPACE OPERATIONS DURING CRITICAL INCIDENTS.</t>
  </si>
  <si>
    <t>RAMSEY POLICE DEPT (2YTJ2J)</t>
  </si>
  <si>
    <t>2YTJ2J60584420</t>
  </si>
  <si>
    <t>FOR USE BY THIS LEA ONLY. TRANSPORT PERSONNEL TO CRIME SCENES BEING INVESTIGATED.</t>
  </si>
  <si>
    <t>2YTJ2J60654423</t>
  </si>
  <si>
    <t>DSHANDTOO</t>
  </si>
  <si>
    <t>HAND TOOLS, NONEDGED, NONPOWERED</t>
  </si>
  <si>
    <t>FOR USE BY THIS LEA ONLY. USED TO MAKE NEW CABLES FOR LEA COMPUTERS.</t>
  </si>
  <si>
    <t>2YTJ2J60513573</t>
  </si>
  <si>
    <t>FOR USE BY THIS LEA ONLY. THIS LEA WILL USE THIS ITEM IN DAILY LAW ENFORCEMENT OPERATIONS. THIS COMPUTER WILL BE USED BY PATROL AND ADMINISTRATION PERSONNEL TO COMPLETE DAILY REPORT WRITING AND OTHER DOCUMENTATION.</t>
  </si>
  <si>
    <t>2YTJ2J60583575</t>
  </si>
  <si>
    <t>DSSTORAG2</t>
  </si>
  <si>
    <t>STORAGE BIN</t>
  </si>
  <si>
    <t>FOR USE BY THIS LEA ONLY. THIS LEA WILL USE THIS ITEM IN DAILY LAW ENFORCEMENT OPERATIONS TO STORE AND TRANSPORT SENSITIVE LEA EQUIPMENT FROM HEADQUARTERS TO CRIME SCENES AND OTHER LEA OPERATION SITES. THIS EQUIPMENT WILL BE USED BY THIS LEA AND ITS OFFICERS ONLY.</t>
  </si>
  <si>
    <t>2YTJ2J60513574</t>
  </si>
  <si>
    <t>FOR USE BY THIS LEA ONLY. THIS LEA WILL USE THIS ITEM IN DAILY LAW ENFORCEMENT OPERATIONS DURING COLD WEATHER.</t>
  </si>
  <si>
    <t>2YTJ2J60513571</t>
  </si>
  <si>
    <t>PARKA,EXTREME COLD</t>
  </si>
  <si>
    <t>FOR USE BY THIS LEA ONLY. THIS LEA WILL USE THIS ITEM IN DAILY LAW ENFORCEMENT OPERATIONS DURING COLD WEATHER CONDITIONS.</t>
  </si>
  <si>
    <t>ROSELLE POLICE DEPARTMENT (2YTKFS)</t>
  </si>
  <si>
    <t>2YTKFS60372355</t>
  </si>
  <si>
    <t>TRAILER,CARGO</t>
  </si>
  <si>
    <t>FOR USE BY THIS LEA ONLY. THIS ONE HMMWV TRAILER WILL BE ASSIGNED TO THE ROSELLE POLICE DEPARTMENT TRAFFIC SAFETY BUREAU FOR LAW ENFORCEMENT OPERATIONS. THE TRAILER WILL DEPLOY THE DLA ASSIGNED 3KW GENERATOR TO SAFELY PROVIDE POWER GENERATION TO TRAFFIC SIGNALS DURING A POWER OUTAGE AND COMMAND POST OPERATIONS.  THIS WILL PREVENT THE NEED TO LIFT THE GENERATOR. IN ADDITION, THE TRAILER HAS THE LIFT CAPABILITY FOR TRAFFIC CONES.</t>
  </si>
  <si>
    <t>2YTKFS60302354</t>
  </si>
  <si>
    <t>FOR USE BY THIS LEA ONLY. THE THREE PAIRS OF SAFETY GLASSES WILL BE USED BY THE ROSELLE POLICE DEPARTMENT DURING A SIMUNITION TRAINING EXERCISE IN APRIL 2026, INVOLVING AN ACTIVE SHOOTER SCENARIO. THE EXERCISE OBJECTIVE IS TO MAINTAIN A SAFE ENVIRONMENT FOR LAW ENFORCEMENT PERSONNEL PARTICIPATING IN THE TRAINING LANE THROUGH PPE.</t>
  </si>
  <si>
    <t>2YTKFS60372353</t>
  </si>
  <si>
    <t>DSPLOTTER</t>
  </si>
  <si>
    <t>PLOTTER</t>
  </si>
  <si>
    <t>FOR USE BY THIS LEA ONLY. THIS HP DESIGNJET Z3200PS PHOTO PRINTER WILL BE UTILIZED FOR MAPPING DURING POLICE OPERATION PLANNING, TABLETOP EXERCISES, POLICE MESSAGING DURING COMMUNITY EVENTS, AND SAFETY MESSAGES TO INCREASE VISUAL MESSAGING TO THE PUBLIC.</t>
  </si>
  <si>
    <t>2YTKFS60302352</t>
  </si>
  <si>
    <t>DSKEYBOA3</t>
  </si>
  <si>
    <t>KEYBOARD</t>
  </si>
  <si>
    <t>FOR USE BY THIS LEA ONLY. THE HP DESKTOP COMPUTER KEYBOARDS WILL LIFECYCLE REPLACE 20 WORKSPACE KEYBOARDS WITHIN THE ROSELLE POLICE DEPARTMENT, INCLUDING 6 RECORDS BUREAU WORKSTATIONS, 3 COMMAND CENTER DESKS, 5 ADMINISTRATIVE BUREAU WORKSTATIONS, AND 6 DETECTIVE BUREAU WORKSTATIONS.  THE INCREASING NEED FOR DATA ENTRY AS THIS LEA BECOMES PAPERLESS IS ESSENTIAL TO HAVE PROPERLY OPERATING PERIPHERALS 24 HOURS 7 DAYS A WEEK.</t>
  </si>
  <si>
    <t>2YTKFS60372351</t>
  </si>
  <si>
    <t>FRAME,PICTURE</t>
  </si>
  <si>
    <t>FOR USE BY THIS LEA ONLY. THE FOLLOWING BOX OF 11X14 PICTURE FRAMES, COLOR BLACK, WILL BE USED TO ENHANCE LEA OFFICER PERFORMANCE RECOGNITION THROUGH FRAMED AWARDS AND APPRECIATION. IT IS CRITICAL TO POLICE OFFICER MORALE AND WELLNESS.</t>
  </si>
  <si>
    <t>WALLINGTON POLICE DEPT (2YTM56)</t>
  </si>
  <si>
    <t>2YTM5653327887</t>
  </si>
  <si>
    <t>BRUSH, CLEANING, SMALL ARMS</t>
  </si>
  <si>
    <t>TO BE USED BY THE POLICE OFFICERS OF THE WALLINGTON POLICE DEPARTMENT TO THOROUGHLY CLEAN WEAPONS.</t>
  </si>
  <si>
    <t>2YTM5653538799</t>
  </si>
  <si>
    <t>TO BE USED BY POLICE OFFICERS OF THE WALLINGTON POLICE DEPARTMENT TO STORE AND TRANSPORT POLICE EQUIPMENT FOR RAPID DEPLOYMENT.</t>
  </si>
  <si>
    <t>2YTM5653327405</t>
  </si>
  <si>
    <t>TO BE USED BY POLICE OFFICERS OF THE WALLINGTON POLICE DEPARTMENT FOR EVIDENCE STORAGE.</t>
  </si>
  <si>
    <t>2YTM5653327392</t>
  </si>
  <si>
    <t xml:space="preserve">TO BE USED BY POLICE OFFICERS OF THE WALLINGTON POLICE DEPARTMENT TO RECERTIFY FIT TESTING FOR MASKS. 
</t>
  </si>
  <si>
    <t>2YTM5653398054</t>
  </si>
  <si>
    <t>TO BE USED BY POLICE OFFICERS OF THE WALLINGTON POLICE DEPARTMENT AS SAFETY EQUIPMENT FOR INSTALLING CAMERAS WHILE ELEVATED.</t>
  </si>
  <si>
    <t>2YTM5653327752</t>
  </si>
  <si>
    <t>PARTS WASHER</t>
  </si>
  <si>
    <t>TO BE USED BY THE POLICE OFFICERS OF THE WALLINGTON POLICE DEPARTMENT TO THOROUGHLY CLEAN EQUIPMENT AND WEAPONS.</t>
  </si>
  <si>
    <t>2YTM5653468433</t>
  </si>
  <si>
    <t>TO BE USED BY THE POLICE OFFICERS OF THE WALLINGTON POLICE DEPARTMENT TO SUPPORT MAINTENANCE AND REPAIR OF COMMUNICATIONS, CAMERA, AND OTHER ELECTRONIC SYSTEMS.</t>
  </si>
  <si>
    <t>2YTM5653468432</t>
  </si>
  <si>
    <t>TOOL KIT,CARPENTER'</t>
  </si>
  <si>
    <t>TO BE USED BY THE POLICE OFFICERS OF THE WALLINGTON POLICE DEPARTMENT TO SUPPORT EQUIPMENT UPKEEP AND ASSIST WITH CAMERA SYSTEM INSTALLATION.</t>
  </si>
  <si>
    <t>2YTM5653398427</t>
  </si>
  <si>
    <t>TO BE USED BY THE POLICE OFFICERS OF THE WALLINGTON POLICE DEPARTMENT TO ENSURE RELIABLE MAINTENANCE OF CAMERA SYSTEMS AND OTHER EQUIPMENT BATTERIES.</t>
  </si>
  <si>
    <t>2YTM5653327876</t>
  </si>
  <si>
    <t>DISTRIBUTING SYSTEM</t>
  </si>
  <si>
    <t>TO BE USED BY THE POLICE OFFICERS OF THE WALLINGTON POLICE DEPARTMENT TO DISTRIBUTE POWER TO BUILDINGS AND EQUIPMENT DURING POWER OUTAGES.</t>
  </si>
  <si>
    <t>2YTM5653397892</t>
  </si>
  <si>
    <t>TO BE USED BY THE POLICE OFFICERS OF THE WALLINGTON POLICE DEPARTMENT TO PROVIDE FIRST AID TO THEMSELVES AND THE PUBLIC.</t>
  </si>
  <si>
    <t>2YTM5653468430</t>
  </si>
  <si>
    <t>OHMMETER</t>
  </si>
  <si>
    <t>TO BE USED BY THE POLICE OFFICERS OF THE WALLINGTON POLICE DEPARTMENT TO SAFELY AND ACCURATELY TEST ELECTRICAL CIRCUITS DURING MAINTENANCE OF COMMUNICATIONS AND SURVEILLANCE SYSTEMS.</t>
  </si>
  <si>
    <t>2YTM5653257407</t>
  </si>
  <si>
    <t>TO BE USED BY POLICE OFFICERS OF THE WALLINGTON POLICE DEPARTMENT FOR LAW ENFORCEMENT COMMUNICATIONS AND INTERNET ACCESS.</t>
  </si>
  <si>
    <t>2YTM5653257399</t>
  </si>
  <si>
    <t>COMPUTER SYSTEM,DIGITAL</t>
  </si>
  <si>
    <t xml:space="preserve">TO BE USED BY POLICE OFFICERS OF THE WALLINGTON POLICE DEPARTMENT FOR LAW ENFORCEMENT COMMUNICATIONS AND INTERNET ACCESS.
</t>
  </si>
  <si>
    <t>2YTM5653468429</t>
  </si>
  <si>
    <t>DSCABLES0</t>
  </si>
  <si>
    <t>NETWORK CABLE IN BOXES</t>
  </si>
  <si>
    <t>TO BE USED BY THE POLICE OFFICERS OF THE WALLINGTON POLICE DEPARTMENT FOR INSTALLATION OF COMMUNICATIONS, INTERNET CONNECTIVITY, AND CAMERA SYSTEM INSTALLATIONS.</t>
  </si>
  <si>
    <t>2YTM5653327391</t>
  </si>
  <si>
    <t>2YTM5653257395</t>
  </si>
  <si>
    <t>SERVER,AUTOMATIC DATA PROCESSING</t>
  </si>
  <si>
    <t>2YTM5653398426</t>
  </si>
  <si>
    <t>DSTRASHCA</t>
  </si>
  <si>
    <t>TRASH CAN</t>
  </si>
  <si>
    <t>TO BE USED BY THE POLICE OFFICERS OF THE WALLINGTON POLICE DEPARTMENT TO MAINTAIN CLEAN AND ORGANIZED WORKSPACES.</t>
  </si>
  <si>
    <t>2YTM5653468428</t>
  </si>
  <si>
    <t>DSBINDERS</t>
  </si>
  <si>
    <t>BINDER, OFFICE SUPPLIES</t>
  </si>
  <si>
    <t>TO BE USED BY THE POLICE OFFICERS OF THE WALLINGTON POLICE DEPARTMENT TO IMPROVE ORGANIZATION OF REPORTS, TRAINING MATERIALS, AND ADMINISTRATIVE DOCUMENTS.</t>
  </si>
  <si>
    <t>2YTM5653327397</t>
  </si>
  <si>
    <t>DSTREADM1</t>
  </si>
  <si>
    <t>TREADMILL</t>
  </si>
  <si>
    <t>TO BE USED BY POLICE OFFICERS OF THE WALLINGTON POLICE DEPARTMENT FOR PHYSICAL FITNESS.</t>
  </si>
  <si>
    <t>2YTM5653327396</t>
  </si>
  <si>
    <t>WEST WINDSOR POLICE DEPT (2YTNJX)</t>
  </si>
  <si>
    <t>2YTNJX60513730</t>
  </si>
  <si>
    <t>DSSHREDD0</t>
  </si>
  <si>
    <t>SHREDDER</t>
  </si>
  <si>
    <t>FOR USE BY THIS LEA ONLY.  FOR USE 
BY THIS LEAS LEOS TO USE FOR THE DESTRUCTION OF SENSITIVE DOCUMENTS CONTAINING SUSPECT, VICTIM, OR WITNESS INFORMATION.</t>
  </si>
  <si>
    <t>2YTNJX60584625</t>
  </si>
  <si>
    <t>FOR USE BY THIS LEA ONLY.  FOR USE BY THIS LEAS LEOS TO USE FOR ANY REPAIR OR MAINTENANCE NEEDED OF POLICE EQUIPMENT AND POLICE PROPERTY TO KEEP THEIR OPERATIONAL READINESS.</t>
  </si>
  <si>
    <t>2YTNJX60443347</t>
  </si>
  <si>
    <t>PRINTER,AUTOMATIC D</t>
  </si>
  <si>
    <t xml:space="preserve">FOR USE BY THIS LEA ONLY.  FOR USE BY THIS LEAS LEOS TO USE AT CRITICAL INCIDENTS TO PRINT OPERATIONAL PLANS AND REPORTS FOR INCIDENT BRIEFINGS.  
</t>
  </si>
  <si>
    <t>2YTNJX60514105</t>
  </si>
  <si>
    <t>DSCABINSH</t>
  </si>
  <si>
    <t>CABINETS, LOCKERS, BINS, AND SHELVING</t>
  </si>
  <si>
    <t>FOR USE BY THIS LEA ONLY.  FOR USE BY THIS LEAS LEOS TO USE FOR THE RECORD STORING OF LEOS PERSONNEL AND TRAINING FILES.</t>
  </si>
  <si>
    <t>2YTNJX60513348</t>
  </si>
  <si>
    <t xml:space="preserve">FOR USE BY THIS LEA ONLY.  FOR USE BY THIS LEAS LEOS TO BE USED FOR STORED AND FILING LEOS TRAINING RECORDS, CERTIFICATIONS, AND OTHER PERSONNEL FILES. 
</t>
  </si>
  <si>
    <t>WESTWOOD POLICE DEPARTMENT (2YTNLY)</t>
  </si>
  <si>
    <t>2YTNLY53398409</t>
  </si>
  <si>
    <t>DSLIGHTSE</t>
  </si>
  <si>
    <t>LIGHT SET</t>
  </si>
  <si>
    <t>TO BE UTILIZED BY THE WESTWOOD POLICE DEPARTMENT TO IMPROVE VISIBILITY AND OFFICER SAFETY DURING NIGHTTIME SEARCHES, MISSING PERSON PATROLS, AND EMERGENCY OPERATIONS. THE LONG RANGE ILLUMINATION IS CRITICAL FOR LOCATING INDIVIDUALS, EVIDENCE, AND HAZARDS IN LOW-VISIBILITY CONDITIONS.</t>
  </si>
  <si>
    <t>2YTNLY53398420</t>
  </si>
  <si>
    <t>2YTNLY53468407</t>
  </si>
  <si>
    <t>DRAWERS,COLD WEATHE</t>
  </si>
  <si>
    <t>TO BE UTILIZED BY THE WESTWOOD POLICE DEPARTMENT MEMBERS SPENDING EXTENDED TIME OUTDOORS TO STAY WARM DURING COLD WEATHER.</t>
  </si>
  <si>
    <t>NY</t>
  </si>
  <si>
    <t>OLEAN CITY POLICE DEPARTMENT (2YT12Q)</t>
  </si>
  <si>
    <t>2YT12Q60169937</t>
  </si>
  <si>
    <t>THE OLEAN POLICE DEPARTMENT WILL USE THIS FOR OUR EMERGENCY RESPONSE TEAM FOR AND FOR CRITICAL INCIDENTS AS WE DO NOT CURRENTLY HAVE ANY.</t>
  </si>
  <si>
    <t>2YT12Q53538944</t>
  </si>
  <si>
    <t>THE OLEAN POLICE DEPARTMENT WILL USE THIS ITEM FOR OUR EMERGENCY RESPONSE TEAM DURING NIGHTTIME TRAINING AND RESPONSES AS WE DO NOT HAVE ANY CURRENTLY.</t>
  </si>
  <si>
    <t>2YT12Q6049JG02</t>
  </si>
  <si>
    <t>2YT12Q60090074</t>
  </si>
  <si>
    <t>THE OLEAN POLICE DEPARTMENT WILL USE THESE FOR OUR EMERGENCY RESPONSE TEAM FOR NIGHTTIME TRAINING AND RESPONSES AS WE DO NOT CURRENTLY HAVE ANY.</t>
  </si>
  <si>
    <t>2YT12Q60442827</t>
  </si>
  <si>
    <t>THE OLEAN POLICE DEPARTMENT WILL USE THESE FOR OUR EMERGENCY RESPONSE TEAM FOR OUR HELMETS AS WE DO NOT CURRENTLY HAVE ANY.</t>
  </si>
  <si>
    <t>2YT12Q60301622</t>
  </si>
  <si>
    <t>THE OLEAN POLICE DEPARTMENT WILL USE THESE FOR OUR EMERGENCY RESPONSE TEAM FOR NIGHTTIME TRAINING AND RESPONSES AS WE DO NOT CURRENTLY HAVE ANY. OLEAN PD HAS CONTACTED DS SITE WHO VERIFIED A FEW OF THE LARGE QUANTITY OF THE EQUIPMENT AVAILABLE WHICH APPEAR TO BE IN OPERABLE CONDITION. WILLING TO ACCEPT IN CURRENT CONDITION.</t>
  </si>
  <si>
    <t>2YT12Q60442634</t>
  </si>
  <si>
    <t>THE OLEAN POLICE DEPARTMENT WILL USE THESE FOR OUR EMERGENCY RESPONSE TEAM FOR TRAINING AND RESPONSES AS WE DO NOT CURRENTLY HAVE ANY.</t>
  </si>
  <si>
    <t>OWEGO POLICE DEPT (2YT18K)</t>
  </si>
  <si>
    <t>2YT18K60372375</t>
  </si>
  <si>
    <t>DSSWEPASC</t>
  </si>
  <si>
    <t>WEAPON ACCESSORIES</t>
  </si>
  <si>
    <t>THE VILLAGE OF OWEGO POLICE DEPARTMENT WOULD USE THIS PROPERTY TO SUPPLEMENT OUR CURRENT WEAPONS PLATFORM. WE USE THESE ITEMS IN EMERGENCY SITUATIONS AND FOR SECURITY IN DISASTER MITIGATION CONDITIONS</t>
  </si>
  <si>
    <t>2YT18K60372341</t>
  </si>
  <si>
    <t>DSMISCWAA</t>
  </si>
  <si>
    <t>MISC WEAPON ACCESSORIES DEMIL A</t>
  </si>
  <si>
    <t>THE VILLAGE OF OWEGO POLICE DEPARTMENT WOULD USE THIS PROPERTY TO OUTFIT VARIOUS DUTY WEAPON PLATFORMS FOR OFFICERS AND ADDITIONAL DEPARTMENT TRAINING WEAPON PLATFORMS. THIS WOULD EXCEED THE TYPICAL ALLOCATION LIMIT</t>
  </si>
  <si>
    <t>2YT18K60090208</t>
  </si>
  <si>
    <t>THE VILLAGE OF OWEGO POLICE DEPARTMENT WOULD USE THIS PROPERTY TO MAINTAIN OUR CURRENT FLEET OF 1033 PROGRAM VEHICLES. THESE VEHICLES ARE USED IN EMERGENCY SITUATIONS AS WELL AS DISASTER MITIGATION.</t>
  </si>
  <si>
    <t>2YT18K60090214</t>
  </si>
  <si>
    <t>PARTS KIT, ARM, STEERING GEAR.</t>
  </si>
  <si>
    <t>THE VILLAGE OF OWEGO POLICE DEPARTMENT WOULD USE THIS PROPERTY TO HELP MAINTAIN THE 1033 PROGRAM VEHICLES ALREADY IN OUR FLEET. THESE VEHICLES ARE USED IN EMERGENCY SITUATIONS AS WELL AS DISASTER MITIGATION.</t>
  </si>
  <si>
    <t>2YT18K60090213</t>
  </si>
  <si>
    <t>ROTOR, DISC BRAKE</t>
  </si>
  <si>
    <t>THE VILLAGE OF OWEGO POLICE DEPARTMENT WOULD USE THIS PROPERTY TO HELP MAINTAIN OUR FLEET OF 1033 PROGRAM VEHICLES. THESE VEHICLES ARE USED IN EMERGENCY SITUATIONS AND DISASTER MITIGATION.</t>
  </si>
  <si>
    <t>2YT18K60090216</t>
  </si>
  <si>
    <t>PARTS KIT,SEAT BELT</t>
  </si>
  <si>
    <t>THE VILLAGE OF OWEGO POLICE DEPARTMENT WOULD USE THIS PROPERTY TO HELP MAINTAIN ITS CURRENT INVENTORY OF 1033 PROGRAM VEHICLES. THESE VEHICLES ARE USED IN EMERGENCY SITUATIONS AND DISASTER MITIGATION.</t>
  </si>
  <si>
    <t>2YT18K60020057</t>
  </si>
  <si>
    <t>GUARD,SPLASH,VEHICU</t>
  </si>
  <si>
    <t>THE VILLAGE OF OWEGO POLICE DEPARTMENT WOULD USE THIS PROPERTY TO HELP MAINTAIN 1033 PROGRAM VEHICLES ALREADY IN OUR INVENTORY. THESE VEHICLES ARE USED IN EMERGENCY SITUATIONS AS WELL AS DISASTER MITIGATION.</t>
  </si>
  <si>
    <t>2YT18K60090052</t>
  </si>
  <si>
    <t>BLADE,WINDSHIELD WI</t>
  </si>
  <si>
    <t>THE VILLAGE OF OWEGO POLICE DEPARTMENT WOULD USE THIS PROPERTY TO HELP MAINTAIN OUR CURRENT INVENTORY OF VEHICLES FROM THE 1033 PROGRAM. THESE VEHICLES ARE USED IN EMERGENCY SITUATIONS AND IN DISASTER MITIGATION.</t>
  </si>
  <si>
    <t>2YT18K60090055</t>
  </si>
  <si>
    <t>ARM,REARVIEW MIRROR</t>
  </si>
  <si>
    <t>THE OWEGO VILLAGE POLICE DEPARTMENT WOULD USE THIS PROPERTY TO HELP MAINTAIN THE 1033 PROGRAM VEHICLES WE HAVE IN OUR INVENTORY. THESE VEHICLES ARE USED IN EMERGENCY SITUATIONS AND DISASTER MITIGATION.</t>
  </si>
  <si>
    <t>2YT18K60090215</t>
  </si>
  <si>
    <t>CURTAIN,VEHICULAR</t>
  </si>
  <si>
    <t>THE VILLAGE OF OWEGO WOULD USE THIS PROPERTY TO HELP MAINTAIN ITS CURRENT FLEET OF 1033 PROGRAM VEHICLES. THESE VEHICLES ARE USED IN EMERGENCY SITUATIONS AS WELL AS DISASTER MITIGATION.</t>
  </si>
  <si>
    <t>2YT18K60090217</t>
  </si>
  <si>
    <t>FACESHIELD,MILITARY</t>
  </si>
  <si>
    <t>THE VILLAGE OF OWEGO POLICE DEPARTMENT WOULD USE THIS PROPERTY TO HELP EQUIP OFFICERS WITH PROTECTIVE EQUIPMENT DURING EMERGENCY SITUATIONS AND DISASTER MITIGATION.</t>
  </si>
  <si>
    <t>2YT18K60090269</t>
  </si>
  <si>
    <t>SWITCH,ROTARY</t>
  </si>
  <si>
    <t>THE VILLAGE OF OWEGO POLICE DEPARTMENT WOULD USE THIS PROPERTY TO MAINTAIN THE 1033 PROGRAM VEHICLES ALREADY IN OUR INVENTORY. THESE VEHICLES ARE USED IN EMERGENCY SITUATIONS AS WELL AS IN DISASTER MITIGATION.</t>
  </si>
  <si>
    <t>2YT18K60372811</t>
  </si>
  <si>
    <t>TOURNIQUET,NONPNEUM</t>
  </si>
  <si>
    <t>THE VILLAGE OF OWEGO POLICE DEPARTMENT WOULD USE THIS PROPERTY TO HELP EQUIP OFFICERS IN THE FIELD, DURING EMERGENCY SITUATIONS AND DISASTER MITIGATION.</t>
  </si>
  <si>
    <t>2YT18K60442801</t>
  </si>
  <si>
    <t>TACHOMETER,MECHANICAL,FIXED MOUNTING</t>
  </si>
  <si>
    <t>THE VILLAGE OF OWEGO POLICE DEPARTMENT WOULD USE THIS PROPERTY TO HELP MAINTAIN THE 1033 PROGRAM VEHICLES ALREADY IN OUR INVENTORY. THESE VEHICLES ARE USED IN EMERGENCY SITUATIONS AND IN DISASTER MITIGATION EFFORTS.</t>
  </si>
  <si>
    <t>2YT18K60442812</t>
  </si>
  <si>
    <t>THE VILLAGE OF OWEGO POLICE DEPARTMENT WOULD USE THIS PROPERTY DURING COLD WEATHER OPERATIONS, TO EQUIP OFFICERS IN THE FIELD DURING EMERGENCY SITUATIONS AND DISASTER MITIGATION EFFORTS.</t>
  </si>
  <si>
    <t>2YT18K60442821</t>
  </si>
  <si>
    <t>THE VILLAGE OF OWEGO POLICE DEPARTMENT WOULD USE THIS PROPERTY TO EQUIP OFFICERS IN THE FIELD DURING COLD WEATHER OPERATIONS, INCLUDING EMERGENCY SITUATIONS AND DISASTER MITIGATION EFFORTS.</t>
  </si>
  <si>
    <t>2YT18K60442817</t>
  </si>
  <si>
    <t>SUSPENDERS,INDIVIDU</t>
  </si>
  <si>
    <t>THE VILLAGE OF OWEGO POLICE DEPARTMENT WOULD USE THIS PROPERTY TO EQUIP OFFICERS IN COLD WEATHER OPERATIONS SUCH AS EMERGENCY SITUATIONS AND DISASTER MITIGATION EFFORTS.</t>
  </si>
  <si>
    <t>POUGHKEEPSIE POLICE DEPT (2YTJV4)</t>
  </si>
  <si>
    <t>2YTJV453539092</t>
  </si>
  <si>
    <t>CITY OF POUGHKEEPSIE POLICE DEPARTMENT IS PUTTING IN THIS REQUEST FOR 3 PEC-15S TO OUTFIT OUR 25 MAN SWAT TEAM. THEY WILL BE USED DURING TRAINING AND OPS THAT WE DEPLOY ON.</t>
  </si>
  <si>
    <t>YONKERS POLICE DEPT (2YTNZL)</t>
  </si>
  <si>
    <t>2YTNZL60442659</t>
  </si>
  <si>
    <t>MEMBERS OF THE YONKERS POLICE DEPARTMENT WILL USE THE ALL TERRAIN VEHICLE AT LARGE EVENTS TO MOVE OFFICERS AND EQUIPMENT AROUND WHERE A VEHICLE WON'T FIT.</t>
  </si>
  <si>
    <t>2YTNZL60372534</t>
  </si>
  <si>
    <t>DSSAWFILE</t>
  </si>
  <si>
    <t>SAWS AND FILING MACHINES</t>
  </si>
  <si>
    <t>MEMBERS OF THE YONKERS POLICE DEPARTMENT WILL USE THESE SAW BLADES IN OUR RECUSE SAWS TO HELP CUT METAL AND CONCRETE DURING EMERGENCY</t>
  </si>
  <si>
    <t>2YTNZL60584372</t>
  </si>
  <si>
    <t>DSENGRAVR</t>
  </si>
  <si>
    <t>ENGRAVING MACHINE</t>
  </si>
  <si>
    <t>MEMBERS OF THE YONKERS POLICE DEPARTMENT WILL USE THIS ENGRAVER TO ENGRAVE MARKING ON DEPARTMENT TOOLS AND EQUIPMENT</t>
  </si>
  <si>
    <t>2YTNZL60513058</t>
  </si>
  <si>
    <t>DSBLOWER0</t>
  </si>
  <si>
    <t>BLOWER, LANDSCAPE</t>
  </si>
  <si>
    <t>MEMBER OF THE YONKERS POLICE DEPARTMENT WILL USE THESE BLOWERS AROUND ARE TRAINING CENTER TO HELP KEEP THE AREA CLEAN OF DEBRIS AND LEAF, ALSO IT COULD BE USED AS AN EFFECTIVE WAY TO DECONTAMINATE THE AREA FROM PEPPERBALL OR OC.</t>
  </si>
  <si>
    <t>2YTNZL60090547</t>
  </si>
  <si>
    <t>MEMBERS OF THE YONKERS POLICE DEPARTMENT WILL USE THIS SNOW THROWER ATTACHMENT TO THE BOBCAT TO CLEAR SNOW AT POLICE PCT AND BUILDINGS AS WELL AS EMERGENCY ROUTES TO THE HOSPITALS</t>
  </si>
  <si>
    <t>2YTNZL60442884</t>
  </si>
  <si>
    <t>DSMHEMISC</t>
  </si>
  <si>
    <t>MISC MATERIALS HANDLING EQUIPMENT</t>
  </si>
  <si>
    <t>MEMBERS OF THE YONKERS POLICE DEPARTMENT WILL USE THIS LIFT AT THE TRAINING CENTERING TO CHANGE AND FIX ELECTRICAL FIXTURE'S AND  FILM TRAINING SCENARIOS FROM AN ELEVATED POSITION.</t>
  </si>
  <si>
    <t>2YTNZL60513048</t>
  </si>
  <si>
    <t>DSFREEZER</t>
  </si>
  <si>
    <t>FREEZER</t>
  </si>
  <si>
    <t>MEMBERS OF THE YONKERS POLICE DEPARTMENT WILL USE THIS FREEZER  ICE MAKER TO HELP KEEP OFFICERS COOL IN THE SUMMER TIME AND IF AN OFFICER GETS INJURED THEY CAN PUT ICE ON THE INJURY TO HELP REDUCE SWELLING</t>
  </si>
  <si>
    <t>2YTNZL60655269</t>
  </si>
  <si>
    <t>DSMASKFIL</t>
  </si>
  <si>
    <t>MASK FILTERS</t>
  </si>
  <si>
    <t>MEMBERS OF THE YONKERS POLICE DEPARTMENT WILL USE THESE MASK TO PROTECT OFFICER'S AIRWAY DURING EMERGENCIES AND POSSIBLE CONTAGIOUS VIRUS OUTBREAKS</t>
  </si>
  <si>
    <t>2YTNZL60655329</t>
  </si>
  <si>
    <t>MEMBERS OF THE YONKERS POLICE DEPARTMENT WILL USE THESE FILTERS ON MASK TO HELP PROTECT OFFICERS RESPIRATORY SYSTEM DURING EMERGENCIES AND TO PROTECT FROM AIRBORNE VIRUS. EACH MASK REQUIRES 2 FILTERS. WE WILL ALSO USE SOME FILTERS FOR TRAINING</t>
  </si>
  <si>
    <t>2YTNZL60372033</t>
  </si>
  <si>
    <t>SHOP EQUIPMENT,UTIL</t>
  </si>
  <si>
    <t>MEMBERS OF THE YONKERS POLICE DEPARTMENT WILL USE THESE TOOLS TO REPAIR DEPARTMENTAL TOOLS AND EQUIPMENT</t>
  </si>
  <si>
    <t>2YTNZL60372221</t>
  </si>
  <si>
    <t>MEMBERS OF THE YONKERS POLICE DEPARTMENT WILL USE THIS CROW BAR TO HELP RESCUE AND RECOVER EFFORTS IF SOMEONE IS PINNED UNDER DEBRIS</t>
  </si>
  <si>
    <t>2YTNZL60312471</t>
  </si>
  <si>
    <t>MASK,RESPIRATOR</t>
  </si>
  <si>
    <t>MEMBERS OF THE YONKERS POLICE DEPARTMENT WILL USE THESE MASK TO PROTECT OFFICERS FROM DUST PARTICLES DURING EMERGENCY SCENES</t>
  </si>
  <si>
    <t>2YTNZL60372323</t>
  </si>
  <si>
    <t>CONTAINER,UTILITY,M</t>
  </si>
  <si>
    <t>MEMBERS OF THE YONKERS POLICE DEPARTMENT WILL USE THIS CONTAINER TO TRANSPORT BLOOD TO HOSPITALS DURING EMERGENCIES AND NATURAL DISASTERS</t>
  </si>
  <si>
    <t>2YTNZL60372324</t>
  </si>
  <si>
    <t>2YTNZL60372325</t>
  </si>
  <si>
    <t>2YTNZL60372326</t>
  </si>
  <si>
    <t>2YTNZL60312470</t>
  </si>
  <si>
    <t>BAG,BIOHAZARD DISPO</t>
  </si>
  <si>
    <t>MEMBERS OF THE YONKERS POLICE DEPARTMENT WILL USE THESE BIOHAZARD BAGS TO CLEAN UP BLOOD, BANDAGES AND OTHER ITEMS FROM CRIME SCENES</t>
  </si>
  <si>
    <t>2YTNZL60372322</t>
  </si>
  <si>
    <t>2YTNZL60372219</t>
  </si>
  <si>
    <t>MEMBERS OF THE YONKERS POLICE DEPARTMENT WILL USE THIS CONTAINER TO TRANSPORT BLOOD DURING EMERGENCIES AND NATURAL DISASTERS</t>
  </si>
  <si>
    <t>2YTNZL60372287</t>
  </si>
  <si>
    <t>MEMBERS OF THE YONKERS POLICE DEPARTMENT WILL USE THIS CONTAINER TO TRANSPORT BLOOK AND PLASMA DURING EMERGENCIES AND NATURAL DISASTERS</t>
  </si>
  <si>
    <t>2YTNZL60372321</t>
  </si>
  <si>
    <t>2YTNZL60372318</t>
  </si>
  <si>
    <t>MEMBERS OF THE YONKERS POLICE DEPARTMENT WILL USE THE COMBAT MEDIC KIT TO TREAT INJURED POLICE OFFICERS DURING EMERGENCIES</t>
  </si>
  <si>
    <t>2YTNZL60655290</t>
  </si>
  <si>
    <t>MEMBERS OF THE YONKERS POLICE DEPARTMENT WILL USE THE BINOCULARS DURING LARGE SCALE EVENTS TO OBSERVE THE CROWDS AND LOOK FOR ANYTHING SUSPICIOUS</t>
  </si>
  <si>
    <t>2YTNZL60301666</t>
  </si>
  <si>
    <t>METAL DETECTOR</t>
  </si>
  <si>
    <t>MEMBERS OF THE YONKERS POLICE DEPARTMENT WILL USE THESE METAL DETECTORS AT CRIME SCENES TO SEARCH FOR EVIDENCE FOR EXAMPLE GUNS, KNIFES, SHELL CASING, AND BULLETS. THIS WILL HELP OFFICERS TO SEARCH A LARGE AREA QUICKLY</t>
  </si>
  <si>
    <t>2YTNZL60020251</t>
  </si>
  <si>
    <t>MEMBERS OF THE YONKERS POLICE DEPARTMENT WILL USE THIS CAMERA EQUIPMENT TO PHOTOGRAPH EMERGENCY SCENES AND POSSIBLE EVIDENCE.</t>
  </si>
  <si>
    <t>2YTNZL60020239</t>
  </si>
  <si>
    <t>2YTNZL60020252</t>
  </si>
  <si>
    <t>2YTNZL60090243</t>
  </si>
  <si>
    <t>2YTNZL60090250</t>
  </si>
  <si>
    <t>DSFLASH00</t>
  </si>
  <si>
    <t>FLASH, CAMERA</t>
  </si>
  <si>
    <t>2YTNZL60090249</t>
  </si>
  <si>
    <t>2YTNZL60090240</t>
  </si>
  <si>
    <t>2YTNZL60090241</t>
  </si>
  <si>
    <t>2YTNZL60020242</t>
  </si>
  <si>
    <t>2YTNZL60090244</t>
  </si>
  <si>
    <t>2YTNZL60020245</t>
  </si>
  <si>
    <t>2YTNZL60020246</t>
  </si>
  <si>
    <t>2YTNZL60020247</t>
  </si>
  <si>
    <t>2YTNZL60020248</t>
  </si>
  <si>
    <t>2YTNZL60504102</t>
  </si>
  <si>
    <t>DECK COVERING,LIGHTWEIGHT,NONSLIP</t>
  </si>
  <si>
    <t>MEMBERS OF THE YONKERS POLICE WILL USE THIS GRIP TAPE ON OUR BOAT, VEHICLES, AND EQUIPMENT TO PREVENT SOME FROM SLIPPING AND FALLING AND GETTING HURT</t>
  </si>
  <si>
    <t>2YTNZL60372248</t>
  </si>
  <si>
    <t>MEMBERS OF THE YONKERS POLICE DEPARTMENT WILL USE THESE SUPPLIES TO CLEAN UP THE TRAINING CENTER AND CLASSROOM</t>
  </si>
  <si>
    <t>2YTNZL60513063</t>
  </si>
  <si>
    <t>FLAGPOLE</t>
  </si>
  <si>
    <t>MEMBERS OF THE YONKERS POLICE DEPARTMENT WILL USE THESE FLAG POLES TO DISPLAY AMERICAN FLAG AT OUR DEPARTMENT BUILDING</t>
  </si>
  <si>
    <t>2YTNZL60372228</t>
  </si>
  <si>
    <t>MEMBERS OF THE YONKERS POLICE DEPARTMENT WILL USE THESE HAZMAT SUITS FOR TRAINING IN DEALING WITH DRUG LABS.</t>
  </si>
  <si>
    <t>2YTNZL60513044</t>
  </si>
  <si>
    <t>MEMBERS OF THE YONKERS POLICE DEPARTMENT WILL USE THESE EXTREME COLD PARKAS DURING EMERGENCIES IN COLD WEATHER.</t>
  </si>
  <si>
    <t>2YTNZL60513066</t>
  </si>
  <si>
    <t>MEMBERS OF THE YONKERS POLICE DEPARTMENT WILL USE THE EXTREME COLD WEATHER PANTS WHILE TRAINING IN THE OUTDOORS DURING THE WINTER TIME. MEMBERS OF THE YONKERS POLICE TRAIN FOR COLD WEATHER EMERGENCIES LIKE ICE RESCUE AND EVIDENCE RECOVERY. THESE PANTS WILL REDUCE OFFICER EXPOSURE TO THE COLD WHILE TRAINING</t>
  </si>
  <si>
    <t>2YTNZL60513047</t>
  </si>
  <si>
    <t>2YTNZL60513046</t>
  </si>
  <si>
    <t>2YTNZL60513045</t>
  </si>
  <si>
    <t>2YTNZL60513043</t>
  </si>
  <si>
    <t>2YTNZL60655277</t>
  </si>
  <si>
    <t>MEMBERS OF THE YONKERS POLICE DEPARTMENT SNIPER TEAM WILL USE THESE PARKA DURING WET AND RAINY CONDITIONS TO HELP KEEP THEMSELVES DRY</t>
  </si>
  <si>
    <t>2YTNZL60655331</t>
  </si>
  <si>
    <t>MEMBERS OF THE YONKERS POLICE DEPARTMENT WILL USE THE TYVEK SUITS AT CRIMES SCENES TO PREVENT CONTAMINATION. A SUIT WILL BE ISSUED TO EACH OFFICER WITH A SPARE IN KEPT IN THE POLICE CAR. SOME SUITS WILL ALSO BE USED FOR TRAINING</t>
  </si>
  <si>
    <t>2YTNZL60513042</t>
  </si>
  <si>
    <t>BOOTS,SAFETY,MEN'S</t>
  </si>
  <si>
    <t>A MEMBER OF THE YONKERS POLICE DEPARTMENT WILL USE THESE BOOTS WHILE WORKING TO PREVENT SLIPS AND FALLS</t>
  </si>
  <si>
    <t>OH</t>
  </si>
  <si>
    <t>BRUNSWICK POLICE DEPT (2YTBM0)</t>
  </si>
  <si>
    <t>2YTBM053609297</t>
  </si>
  <si>
    <t>THIS COLD WEATHER CLOTHING WILL BE ISSUED TO MEMBERS OF OUR SWAT TEAM FOR USE DURING TRAINING AND TACTICAL OPERATIONS DURING THE COLD WEATHER MONTHS</t>
  </si>
  <si>
    <t>2YTBM053539296</t>
  </si>
  <si>
    <t>LINER,COLD WEATHER</t>
  </si>
  <si>
    <t>2YTBM053609276</t>
  </si>
  <si>
    <t>DSGLOVESW</t>
  </si>
  <si>
    <t>GLOVES, COLD WEATHER</t>
  </si>
  <si>
    <t>2YTBM053609277</t>
  </si>
  <si>
    <t>DSGLOVEWP</t>
  </si>
  <si>
    <t>2YTBM053609278</t>
  </si>
  <si>
    <t>2YTBM053609279</t>
  </si>
  <si>
    <t>2YTBM053609280</t>
  </si>
  <si>
    <t>2YTBM053609284</t>
  </si>
  <si>
    <t>2YTBM053539285</t>
  </si>
  <si>
    <t>2YTBM053539286</t>
  </si>
  <si>
    <t>2YTBM053609287</t>
  </si>
  <si>
    <t>2YTBM053539288</t>
  </si>
  <si>
    <t>2YTBM053609313</t>
  </si>
  <si>
    <t>2YTBM053609314</t>
  </si>
  <si>
    <t>2YTBM053609315</t>
  </si>
  <si>
    <t>2YTBM053609316</t>
  </si>
  <si>
    <t>2YTBM053609283</t>
  </si>
  <si>
    <t>2YTBM053539317</t>
  </si>
  <si>
    <t>2YTBM053609299</t>
  </si>
  <si>
    <t>2YTBM053609300</t>
  </si>
  <si>
    <t>2YTBM053609301</t>
  </si>
  <si>
    <t>2YTBM053609302</t>
  </si>
  <si>
    <t>2YTBM053539303</t>
  </si>
  <si>
    <t>2YTBM053539304</t>
  </si>
  <si>
    <t>2YTBM053609305</t>
  </si>
  <si>
    <t>2YTBM053609306</t>
  </si>
  <si>
    <t>2YTBM053609309</t>
  </si>
  <si>
    <t>THIS WET WEATHER CLOTHING WILL BE ISSUED TO MEMBERS OF OUR SWAT TEAM FOR USE DURING TRAINING AND TACTICAL OPERATIONS DURING THE COLD WEATHER MONTHS</t>
  </si>
  <si>
    <t>2YTBM053539310</t>
  </si>
  <si>
    <t>2YTBM053609311</t>
  </si>
  <si>
    <t>PARKA,WORKING (NAVY) TYPE III</t>
  </si>
  <si>
    <t>2YTBM053609312</t>
  </si>
  <si>
    <t>2YTBM053539289</t>
  </si>
  <si>
    <t>2YTBM053539290</t>
  </si>
  <si>
    <t>2YTBM053539291</t>
  </si>
  <si>
    <t>2YTBM053539292</t>
  </si>
  <si>
    <t>2YTBM053609293</t>
  </si>
  <si>
    <t>2YTBM053539294</t>
  </si>
  <si>
    <t>2YTBM053539295</t>
  </si>
  <si>
    <t>2YTBM053609275</t>
  </si>
  <si>
    <t>CLARK CTY SHERIFF DEPT (2YTCFQ)</t>
  </si>
  <si>
    <t>2YTCFQ60725366</t>
  </si>
  <si>
    <t>DSSMTBORD</t>
  </si>
  <si>
    <t>SMART BOARD</t>
  </si>
  <si>
    <t>USED FOR INVESTIGATIONS AND PRESENTATIONS WITHIN THE LAW ENFORCEMENT AGENCY</t>
  </si>
  <si>
    <t>DOJ/FBI CLEVELAND DIV (2YTMRH)</t>
  </si>
  <si>
    <t>2YTMRH60372275</t>
  </si>
  <si>
    <t>LENS,GOGGLES,INDUSTRIAL</t>
  </si>
  <si>
    <t>REQUEST FOR INDUSTRIAL GOGGLE LENSES TO BE USED DURING FBI CLEVELAND QUARTERLY TACTICAL TRAINING DAYS. ITEMS WOULD BE UTILIZED FOR FBI AGENTS FOR LE PURPOSE AND TRAINING ONLY</t>
  </si>
  <si>
    <t>2YTMRH60372276</t>
  </si>
  <si>
    <t>HEADBAND,GOGGLES</t>
  </si>
  <si>
    <t>REQUEST FOR HEADBANDS TO BE UTILIZED BY FBI CLEVELAND FOR TACTICAL TRAINING DAYS WITH SEPARATELY REQUESTED LENS. ITEMS WOULD BE USED FOR OFFICIAL LAW ENFORCEMENT PURPOSES ONLY.</t>
  </si>
  <si>
    <t>2YTMRH60584087</t>
  </si>
  <si>
    <t>BLANKET,BED</t>
  </si>
  <si>
    <t>REQUEST FOR FBI CLEVELAND. BLANKETS WOULD BE USED FOR SUPPLY AND DURING OPERATIONS WHEN NECESSARY FOR TRANSPORT AND USE BY OCCUPANTS DURING MISSIONS.</t>
  </si>
  <si>
    <t>2YTMRH60584089</t>
  </si>
  <si>
    <t>DSBXCARCR</t>
  </si>
  <si>
    <t>BOXES, CARTONS, AND CRATES</t>
  </si>
  <si>
    <t>REQUEST FOR ONE 550 CASE FOR STORAGE TO BE USED BY FBI CLEVELAND TO MOVE AND HOUSE EQUIPMENT. TO BE ISSUED TO ACTIVE PERSONNEL AND FOR OFFICIAL STORAGE AND USE.</t>
  </si>
  <si>
    <t>2YTMRH60584090</t>
  </si>
  <si>
    <t>REQUEST FOR WET WEATHER PARKA TO BE ISSUED TO FBI CLEVELAND PERSONNEL. OPERATIONS OCCUR IN ADVERSE WEATHER CONDITIONS TO INCLUDE RAIN, SLEET AND SNOW. ITEM WOULD BE UTILIZED BY ACTIVE PERSONNEL ONLY.</t>
  </si>
  <si>
    <t>2YTMRH60584098</t>
  </si>
  <si>
    <t>REQUEST FOR ONE COLD WEATHER SHIRT FOR COLD WEATHER CONDITIONS. ITEM WOULD BE ISSUED TO PERSONNEL ON ACTIVE STATUS FOR OFFICIAL USE AND DURING OPERATIONS</t>
  </si>
  <si>
    <t>2YTMRH60584096</t>
  </si>
  <si>
    <t>REQUEST FOR PT SHIRTS TO BE ISSUED FOR FBI CLEVELAND AGENTS AND PERSONNEL. WOULD BE UTILIZED FOR PHYSICAL FITNESS SESSION AND TRAINING.</t>
  </si>
  <si>
    <t>2YTMRH60584091</t>
  </si>
  <si>
    <t>REQUEST FOR COLD WEATHER JACKET TO BE ISSUED TO FBI CLEVELAND PERSONNEL. OPERATIONS OCCUR IN ADVERSE WEATHER CONDITIONS TO INCLUDE FREEZING RAIN, SNOW AND ICY CONDITIONS. ITEM WOULD BE UTILIZED BY ACTIVE PERSONNEL ONLY.</t>
  </si>
  <si>
    <t>FAIRFIELD COUNTY SHERIFFS OFFICE (2YTDXH)</t>
  </si>
  <si>
    <t>2YTDXH60584100</t>
  </si>
  <si>
    <t>FOR USE BY FAIRFIELD COUNTY SHERIFF DEPUTIES FOR USE AT THE SHERIFFS OFFICE RANGE AND TRAINING CENTER  FOR USE TO MOVE DIRT AND EQUIPMENT AROUND TO SET UP TRAINING FOR HIGH RISK SEARCH WARRANTS AND SWAT OPERATIONS</t>
  </si>
  <si>
    <t>2YTDXH60372183</t>
  </si>
  <si>
    <t>FOR USE BY FCSO SWAT AND RANGE OFFICERS AS REPLACEMENT SAFETY GLASSES FOR RANGE AND OPERATIONS</t>
  </si>
  <si>
    <t>2YTDXH60372184</t>
  </si>
  <si>
    <t>LENS,GOGGLES,INDUST</t>
  </si>
  <si>
    <t>2YTDXH60372180</t>
  </si>
  <si>
    <t>2YTDXH60372185</t>
  </si>
  <si>
    <t>FOR USE BY FCSO OFFICERS IN CRUISERS DURING RURAL OPOERATIONS</t>
  </si>
  <si>
    <t>2YTDXH60372186</t>
  </si>
  <si>
    <t>DSPELCNMD</t>
  </si>
  <si>
    <t>CASE, PELICAN, MED, 100 TO 500 SQ IN</t>
  </si>
  <si>
    <t>FOR USE BY FCSO SWAT OFFICERS IN STORAGE OF SENSITIVE EQUIPMENT USED DURING HOSTAGE RESCUE OPS</t>
  </si>
  <si>
    <t>2YTDXH60442677</t>
  </si>
  <si>
    <t>FOR USE BY FCSO PATROL AND SWAT OFFICERS IN TRANSPORTING INDIVIDUAL GEAR IN RURAL PUBLIC SAFETY OPERATIONS</t>
  </si>
  <si>
    <t>FRANKLIN COUNTY SHERIFF OFFICE (2YTEA4)</t>
  </si>
  <si>
    <t>2YTEA460581717</t>
  </si>
  <si>
    <t>WE ARE A PUBLIC SAFETY BOMB SQUAD AND THIS ITEM WILL BE USED DURING DAILY OPERATIONS.</t>
  </si>
  <si>
    <t>2YTEA460725351</t>
  </si>
  <si>
    <t>DSOVERHEA</t>
  </si>
  <si>
    <t>OVERHEAD PROJECTOR, ANALOG</t>
  </si>
  <si>
    <t>THIS WILL BE USED WHEN HOSTING A PROVIDING TRAINING TO OUR AGENCY AND OTHER AGENCIES IN OUR JURISDICTION.</t>
  </si>
  <si>
    <t>GEORGETOWN PD (2YTEJX)</t>
  </si>
  <si>
    <t>2YTEJX60724975</t>
  </si>
  <si>
    <t>THIS VEHICLE WILL BE USED BY THE POLICE DEPARTMENT FOR ADMINISTRATIVE PURPOSES, TRAINING AND INVESTIGATIVE TASKS.</t>
  </si>
  <si>
    <t>2YTEJX60724979</t>
  </si>
  <si>
    <t>DSSCOOTER</t>
  </si>
  <si>
    <t>SCOOTER</t>
  </si>
  <si>
    <t>THIS ITEM WILL BE USED BY THE POLICE DEPARTMENT DURING FESTIVALS, FAIRS, TRAINING EVENTS FOR INCREASED EFFECTIVENESS OF OPERATIONS.</t>
  </si>
  <si>
    <t>2YTEJX60724980</t>
  </si>
  <si>
    <t>2YTEJX60372601</t>
  </si>
  <si>
    <t>SAW,CHAIN</t>
  </si>
  <si>
    <t>THESE ITEMS WILL BE PLACE INTO POLICE VEHICLES FOR USE DURING EMERGENCY WEATHER SITUATIONS AND CLEARING WOODS FOR FUTURE TRAINING AREA.</t>
  </si>
  <si>
    <t>2YTEJX60372604</t>
  </si>
  <si>
    <t>THIS ITEM WILL BE USED TO HOLD TOOLS AND SUPPLIES IN THE POLICE DEPARTMENTS VEHICLE UPFITTING AND SERIVCE GARAGE .</t>
  </si>
  <si>
    <t>2YTEJX60443273</t>
  </si>
  <si>
    <t>DSMSCREPE</t>
  </si>
  <si>
    <t>MISC MAINTENANCE AND REPAIR SHOP</t>
  </si>
  <si>
    <t>THESE REPAIR SHOP TOOLS WILL BE USED FOR THE MAINTENCE AND REPAIR OF POLICE VEHICLES.</t>
  </si>
  <si>
    <t>2YTEJX60513272</t>
  </si>
  <si>
    <t>DSJACKHAN</t>
  </si>
  <si>
    <t>HAND JACK</t>
  </si>
  <si>
    <t>THIS ITEM WILL BE USED BY THE POLICE DEPARTMENT FOR THE MAINTENCE AND REPAIR OF POLICE VEHICLES.</t>
  </si>
  <si>
    <t>2YTEJX60513486</t>
  </si>
  <si>
    <t>WELDER,ARC,PORTABLE</t>
  </si>
  <si>
    <t>THIS ITEM WILL BE USED BY POLICE PERSONNEL TO FABRICATE AND REPAIR METAL TRAINING FIXTURES AND OBJECTS AT THE TRAINING RANGE CONSTRUCTION SITE AND POLICE DEPARTMENT STORAGE LOT</t>
  </si>
  <si>
    <t>2YTEJX60372901</t>
  </si>
  <si>
    <t>TOOL KIT,ELECTRONIC SYSTEM</t>
  </si>
  <si>
    <t>THIS TOOL KIT WILL BE USED BY THE POLICE DEPARTMENT FOR INSTALLING, MAINTAINING AND REPAIRING ELECTRONIC EQUIPMENT USED BY OUR DEPARTMENT.</t>
  </si>
  <si>
    <t>2YTEJX60513404</t>
  </si>
  <si>
    <t>THIS TOOL BOX WILL BE USED POLICE STAFF TO STORE AND ORGANIZE VARIOUS TOOLS AND SUPPLIED USED IN CONJUNCTION WITH POLICE VEHICLE AND EQUIPMENT UPKEEP AND REPAIR.</t>
  </si>
  <si>
    <t>2YTEJX60513276</t>
  </si>
  <si>
    <t>POUCH,INDIVIDUAL FI</t>
  </si>
  <si>
    <t>THESE FIRST AID KITS WILL BE PLACE INTO POLICE VEHICLES FOR USE BY OFFICERS IN TREATING VARIOUS INJUIRES THAT THEY MIGHT ENCOUNTER</t>
  </si>
  <si>
    <t>2YTEJX60513278</t>
  </si>
  <si>
    <t>CABINET,SECURITY,WEAPONS STORAGE</t>
  </si>
  <si>
    <t>THE CANINET WILL BE USED BY THE POLICE DEPARTMENT FOR THE SECURE STORAGE OF POLICE WEAPONS AND EQUIPMENT</t>
  </si>
  <si>
    <t>MEIGS COUNTY SHERIFF'S OFFICE (2YTHJZ)</t>
  </si>
  <si>
    <t>2YTHJZ60725355</t>
  </si>
  <si>
    <t>CONVERSION KIT,RIFLE</t>
  </si>
  <si>
    <t>SO OFFICERS OF THE MEIGS COUNTY SHERIFF'S OFFICE CAN TRAIN WITH THEIR RIFLES FOR ACTIVE SHOOTER AND SCHOOL SHOOTING REALISTICALLY WITH THEIR OWN WEAPONS.</t>
  </si>
  <si>
    <t>2YTHJZ53609678</t>
  </si>
  <si>
    <t>MOUNT,SIGHT</t>
  </si>
  <si>
    <t>SO OFFICERS CAN MOUNT A SCOPE TO THEIR 1033 ISSUED M14S FOR MORE ACCURATE FIRE AND BETTER IDENTIFICATION OF SUSPECT AND VICTIMS DURING ACTIVE SHOOTER AND SCHOOL SHOOTINGS</t>
  </si>
  <si>
    <t>2YTHJZ60513255</t>
  </si>
  <si>
    <t>THE MEIGS COUNTY SHERIFF'S OFFICE SPECIAL RESPONSE TEAM HAS RECENTLY BECAME ACTIVE AND WOULD GREATLY BENEFIT NIGHT VISION EQUIPMENT</t>
  </si>
  <si>
    <t>2YTHJZ60513254</t>
  </si>
  <si>
    <t>DSTHRMSIG</t>
  </si>
  <si>
    <t>THERMAL SIGHTS</t>
  </si>
  <si>
    <t>MEIGS COUNTY SHERIFF'S OFFICE SPECIAL RESPONSE TEAM HAS RECENTLY BECOME ACTIVE AND CAN USE THERMAL IMAGING FOR HIGH RISK SITUATIONS.</t>
  </si>
  <si>
    <t>2YTHJZ60020070</t>
  </si>
  <si>
    <t>SO OFFICERS OF THE MEIGS COUNTY SHERIFF'S OFFICE CAN PUT EXTRA MAGAZINES, FLASHLIGHTS, MEDICAL GEAR AND OTHER ITEMS FOR QUICK ACCESS TO GRAB DURING ACTIVE SHOOTER AND SCHOOL SHOOTING SITUATIONS</t>
  </si>
  <si>
    <t>2YTHJZ60020069</t>
  </si>
  <si>
    <t>RIFLEMAN SET (W/TAP)</t>
  </si>
  <si>
    <t>2YTHJZ60020066</t>
  </si>
  <si>
    <t>MOLLE RUCKSACK SET, MEDIUM - OCP</t>
  </si>
  <si>
    <t>2YTHJZ60020064</t>
  </si>
  <si>
    <t>MONTVILLE POLICE DEPT (2YTHZ8)</t>
  </si>
  <si>
    <t>2YTHZ860090393</t>
  </si>
  <si>
    <t>DSPROJEC2</t>
  </si>
  <si>
    <t>PROJECTOR, COMPUTER SCREEN</t>
  </si>
  <si>
    <t>FOR POLICE USE IN PRESENTING MATERIAL FOR BOTH CLASSES AND TO THE PUBLIC REGARDING MEDIA RELEASES.</t>
  </si>
  <si>
    <t>2YTHZ860090392</t>
  </si>
  <si>
    <t>FOR POLICE USE IN PROTECTING OF HANDS WHILE SEARCHING SUSPECTS AND AREAS.</t>
  </si>
  <si>
    <t>2YTHZ860090394</t>
  </si>
  <si>
    <t>FOR POLICE USE IN KEEPING OFFICER HANDS WARM DURING ROUTINE PATROLS.</t>
  </si>
  <si>
    <t>2YTHZ860090395</t>
  </si>
  <si>
    <t>FOR POLICE USE IN KEEPING INDIVIDUALS WARM.</t>
  </si>
  <si>
    <t>2YTHZ860029935</t>
  </si>
  <si>
    <t>FOR POLICE USE IN MOVING MISSION ESSENTIAL GEAR FROM CRUISERS TO DEPARTMENT BUILDING.</t>
  </si>
  <si>
    <t>MOUNT ORAB POLICE DEPT (2YTH5S)</t>
  </si>
  <si>
    <t>2YTH5S60029940</t>
  </si>
  <si>
    <t>THE MT ORAB POLICE DEPARTMENT WOULD LIKE TO ACQUIRE THIS BUCKET TRUCK. THIS WOULD BE USED AT OUR OUTDOOR RANGE TO HELP TRIM TREES, WORK ON OUR BUILDING. ONE PROJECT WE ARE LOOKING TO DO IS INSTALL STREET LIGHTS AT THE RANGE. THIS WOULD SAVE A LARGE AMOUNT IN RENTAL FEES FOR HAVING ACCESS TO THIS MACHINE.</t>
  </si>
  <si>
    <t>2YTH5S60725360</t>
  </si>
  <si>
    <t>THE MT ORAB POLICE DEPARTMENT WOULD LIKE TO ACQUIRE THIS MUD BUGGY. WE WOULD UTILIZE THIS FOR OUR CONCRETE WORK. WE HAVE A FEW OFFICER WITH A CONSTRUCTION BACKGROUND THAT HAVE POURED CONCRETE SLABS AND THIS ITEM WOULD MAKE THESE PROJECTS MUCH EASIER. WE WOULD ALSO BE ABLE TO USE THESE ON OUR TURF AT THE OUTDOOR RANGE, TO MOVE MATERIAL TO AREAS THAT A MACHINE COULDN'T DRIVE ON WITHOUT CREATING ISSUES WITH THE TURF</t>
  </si>
  <si>
    <t>2YTH5S60725359</t>
  </si>
  <si>
    <t>THE MT ORAB POLICE DEPARTMENT WOULD LIKE TO ACQUIRE THIS MUD BUGGY. WE WOULD UTILIZE THIS FOR OUR CONCRETE WORK. WE HAVE A FEW OFFICER WITH A CONSTRUCTION BACKGROUND THAT HAVE POURED CONCRETE SLABS AND THIS ITEM WOULD MAKE THESE PROJECTS MUCH EASIER. WE WOULD ALSO BE ABLE TO USE THESE ON OUR TURF AT THE OUTDOOR RANGE, TO MOVE MATERIAL TO AREAS THAT A MACHINE COULDN'T DRIVE ON WITHOUT CREATING ISSUES WITH THE TURF.</t>
  </si>
  <si>
    <t>2YTH5S60655358</t>
  </si>
  <si>
    <t>THE MT. ORAB POLICE DEPARTMENT WOULD LIKE TO ACQUIRE THIS BACKHOE TRACTOR. WE ARE IN NEED OF A MACHINE THAT CAN DIG DOWN AT OUR OUTDOOR RANGE FOR AN EXPANSION. WE MAINTAIN THIS RANGE WITH OUR OFF DUTY OFFICERS AND THIS MACHINE WOULD BE A WONDERFUL ADDITION AND LARGE COST SAVINGS ON RENTING.</t>
  </si>
  <si>
    <t>2YTH5S60029939</t>
  </si>
  <si>
    <t>CLEANER,VACUUM,SELF-PROPELLED</t>
  </si>
  <si>
    <t>THE MT, ORAB POLICE DEPARTMENT WOULD LIKE TO ACQUIRE THIS STREET SWEEPER VEHICLE. THIS WOULD BE USED TO SWEEP AND CLEAN OUT IMPOUND LOT WHERE OUR CRUISERS ARE STORED. THIS WOULD HELP KEEP MUD AND DIRT UP TO HELP WITH KEEPING OUR CRUISERS LOOKING CLEAN AND PROFESSIONAL. THIS WILL BE TAKEN DOWN TO OUR RANGE TO CONTINUE TO CLEAN OUR DRIVE BACK TO THE RANGE AS WELL.</t>
  </si>
  <si>
    <t>2YTH5S60513145</t>
  </si>
  <si>
    <t>THE MT. ORAB POLICE DEPARTMENT WOULD LIKE TO ACQUIRE THESE SKID STEER ATTACHMENTS. WE WOULD LIKE TO KEEP THESE AT OUR OUTDOOR RANGE TO GO WITH OUR SKID STEER. THESE WOULD BE EXTREMELY HELPFUL TO ASSIST WITH OFFLOADING HEAVY DELIVERY AND MAINTENANCE AROUND THE RANGE. WE CURRENTLY HAVE TO LOAD THE DESIRED EQUIPMENT AND TRANSPORT IT TO THE RANGE EACH TIME WE NEED TO USE IT.</t>
  </si>
  <si>
    <t>2YTH5S53539245</t>
  </si>
  <si>
    <t>DSMHETRAC</t>
  </si>
  <si>
    <t>MHE TRACTOR</t>
  </si>
  <si>
    <t>THE MT. ORAB POLICE DEPARTMENT WOULD LIKE TO ACQUIRE THIS TUG VEHICLE AND CARTS. WE WOULD LIKE TO UTILIZE THIS AT OUR IMPOUND LOT FOR MOVING ITEMS ON THE CARTS. WITH PINTLE HITCHES ON FRONT AND REAR, THE TUG VEHICLE WILL MAKE IT EASY TO HOOK UP TRAILERS AND THE CARTS.</t>
  </si>
  <si>
    <t>2YTH5S60513663</t>
  </si>
  <si>
    <t>THE MT. ORAB POLICE DEPARTMENT WOULD LIKE TO ACQUIRE THIS MAN LIFT. THIS WOULD BE HOUSED AT OUR LARGE SHOP AREA THAT HAS 14 FOOT CEILINGS. THIS WOULD AID FOR CHANGING LIGHTS, AND REACHING HIGH SHELFS IN THIS BUILDING. WITH ITS SMALL FOOTPRINT, WE WOULD BE ABLE TO STORE THIS EASILY WITHOUT TAKING UP TOO MUCH ROOM.</t>
  </si>
  <si>
    <t>2YTH5S60513916</t>
  </si>
  <si>
    <t>JACK,DOLLY TYPE,HYDRAULIC</t>
  </si>
  <si>
    <t>THE MT. ORAB POLICE DEPARTMENT WOULD LIKE TO ACQUIRE THESE FLOOR JACKS. WE CURRENTLY DO NOT HAVE A QUALITY FLOOR JACK THAT WILL LIFT OUR CRUISERS EASIER AND HAVE TO BORROW THE VILLAGE SHOP'S JACKS WHEN WE WORK ON VEHICLES. THIS WOULD ALLOW US TO HAVE A JACK IN THE 2 LOCATIONS THAT THE REPAIRS ARE PERFORMED AND 2 AVAILABLE JACKS FOR EACH PROJECT.</t>
  </si>
  <si>
    <t>2YTH5S60513909</t>
  </si>
  <si>
    <t>DSSANDER0</t>
  </si>
  <si>
    <t>SANDER, POWER</t>
  </si>
  <si>
    <t>THE MT. ORAB POLICE DEPARTMENT WOULD LIKE TO ACQUIRE THIS POWER SANDER. THIS WOULD BE ADDED TO OUR CURRENT SHOP WHERE WE PERFORM MANY OF OUR OWN REPAIRS AND COMPLETELY MANY OFF DUTY PROJECT FOR OUR POLICE DEPARTMENT. THIS WOULD BE A GREAT ADDITION TO OUR SHOP.</t>
  </si>
  <si>
    <t>2YTH5S53539248</t>
  </si>
  <si>
    <t>THE MT. ORAB POLICE DEPARTMENT WOULD LIKE ACQUIRE 4 OF THESE TOOLS BOXES. WE HAVE RECENTLY COMPLETED OUR GYM BUILDING AND NOW HAVE AVAILABLE SPACE IN OUR OPEN SHOP TO OUTFIT. THIS SPACE WILL BE UTILIZED TO REPAIR CRUISERS AND WORK ON PD RELATED ITEMS. THESE TOOL BOXES WOULD HOUSE OUR CURRENT TOOLS AND THE WHEELS WILL ALLOW THEM TO BE MOBLE WORK BENCHES.</t>
  </si>
  <si>
    <t>2YTH5S53539246</t>
  </si>
  <si>
    <t>THE MT. ORAB POLICE DEPARTMENT WOULD LIKE TO ACQUIRE THESE CHAIRS. WE HAVE COMPLETED OUT TRAINING BUILDING-GYM AND ARE IN NEED OF CHAIRS. THESE CHAIRS WOULD BE PLACED IN THE TRAINING AREA FOR OUR 20 OFFICERS TO BE ABLE TO SIT FOR PRESENTATIONS.</t>
  </si>
  <si>
    <t>2YTH5S60302019</t>
  </si>
  <si>
    <t>DSBAG0001</t>
  </si>
  <si>
    <t>BAGS AND SACKS</t>
  </si>
  <si>
    <t>THE MT. ORAB POLICE DEPARTMENT WOULD LIKE 2 OF THESE MANIKIN BAGS. WE CURRENTLY HAVE 2 TRAINING DUMMIES THAT ARE NOT IN ANY KIND OF PROTECTED BAGS. THIS WOULD HELP KEEP THEM FROM THE ELEMENTS AS WELL AS HELP WITH TRANSPORT.</t>
  </si>
  <si>
    <t>SARDINIA PD (2YTKSE)</t>
  </si>
  <si>
    <t>2YTKSE53468414</t>
  </si>
  <si>
    <t>TRUCK,CARRYALL</t>
  </si>
  <si>
    <t>THE SARDINIA POLICE DEPARTMENT HAS SIGNED A MEMORANDUM OF AGREEMENT MOA WITH THE UNITED STATES IMMIGRATION AND CUSTOMS ENFORCEMENT ICE TO PERFORM FUNCTIONS OF IMMIGRATION AND CUSTOMS ENFORCEMENT OFFICERS. THE REQUESTED RESOURCES WOULD AID IN IMMIGRATION AND CUSTOMS ENFORCEMENT TRANSPORT OPERATIONS. WITH LIMITED AND NO ADDITIONAL FUNDING RESOURCES, RECEIPT OF THE REQUESTED TRANSPORTATION RESOURCE WILL ASSIST, SUSTAIN, AND REDUCE THE COST FOR THE SARDINIA POLICE DEPARTMENT WITH ICE ENFORCEMENT.</t>
  </si>
  <si>
    <t>2YTKSE53538923</t>
  </si>
  <si>
    <t>SARDINIA POLICE DEPARTMENT HAS 6 OFFICERS AND 1 K9 TEAM WITH 1 ALL TERRAIN VEHICLES. WITH LIMITED RESOURCES AND NO SUPPLEMENTARY FUNDING, RECEIPT OF REQUESTED ITEMS WOULD REDUCE THE ADDITIONAL COST THAT SARDINIA POLICE DEPARTMENT WOULD OCCUR TO PROVIDE ADDITIONAL ALL TERRAIN VEHICLES RESOURCES FOR SARDINIA POLICE OFFICERS TO ESTABLISH A PERIMETER FOR DRUG INTERDICTION, AND CRIMINAL SURVEILLANCE SITUATIONS IN REMOTE AREAS.</t>
  </si>
  <si>
    <t>2YTKSE53538924</t>
  </si>
  <si>
    <t>TOLEDO POLICE DEPT (2YTLV3)</t>
  </si>
  <si>
    <t>2YTLV360160183</t>
  </si>
  <si>
    <t>WE WOULD USE THESE ON OUR POLICE DEPARTMENT. WE WOULD PUT THESE ON OUR PATROL RIFLES AND SWAT RIFLES. OFFICERS WOULD USE THESE WHILE WORKING AS A POLICE OFFICER TO IMPROVE THEIR ACCURACY DURING SITUATIONS THAT REQUIRE THE USE OF A RIFLE. WAS ADVISED BY DLA COLUMBUS THAT THESE OPTICS WERE USEABLE. ALSO ASKED FOR PICTURES.</t>
  </si>
  <si>
    <t>2YTLV360160180</t>
  </si>
  <si>
    <t>2YTLV360372136</t>
  </si>
  <si>
    <t>THESE ITEMS WILL BE USED BY OFFICERS ON THE POLICE DEPARTMENT. THEY WILL BE ISSUED TO MEMBERS OF THE SWAT TEAM FOR USE AT TRAINING, EMERGENCY SITUATIONS AND CALL OUTS.</t>
  </si>
  <si>
    <t>2YTLV360302135</t>
  </si>
  <si>
    <t>THESE ITEMS WILL BE USED BY OFFICERS ON THE POLICE DEPARTMENT. WE WILL ISSUE THESE TO MEMBERS OF OUR SWAT TEAM FOR USE TRAINING AND EMERGENCY SITUATIONS AND CALL OUTS.</t>
  </si>
  <si>
    <t>2YTLV360655159</t>
  </si>
  <si>
    <t>TOOL KIT,SMALL ARMS</t>
  </si>
  <si>
    <t>THESE ITEMS WILL BE USED BY OFFICERS ON THE DEPARTMENT. THEY WILL BE USED TO SERVICE WEAPONS ON THE DEPARTMENT.</t>
  </si>
  <si>
    <t>2YTLV360655156</t>
  </si>
  <si>
    <t>THIS ITEM WILL BE USED BY OFFICERS ON THE DEPARTMENT. THEY WILL BE USED TO SERVICE WEAPONS ON THE DEPARTMENT</t>
  </si>
  <si>
    <t>2YTLV360231887</t>
  </si>
  <si>
    <t>EXERCISER,STEPPER</t>
  </si>
  <si>
    <t>ITEM WOULD BE USED IN THE POLICE DEPARTMENT WORK OUT ROOM TO HELP PROMOTE PHYSICAL FITNESS AND WELLNESS</t>
  </si>
  <si>
    <t>2YTLV360513863</t>
  </si>
  <si>
    <t>THIS ITEM WILL BE USED BY OFFICERS IN THE FITNESS CENTER THE DEPARTMENT HAS. IT WILL BE USED TO PROMOTE HEALTH AND WELLNESS FOR OFFICERS.</t>
  </si>
  <si>
    <t>2YTLV360725225</t>
  </si>
  <si>
    <t>DSBICYCEM</t>
  </si>
  <si>
    <t>BICYCLE, MOUNTAIN</t>
  </si>
  <si>
    <t>WE WOULD USE THIS ON OUR POLICE DEPARTMENT. WE WOULD USE THIS ON OUR MOUNTAIN BIKE UNIT. OFFICERS WOULD USE THIS DURING SHIFT WORKING IN AREAS WHERE THEY NORMALLY COULDN'T PATROL IN A VEHICLE.</t>
  </si>
  <si>
    <t>2YTLV360513862</t>
  </si>
  <si>
    <t>2YTLV360020203</t>
  </si>
  <si>
    <t>WE WOULD USE THESE ON OUR POLICE DEPARTMENT. WE WOULD ISSUE THESE TO MEMBERS OF OUR SWAT SNIPER TEAM. THEY WOULD WEAR THEM DURING CALLOUTS INCLUDING BARRICADED SUSPECTS AND HOSTAGE SITUATIONS. THEY WOULD ALSO WEAR THESE DURING TRAINING.</t>
  </si>
  <si>
    <t>2YTLV360020204</t>
  </si>
  <si>
    <t>2YTLV360090205</t>
  </si>
  <si>
    <t>2YTLV360090206</t>
  </si>
  <si>
    <t>2YTLV360020207</t>
  </si>
  <si>
    <t>2YTLV360020209</t>
  </si>
  <si>
    <t>2YTLV360090210</t>
  </si>
  <si>
    <t>2YTLV360020211</t>
  </si>
  <si>
    <t>2YTLV360090212</t>
  </si>
  <si>
    <t>2YTLV360090253</t>
  </si>
  <si>
    <t>2YTLV360725029</t>
  </si>
  <si>
    <t>ITEMS WILL BE USED BY OFFICERS ON THE DEPARTMENT. THE ITEMS WILL BE ISSUED OUT TO THE SWAT TEAM TO BE USED IN COLD WEATHER CONDITIONS.</t>
  </si>
  <si>
    <t>2YTLV360090202</t>
  </si>
  <si>
    <t>2YTLV360090201</t>
  </si>
  <si>
    <t>2YTLV360020200</t>
  </si>
  <si>
    <t>2YTLV360725035</t>
  </si>
  <si>
    <t>ITEMS WILL BE USED BY OFFICERS ON THE DEPARTMENT. THE ITEMS WILL BE ISSUED TO MEMBERS OF THE SWAT TEAM FOR COLD WEATHER CONDITIONS.</t>
  </si>
  <si>
    <t>2YTLV360301892</t>
  </si>
  <si>
    <t>WE WILL USE THESE ON OUR POLICE DEPARTMENT. WE WILL ISSUE THESE TO MEMBER OF OUR SWAT TEAM SO THEY CAN USE THEM IN COLD WEATHER OPERATIONS.</t>
  </si>
  <si>
    <t>2YTLV360725039</t>
  </si>
  <si>
    <t>ITEMS WILL BE USED BY OFFICERS ON THE DEPARTMENT. THE ITEMS WILL BE ISSUED OUT TO MEMBERS OF THE SWAT TEAM TO BE USED IN COLD WEATHER CONDITIONS</t>
  </si>
  <si>
    <t>2YTLV360655041</t>
  </si>
  <si>
    <t>ITEMS WILL BE USED BY OFFICERS ON THE DEPARTMENT. THE ITEMS WILL BE ISSUED TO MEMBERS OF THE SWAT TEAM TO BE USED IN COLD WEATHER CONDITIONS.</t>
  </si>
  <si>
    <t>2YTLV360655044</t>
  </si>
  <si>
    <t>ITEMS WILL BE USED BY OFFICERS ON THE DEPARTMENT. THE ITEMS WILL BE ISSUED OUT TO MEMBERS OF THE SWAT TEAM TO BE USED IN COLD WEATHER CONDITIONS.</t>
  </si>
  <si>
    <t>2YTLV360655043</t>
  </si>
  <si>
    <t>2YTLV360301890</t>
  </si>
  <si>
    <t>WILL BE USED BY OFFICERS TO HAUL TO AND FROM OPERATIONS</t>
  </si>
  <si>
    <t>2YTLV360231893</t>
  </si>
  <si>
    <t>RUCKSACK LARGE FIEL</t>
  </si>
  <si>
    <t>WE WILL USE THESE ON OUR POLICE DEPARTMENT. WE WILL ISSUE THESE TO MEMBER OF OUR SWAT TEAM SO THEY CAN TRANSPORT THEIR GEAR TO WORK, TRAINING, AND EMERGENCY SITUATION AND CALL OUTS.</t>
  </si>
  <si>
    <t>OR</t>
  </si>
  <si>
    <t>BURNS POLICE DEPARTMENT (2YTR70)</t>
  </si>
  <si>
    <t>2YTR7060635779</t>
  </si>
  <si>
    <t>THE BURNS POLICE DEPARTMENT REQUESTS THIS UTILITY TRUCK TO SUPPORT PATROL OPERATIONS, EMERGENCY RESPONSE, AND EQUIPMENT TRANSPORT IN BURNS AND THE SURROUNDING RURAL AREAS OF HARNEY COUNTY. THE VEHICLE WILL BE USED TO TRANSPORT OFFICERS AND LAW ENFORCEMENT EQUIPMENT DURING PATROL, EMERGENCY INCIDENTS, AND COMMUNITY EVENTS. THE TRUCK WILL BE USED STRICTLY FOR OFFICIAL LAW ENFORCEMENT PURPOSES IN COMPLIANCE WITH LESO PROGRAM REQUIREMENTS.</t>
  </si>
  <si>
    <t>2YTR7060705777</t>
  </si>
  <si>
    <t>DSSHIPCON</t>
  </si>
  <si>
    <t>SPECIALIZED SHIPPING AND STORAGE CONTAIN</t>
  </si>
  <si>
    <t>THE BURNS POLICE DEPARTMENT REQUESTS THIS CONTAINER TO SECURELY STORE AND TRANSPORT LAW ENFORCEMENT EQUIPMENT, EMERGENCY RESPONSE GEAR, AND INCIDENT COMMAND SUPPLIES. BURNS PD SERVES A LARGE RURAL AREA WITH LIMITED RESOURCES, REQUIRING SECURE AND ORGANIZED STORAGE FOR RAPID DEPLOYMENT DURING PATROL OPERATIONS, EMERGENCY INCIDENTS, AND MUTUAL AID RESPONSES. THIS ITEM WILL IMPROVE EQUIPMENT PROTECTION AND OPERATIONAL READINESS.</t>
  </si>
  <si>
    <t>KLAMATH COUNTY SHERIFF'S OFFICE (2YT0HN)</t>
  </si>
  <si>
    <t>2YT0HN60362883</t>
  </si>
  <si>
    <t>ITEMS TO BE USED FOR REPLACEMENT TIRES FOR THE RG-33 THAT IS ISSUED TO OUR AGENCY FOR LAW ENFORCEMENT, HOSTAGE RESCUE AND EVACUATION PURPOSES.</t>
  </si>
  <si>
    <t>PA</t>
  </si>
  <si>
    <t>DANVILLE PD (2YTC4G)</t>
  </si>
  <si>
    <t>2YTC4G60433444</t>
  </si>
  <si>
    <t>FLAP,INNER TUBE,PNE</t>
  </si>
  <si>
    <t>TO BE USED BY DANVILLE POLICE AS TARGET MATERIAL AND TO ASSIST WITH BREACHING TRAINING AND OPERATIONS.</t>
  </si>
  <si>
    <t>2YTC4G60301623</t>
  </si>
  <si>
    <t>TO BE USED BY DANVILLE POLICE TO ASSIST IN LOW LIGHT OR NO LIGHT INCIDENTS. USED TO ALLOW OFFICERS TO SURREPTITIOUSLY MOVE IN DARK ENVIRONMENTS WITHOUT BEING SEEN BY HOSTILE INDIVIDUALS.</t>
  </si>
  <si>
    <t>2YTC4G60725436</t>
  </si>
  <si>
    <t>TO BE USED BY DANVILLE POLICE TO ALLOW OFFICERS TO REMOTELY INPUT DATA, ACCESS RECORDS AND COMPLETE REPORTS IN A TIMELY MANNER EITHER IN THE OFFICE, IN A VEHICLE OR AT THE INCIDENT OR TRAINING LOCATION.</t>
  </si>
  <si>
    <t>2YTC4G60443173</t>
  </si>
  <si>
    <t>TO BE USED BY DANVILLE POLICE AT REMOTE INCIDENT LOCATIONS TO BE ABLE TO PRODUCE PAPERWORK AND PICTURES NEEDED FOR LOGISTICAL AND EVIDENTIARY PURPOSES.</t>
  </si>
  <si>
    <t>LOGAN TWP PD (2YTGV9)</t>
  </si>
  <si>
    <t>2YTGV960301814</t>
  </si>
  <si>
    <t>TRUCK,AMBULANCE</t>
  </si>
  <si>
    <t>THE LOGAN TOWNSHIP PD IS REQUESTING A HMMWV TO ENHANCE OUR CAPABILITIES IN SEVERE WEATHER CONDITIONS, DISASTER RESPONSE AND OFF-ROAD OPERATIONS AND IS UNIQUELY SUITED TO PROVIDE TRANSPORTATION AND ACCESS TO CHALLENGING TERRAIN WHERE CONVENTIONAL VEHICLES CANT. SEVERE WEATHER SUCH FREQUENTLY LIMITS ACCESS WITHIN OUR JURISDICTION. THIS HMMWV WOULD IMPROVE RESPONSE TIMES AND SAFETY AND INCREASE DEPARTMENT READINESS AND ASSIST WITH MAINTAINING COMMITMENT TO PUBLIC SAFETY AND EMERGENCY PREPAREDNESS.</t>
  </si>
  <si>
    <t>LOWER ALLEN TWP PD (2YTGZM)</t>
  </si>
  <si>
    <t>2YTGZM60725249</t>
  </si>
  <si>
    <t>VACU-TOTE STORAGE</t>
  </si>
  <si>
    <t>LOWER ALLEN POLICE DEPT. IS REQUESTION 2 OF THESE STORAGE TOTES FOR STORAGE AND RAPID DEPLOYMENT OF TACTICAL AND CRIME SCENE PROCESSING EQUIPMENT.</t>
  </si>
  <si>
    <t>2YTGZM60442799</t>
  </si>
  <si>
    <t>LOWER ALLEN POLICE ARE SEEKING THESE COMPUTER WORKSTATIONS TO REPLACE OUTDATED AND MALFUNCTIONING CURRENT EQUIPMENT IN FUTHERANCE OF OUR LAW ENFORCEMENT OBJECTIVES, SPECIFICALLY, FOR USE WITH DISPATCH SYSTEMS AND RMS TO COMPLETE INCIDENT REPORTS, CRIMINAL CHARGES, MAINTAIN INTERAGENCY COMMUNICATION, FACILITATE TRAINING, AND OTHER VARIOUS L.E. FUNCTIONS.</t>
  </si>
  <si>
    <t>2YTGZM60513432</t>
  </si>
  <si>
    <t>LOWER ALLEN TOWNSHIP POLICE DEPARTMENT IS SEEKING THIS JACKET TO OUTFIT OUR TASK FORCE OFFICERS FOR CONTINUING ALL-WEATHER TACTICAL OPERATIONS, SPECIFICALLY OUR SRT TACTICAL RESPONSE TEAM AND WANTED FUGITIVE TASK FORCE OFFICERS.</t>
  </si>
  <si>
    <t>2YTGZM60513436</t>
  </si>
  <si>
    <t>2YTGZM60513429</t>
  </si>
  <si>
    <t>LOWER ALLEN TOWNSHIP POLICE DEPARTMENT IS SEEKING THIS PARKA TO OUTFIT OUR TASK FORCE OFFICERS FOR CONTINUING ALL-WEATHER TACTICAL OPERATIONS, SPECIFICALLY OUR SRT TACTICAL RESPONSE TEAM AND WANTED FUGITIVE TASK FORCE OFFICERS.</t>
  </si>
  <si>
    <t>2YTGZM60513435</t>
  </si>
  <si>
    <t>2YTGZM60513434</t>
  </si>
  <si>
    <t>2YTGZM60513437</t>
  </si>
  <si>
    <t>LOWER ALLEN TOWNSHIP POLICE DEPARTMENT IS SEEKING THESE JACKETS TO OUTFIT OUR TASK FORCE OFFICERS FOR CONTINUING ALL-WEATHER TACTICAL OPERATIONS, SPECIFICALLY OUR SRT TACTICAL RESPONSE TEAM AND WANTED FUGITIVE TASK FORCE OFFICERS.</t>
  </si>
  <si>
    <t>2YTGZM60513428</t>
  </si>
  <si>
    <t>2YTGZM60513433</t>
  </si>
  <si>
    <t>2YTGZM60513438</t>
  </si>
  <si>
    <t>2YTGZM60513431</t>
  </si>
  <si>
    <t>2YTGZM60513439</t>
  </si>
  <si>
    <t>LOWER ALLEN TOWNSHIP POLICE DEPARTMENT IS SEEKING TWO OF THESE RUCKSACKS TO OUTFIT OUR FUGITIVE WARRANT TASK FORCE AND SPECIAL TACTICAL RESPONSE TEAM OFFICERS, TO HELP CARRY THEIR TACTICAL GEAR TO ACTIVE SCENES.</t>
  </si>
  <si>
    <t>2YTGZM60513430</t>
  </si>
  <si>
    <t>LOWER ALLEN TOWNSHIP POLICE DEPARTMENT IS SEEKING THIS BACKPACK TO OUTFIT OUR TASK FORCE OFFICERS FOR CONTINUING ALL-WEATHER TACTICAL OPERATIONS, SPECIFICALLY OUR SRT TACTICAL RESPONSE TEAM AND WANTED FUGITIVE TASK FORCE OFFICERS.</t>
  </si>
  <si>
    <t>2YTGZM60020273</t>
  </si>
  <si>
    <t>PACK REQUESTED FOR EMERGENCY EQUIPMENT STORAGE AND OPERATIONAL READINESS, SPECIFICALLY FOR A FUGITIVE TASK-FORCE OPERATOR'S GAS MASK GEAR, ETC.</t>
  </si>
  <si>
    <t>2YTGZM60725252</t>
  </si>
  <si>
    <t>SHOULDERSTRAP</t>
  </si>
  <si>
    <t>LOWER ALLEN POLICE DEPT. IS REQUESTING TWO OF THESE STRAPS FOR USE WITH THE PREVIOUSLY OBTAINED BACKPACK, FOR TACTICAL EQUIPMENT STORAGE AND DEPLOYMENT OF OUR WARRANT TASK FORCE OFFICER.</t>
  </si>
  <si>
    <t>2YTGZM60725240</t>
  </si>
  <si>
    <t>LOWER ALLEN TOWNSHIP POLICE DEPT. IS REQUESTING TWO OF THESE PACKS FOR USE BY OUR TASK FORCE OPERATORS TO STORE AND QUICKLY DEPLOY OPERATIONAL TACTICAL EQUIPMENT IN THE FIELD.</t>
  </si>
  <si>
    <t>2YTGZM60725241</t>
  </si>
  <si>
    <t>LOWER BURRELL POLICE DEPARTMENT (2YTGZ0)</t>
  </si>
  <si>
    <t>2YTGZ053537081</t>
  </si>
  <si>
    <t>LOWER BURRELL CITY POLICE ARE MEMBERS OF A MULI-JURISDICTIONAL SWAT TEAM COMPRISED OF 13 JURISDICTIONS.  THIS ROBOT WOULD BE USED ON SWAT DEPLOYMENTS.  IF AWARDED THIS ROBOT WE WOULD BE RETURNING ONE THAT IS NOT OPERATIONAL.</t>
  </si>
  <si>
    <t>LUZERNE COUNTY SHERIFF DEPT (2YTG17)</t>
  </si>
  <si>
    <t>2YTG1760170607</t>
  </si>
  <si>
    <t>DSPAINTGN</t>
  </si>
  <si>
    <t>GUN, PAINTBALL</t>
  </si>
  <si>
    <t>PAINTBALL GUNS PROVIDE A COST-EFFECTIVE, REALISTIC TRAINING TOOL THAT ENHANCES DECISION-MAKING, COMMUNICATION, AND TACTICAL MOVEMENT IN A CONTROLLED ENVIRONMENT. THEY ALLOW DEPUTIES TO SAFELY EXPERIENCE STRESS-BASED SCENARIOS, IDENTIFY MISTAKES IN REAL TIME, AND IMPROVE RESPONSE SKILLS WITHOUT THE RISK OF SERIOUS INJURY, REDUCING TRAINING LIABILITY WHILE INCREASING OVERALL PREPAREDNESS.</t>
  </si>
  <si>
    <t>2YTG1760372422</t>
  </si>
  <si>
    <t>GRIP,RIFLE</t>
  </si>
  <si>
    <t>RIFLE GRIPS IS NECESSARY TO IMPROVE WEAPON CONTROL ACCURACY AND SAFETY FOR DEPUTIES. PROPER GRIPS ENHANCE STABILITY DURING TRAINING AND CRITICAL INCIDENTS REDUCE HAND FATIGUE AND SUPPORT CONSISTENT HANDLING OF DEPARTMENT ISSUED RIFLES TO ENSURE SAFE AND EFFECTIVE OPERATIONS</t>
  </si>
  <si>
    <t>2YTG1760170490</t>
  </si>
  <si>
    <t>PAINTBALL GUNS AND EQUIPMENT PROVIDE A SAFE, COST-EFFECTIVE TRAINING METHOD FOR DEPUTIES TO PRACTICE TACTICS, DECISION-MAKING, COMMUNICATION, AND USE-OF-COVER IN REALISTIC SCENARIOS. THIS TRAINING ENHANCES OFFICER SAFETY, IMPROVES TEAMWORK, REDUCES TRAINING INJURIES, AND ALLOWS FREQUENT SCENARIO-BASED EXERCISES WITHOUT THE RISKS ASSOCIATED WITH LIVE-FIRE TRAINING.</t>
  </si>
  <si>
    <t>2YTG1760170489</t>
  </si>
  <si>
    <t>2YTG1760170488</t>
  </si>
  <si>
    <t>2YTG1760170487</t>
  </si>
  <si>
    <t>2YTG1760170486</t>
  </si>
  <si>
    <t>2YTG1760583646</t>
  </si>
  <si>
    <t>CAMOUFLAGE NET SYSTEM,RADAR SCATTERING</t>
  </si>
  <si>
    <t>A CAMOUFLAGE NET SYSTEM WITH RADAR SCATTERING CAPABILITY IS NECESSARY FOR THE SHERIFFS DEPARTMENT TO CONCEAL VEHICLES EQUIPMENT AND TEMPORARY COMMAND POSTS DURING TACTICAL OPERATIONS AND CRITICAL INCIDENTS. IT ENHANCES OPERATIONAL SECURITY REDUCES VISUAL AND ELECTRONIC DETECTION AND PROTECTS PERSONNEL AND ASSETS DURING HIGH RISK DEPLOYMENTS AND COORDINATED RESPONSES.</t>
  </si>
  <si>
    <t>2YTG1753539568</t>
  </si>
  <si>
    <t>GUN,PAINTBALL</t>
  </si>
  <si>
    <t>PAINTBALL GUN TRAINING PROVIDES REALISTIC, NON-LETHAL SCENARIO-BASED TRAINING FOR DEPUTIES TO PRACTICE TACTICS, DECISION-MAKING, AND TEAMWORK. IT ENHANCES SAFETY, IMPROVES RESPONSE TO HIGH-RISK SITUATIONS, AND REDUCES THE LIKELIHOOD OF INJURIES OR USE-OF-FORCE ERRORS DURING REAL-WORLD OPERATIONS.</t>
  </si>
  <si>
    <t>2YTG1760160570</t>
  </si>
  <si>
    <t>THE ACQUISITION OF MISCELLANEOUS WEAPONS IS NECESSARY TO ENSURE DEPUTIES ARE PROPERLY EQUIPPED TO RESPOND TO A WIDE RANGE OF INCIDENTS. THESE TOOLS ENHANCE OFFICER SAFETY, PROVIDE LESS-LETHAL RESPONSE OPTIONS, AND SUPPORT EFFECTIVE CONTROL OF VOLATILE SITUATIONS, REDUCING THE RISK OF INJURY TO DEPUTIES, SUSPECTS, AND THE PUBLIC WHILE MAINTAINING PUBLIC SAFETY STANDARDS.</t>
  </si>
  <si>
    <t>2YTG1760442607</t>
  </si>
  <si>
    <t>DSMULE000</t>
  </si>
  <si>
    <t>MULE</t>
  </si>
  <si>
    <t>A UTV IS ESSENTIAL FOR THE SHERIFFS DEPARTMENT TO SAFELY AND EFFICIENTLY PATROL RURAL OFF-ROAD AREAS PARKS AND TRAILS. IT IMPROVES RESPONSE TIMES DURING EMERGENCIES SUPPORTS SEARCH AND RESCUE OPERATIONS AND ALLOWS DEPUTIES TO ACCESS AREAS UNREACHABLE BY STANDARD PATROL VEHICLES ENHANCING PUBLIC SAFETY AND OPERATIONAL READINESS.</t>
  </si>
  <si>
    <t>2YTG1760583611</t>
  </si>
  <si>
    <t>TOOLS ARE ESSENTIAL FOR THE SHERIFFS DEPARTMENT TO SUPPORT DAILY OPERATIONS EMERGENCY RESPONSE AND EQUIPMENT MAINTENANCE. THEY ALLOW DEPUTIES TO PERFORM VEHICLE RECOVERY MINOR REPAIRS AND ON SCENE PROBLEM SOLVING IMPROVING EFFICIENCY REDUCING DELAYS AND ENSURING DEPUTIES CAN OPERATE SAFELY AND EFFECTIVELY IN THE FIELD.</t>
  </si>
  <si>
    <t>2YTG1760020107</t>
  </si>
  <si>
    <t>THE ACQUISITION OF A FORKLIFT IS NECESSARY TO SAFELY MOVE AND STORE HEAVY EQUIPMENT, SUPPLIES, AND MATERIALS USED BY THE SHERIFFS DEPARTMENT. A FORKLIFT REDUCES THE RISK OF EMPLOYEE INJURY, IMPROVES EFFICIENCY, AND ENSURES PROPER HANDLING OF BULK ITEMS, SUPPORTING SAFE FACILITY OPERATIONS AND UNINTERRUPTED PUBLIC SAFETY SERVICES.</t>
  </si>
  <si>
    <t>2YTG1760231130</t>
  </si>
  <si>
    <t>DSFFHOSE0</t>
  </si>
  <si>
    <t>FIRE HOSE</t>
  </si>
  <si>
    <t>THE ACQUISITION OF A FIRE HOSE WILL SUPPORT THE SHERIFFS DEPARTMENTS ABILITY TO SAFELY AND EFFICIENTLY POWER WASH VEHICLES, EQUIPMENT, AND FACILITIES. IT ALLOWS FOR RAPID REMOVAL OF DEBRIS, CONTAMINANTS, AND HAZARDS, IMPROVING SANITATION AND REDUCING SLIP, FIRE, AND HEALTH RISKS WHILE ENHANCING OVERALL OPERATIONAL SAFETY AND READINESS.</t>
  </si>
  <si>
    <t>2YTG1760161090</t>
  </si>
  <si>
    <t>NOZZLE,FIRE EQUIPME</t>
  </si>
  <si>
    <t>THE ACQUISITION OF FIRE HOSE NOZZLES FOR POWER WASHING IS NECESSARY TO PROPERLY CLEAN AND MAINTAIN SHERIFFS DEPARTMENT VEHICLES, EQUIPMENT, AND FACILITIES. THESE NOZZLES ARE DURABLE, PROVIDE ADJUSTABLE WATER FLOW, AND IMPROVE CLEANING EFFICIENCY, REDUCING LABOR TIME, PREVENTING BUILDUP OF CONTAMINANTS, AND EXTENDING THE SERVICE LIFE OF DEPARTMENT ASSETS WHILE CONTROLLING MAINTENANCE COSTS.</t>
  </si>
  <si>
    <t>2YTG1760583619</t>
  </si>
  <si>
    <t>SAFETY AND RESCUE EQUIPMENT IS CRITICAL FOR THE SHERIFFS DEPARTMENT TO PROTECT DEPUTIES AND THE PUBLIC DURING EMERGENCIES, SEARCH AND RESCUE OPERATIONS, AND HAZARDOUS INCIDENTS. PROPER EQUIPMENT REDUCES RISK OF INJURY, ENSURES COMPLIANCE WITH SAFETY STANDARDS, AND ENHANCES THE DEPARTMENTS ABILITY TO RESPOND EFFECTIVELY, SAFELY, AND EFFICIENTLY IN HIGH-RISK SITUATIONS.</t>
  </si>
  <si>
    <t>2YTG1760583618</t>
  </si>
  <si>
    <t>2YTG1760020093</t>
  </si>
  <si>
    <t>SAFETY EQUIPMENT IS ESSENTIAL TO PROTECT DEPUTIES WHILE PERFORMING HIGH-RISK DUTIES. PROPER EQUIPMENT REDUCES INJURIES, ENHANCES OPERATIONAL READINESS, AND ENSURES DEPUTIES CAN RESPOND SAFELY AND EFFECTIVELY TO EMERGENCIES. INVESTING IN SAFETY EQUIPMENT SUPPORTS OFFICER WELL-BEING, MINIMIZES LIABILITY, AND HELPS MAINTAIN UNINTERRUPTED PUBLIC SAFETY SERVICES FOR THE COMMUNITY.</t>
  </si>
  <si>
    <t>2YTG1760583623</t>
  </si>
  <si>
    <t>2YTG1760442624</t>
  </si>
  <si>
    <t>PUMP UNIT,CENTRIFUG</t>
  </si>
  <si>
    <t>A BILGE PUMP IS NECESSARY FOR THE SHERIFFS DEPARTMENT TO REMOVE WATER FROM BOATS AND FLOODED AREAS DURING MARINE PATROLS RESCUES AND EMERGENCY RESPONSES. IT HELPS MAINTAIN VESSEL SAFETY PREVENTS EQUIPMENT DAMAGE AND SUPPORTS SWIFT WATER OPERATIONS ENSURING DEPUTIES CAN OPERATE SAFELY AND EFFECTIVELY.</t>
  </si>
  <si>
    <t>2YTG1760302421</t>
  </si>
  <si>
    <t>HEATER,FUEL OIL ELE</t>
  </si>
  <si>
    <t>HEATER IS NECESSARY TO MAINTAIN SAFE WORKING CONDITIONS FOR DEPUTIES DURING COLD WEATHER OPERATIONS. A HEATER HELPS PREVENT COLD RELATED INJURIES IMPROVES COMFORT AND ALLOWS DEPUTIES TO REMAIN ALERT AND EFFECTIVE WHILE PERFORMING DUTIES IN OFFICES GARAGES OR TEMPORARY DUTY LOCATIONS</t>
  </si>
  <si>
    <t>2YTG1760796184</t>
  </si>
  <si>
    <t>DSCREEPER</t>
  </si>
  <si>
    <t>CREEPER</t>
  </si>
  <si>
    <t>THE SHERIFFS DEPARTMENT MAINTAINS A FLEET OF PATROL VEHICLES, TRANSPORT VANS, AND SPECIALTY UNITS THAT REQUIRE REGULAR INSPECTION, PREVENTIVE MAINTENANCE, AND OCCASIONAL MINOR REPAIRS. TO SAFELY AND EFFICIENTLY PERFORM WORK UNDERNEATH THESE VEHICLES.</t>
  </si>
  <si>
    <t>2YTG1760583607</t>
  </si>
  <si>
    <t>2YTG1760795745</t>
  </si>
  <si>
    <t>SHEARS,TAILOR'S</t>
  </si>
  <si>
    <t>TOOLS ARE ESSENTIAL FOR THE SHERIFFS DEPARTMENT TO PERFORM VEHICLE MAINTENANCE, FACILITY REPAIRS, AND EMERGENCY RESPONSE TASKS. HAVING THE RIGHT TOOLS ON HAND ENSURES DEPUTIES AND STAFF CAN ADDRESS MECHANICAL ISSUES, FIX EQUIPMENT, AND MAINTAIN OPERATIONAL READINESS QUICKLY AND SAFELY, SUPPORTING EFFICIENT DAILY OPERATIONS AND PUBLIC SAFETY EFFORTS.</t>
  </si>
  <si>
    <t>2YTG1760654358</t>
  </si>
  <si>
    <t>DSHANDTNP</t>
  </si>
  <si>
    <t>HAND TOOLS, EDGED, NONPOWERED</t>
  </si>
  <si>
    <t>THE SHERIFFS DEPARTMENT REQUIRES UPDATED TOOLS TO ENHANCE OFFICER SAFETY, IMPROVE RESPONSE TIMES, AND INCREASE OPERATIONAL EFFICIENCY. MODERN EQUIPMENT WILL SUPPORT EFFECTIVE LAW ENFORCEMENT, STRENGTHEN COMMUNITY PROTECTION, REDUCE LONG-TERM MAINTENANCE COSTS, AND ENSURE DEPUTIES ARE PROPERLY EQUIPPED TO RESPOND TO EMERGENCIES AND CRITICAL INCIDENTS.</t>
  </si>
  <si>
    <t>2YTG1760725707</t>
  </si>
  <si>
    <t>DSHAMMER0</t>
  </si>
  <si>
    <t>HAMMER, NON-POWERED</t>
  </si>
  <si>
    <t>HAMMERS ARE ESSENTIAL TOOLS FOR SEARCH AND RESCUE OPERATIONS, ENABLING PERSONNEL TO BREAK THROUGH LIGHT BARRIERS, REMOVE DEBRIS, AND ASSIST IN GAINING ACCESS TO AREAS WHERE INDIVIDUALS MAY BE TRAPPED. HAVING RELIABLE TOOLS READILY AVAILABLE IMPROVES RESPONSE CAPABILITY, SUPPORTS RESCUE EFFORTS IN EMERGENCY SITUATIONS, AND ENHANCES OVERALL OPERATIONAL EFFECTIVENESS AND SAFETY.</t>
  </si>
  <si>
    <t>2YTG1760230932</t>
  </si>
  <si>
    <t>THE REQUESTED TOOLS ARE ESSENTIAL FOR THE SHERIFFS DEPARTMENT TO PERFORM DAILY OPERATIONS SAFELY AND EFFECTIVELY. THEY SUPPORT OFFICER SAFETY, IMPROVE RESPONSE EFFICIENCY, AND ENSURE RELIABLE SERVICE TO THE COMMUNITY. PROPER EQUIPMENT ENABLES DEPUTIES TO CARRY OUT THEIR DUTIES PROFESSIONALLY WHILE MEETING OPERATIONAL AND PUBLIC SAFETY STANDARDS.</t>
  </si>
  <si>
    <t>2YTG1760583629</t>
  </si>
  <si>
    <t>DSTORQUEW</t>
  </si>
  <si>
    <t>TORQUEWRENCH</t>
  </si>
  <si>
    <t>A TORQUE WRENCH IS NECESSARY FOR THE SHERIFFS DEPARTMENT TO PROPERLY SERVICE AND MAINTAIN VEHICLES EQUIPMENT AND FIREARMS ACCORDING TO MANUFACTURER SPECIFICATIONS. ACCURATE TORQUE APPLICATION PREVENTS DAMAGE ENSURES SAFETY AND EXTENDS EQUIPMENT LIFE. THIS TOOL SUPPORTS RELIABLE FLEET OPERATIONS REDUCES REPAIR COSTS AND PROMOTES OVERALL OFFICER SAFETY.</t>
  </si>
  <si>
    <t>2YTG1760795628</t>
  </si>
  <si>
    <t>CRIMPING TOOL,TERMINAL,HAND</t>
  </si>
  <si>
    <t>THE SHERIFFS DEPARTMENT REQUIRES UPDATED TOOLS TO SAFELY AND EFFICIENTLY PERFORM DAILY OPERATIONS, INCLUDING VEHICLE MAINTENANCE, FACILITY REPAIRS, AND EQUIPMENT SERVICING. RELIABLE TOOLS REDUCE DOWNTIME, IMPROVE RESPONSE READINESS, AND ENHANCE OFFICER SAFETY. INVESTING IN PROPER TOOLS ENSURES MAINTENANCE TASKS ARE COMPLETED IN-HOUSE, LOWERING LONG-TERM COSTS AND SUPPORTING UNINTERRUPTED PUBLIC SAFETY SERVICES.</t>
  </si>
  <si>
    <t>2YTG1760795631</t>
  </si>
  <si>
    <t>2YTG1760795634</t>
  </si>
  <si>
    <t>INSTALLATION TOOL,CABLE TIE</t>
  </si>
  <si>
    <t>2YTG1760724885</t>
  </si>
  <si>
    <t>TO ENHANCE PUBLIC SAFETY AND OPERATIONAL READINESS, THE SHERIFFS DEPARTMENT REQUIRES UPDATED TOOLS AND EQUIPMENT. MODERN TOOLS WILL IMPROVE RESPONSE TIMES, INCREASE OFFICER SAFETY, SUPPORT EFFECTIVE INVESTIGATIONS, AND ENSURE COMPLIANCE WITH CURRENT STANDARDS. INVESTING IN THESE RESOURCES STRENGTHENS COMMUNITY TRUST AND ENABLES DEPUTIES TO SERVE EFFICIENTLY AND RESPONSIBLY.</t>
  </si>
  <si>
    <t>2YTG1760724887</t>
  </si>
  <si>
    <t>2YTG1760724888</t>
  </si>
  <si>
    <t>2YTG1760724889</t>
  </si>
  <si>
    <t>2YTG1760724890</t>
  </si>
  <si>
    <t>2YTG1760724891</t>
  </si>
  <si>
    <t>2YTG1760724892</t>
  </si>
  <si>
    <t>2YTG1760724893</t>
  </si>
  <si>
    <t>2YTG1760724894</t>
  </si>
  <si>
    <t>2YTG1760795727</t>
  </si>
  <si>
    <t>HAMMER,HAND</t>
  </si>
  <si>
    <t>2YTG1760795736</t>
  </si>
  <si>
    <t>DSPLIERS0</t>
  </si>
  <si>
    <t>2YTG1760795738</t>
  </si>
  <si>
    <t>WRENCH,PLIER</t>
  </si>
  <si>
    <t>2YTG1760795740</t>
  </si>
  <si>
    <t>SOCKET SET,SOCKET WRENCH</t>
  </si>
  <si>
    <t>2YTG1760795747</t>
  </si>
  <si>
    <t>2YTG1760795750</t>
  </si>
  <si>
    <t>2YTG1760795751</t>
  </si>
  <si>
    <t>CLAMP,PLIER</t>
  </si>
  <si>
    <t>2YTG1760583606</t>
  </si>
  <si>
    <t>2YTG1760583608</t>
  </si>
  <si>
    <t>2YTG1760583610</t>
  </si>
  <si>
    <t>2YTG1760583612</t>
  </si>
  <si>
    <t>2YTG1760583615</t>
  </si>
  <si>
    <t>2YTG1760583616</t>
  </si>
  <si>
    <t>2YTG1760795765</t>
  </si>
  <si>
    <t>WRENCH SET,SOCKET</t>
  </si>
  <si>
    <t>2YTG1760725706</t>
  </si>
  <si>
    <t>WRENCHES ARE NECESSARY FOR ROUTINE MAINTENANCE AND REPAIR OF SHERIFFS DEPARTMENT VEHICLES, EQUIPMENT, AND FACILITY FIXTURES. PROVIDING A DEDICATED SET ENSURES DEPUTIES AND MAINTENANCE STAFF CAN PERFORM BASIC MECHANICAL TASKS QUICKLY AND SAFELY, REDUCING DOWNTIME, IMPROVING OPERATIONAL READINESS, AND MINIMIZING THE NEED FOR OUTSIDE REPAIR SERVICES.</t>
  </si>
  <si>
    <t>2YTG1760513352</t>
  </si>
  <si>
    <t>CORDLESS DRILLS ARE ESSENTIAL FOR FACILITY MAINTENANCE, EQUIPMENT INSTALLATION, AND EMERGENCY REPAIRS WITHIN SHERIFFS DEPARTMENT BUILDINGS AND VEHICLES. THEY ENABLE STAFF TO QUICKLY SECURE FIXTURES, INSTALL SAFETY EQUIPMENT, AND PERFORM TIMELY REPAIRS, REDUCING DOWNTIME AND RELIANCE ON OUTSIDE CONTRACTORS WHILE IMPROVING OPERATIONAL EFFICIENCY AND SAFETY.</t>
  </si>
  <si>
    <t>2YTG1760795629</t>
  </si>
  <si>
    <t>2YTG1760795632</t>
  </si>
  <si>
    <t>2YTG1760583532</t>
  </si>
  <si>
    <t>THE SHERIFFS DEPARTMENT REQUIRES UPDATED TOOLS TO ENHANCE OFFICER SAFETY, IMPROVE RESPONSE EFFICIENCY, AND ENSURE RELIABLE EQUIPMENT DURING CRITICAL INCIDENTS. MODERN TOOLS SUPPORT EFFECTIVE LAW ENFORCEMENT, REDUCE MAINTENANCE COSTS, AND STRENGTHEN COMMUNITY PROTECTION THROUGH QUICKER, MORE PRECISE OPERATIONS.</t>
  </si>
  <si>
    <t>2YTG1760795635</t>
  </si>
  <si>
    <t>ROTARY TOOL KIT,ELECTRIC</t>
  </si>
  <si>
    <t>2YTG1760795729</t>
  </si>
  <si>
    <t>2YTG1760795633</t>
  </si>
  <si>
    <t>2YTG1760724886</t>
  </si>
  <si>
    <t>2YTG1760513654</t>
  </si>
  <si>
    <t>TOOL KIT,MASON AND CONCRETE FINISHER'S</t>
  </si>
  <si>
    <t>A MASONRY TOOL KIT IS NECESSARY FOR THE SHERIFFS DEPARTMENT TO PERFORM MINOR STRUCTURAL REPAIRS TO WALLS FOUNDATIONS AND SECURE AREAS WITHIN FACILITIES. IT SUPPORTS MAINTENANCE OF HOLDING AREAS OFFICES AND EVIDENCE STORAGE SPACES. HAVING THE PROPER TOOLS ALLOWS TIMELY REPAIRS IMPROVES SAFETY AND REDUCES RELIANCE ON OUTSIDE CONTRACTORS.</t>
  </si>
  <si>
    <t>2YTG1760513150</t>
  </si>
  <si>
    <t>2YTG1760513174</t>
  </si>
  <si>
    <t>2YTG1760583744</t>
  </si>
  <si>
    <t>TOOLS ARE NECESSARY FOR DEPUTIES TO PERFORM ROUTINE MAINTENANCE, MINOR REPAIRS, EQUIPMENT ADJUSTMENTS, AND EMERGENCY TASKS SAFELY AND EFFICIENTLY. HAVING PROPER TOOLS READILY AVAILABLE REDUCES DOWNTIME, LIMITS RELIANCE ON OUTSIDE SERVICES, AND ENSURES DEPUTIES CAN QUICKLY ADDRESS OPERATIONAL AND FACILITY ISSUES, SUPPORTING OVERALL SAFETY, READINESS, AND COST-EFFECTIVE OPERATIONS.</t>
  </si>
  <si>
    <t>2YTG1760583715</t>
  </si>
  <si>
    <t>THE SHERIFFS DEPARTMENT WOULD LIKE TO OBTAIN A JOB BOX TO SECURELY STORE TOOLS, TACTICAL EQUIPMENT, AND ESSENTIAL SUPPLIES AT FIELD LOCATIONS AND WORKSITES. A LOCKABLE JOB BOX WILL PREVENT THEFT, DAMAGE, AND LOSS OF DEPARTMENT-ISSUED PROPERTY, IMPROVE ORGANIZATION, AND ENSURE QUICK ACCESS TO CRITICAL EQUIPMENT DURING OPERATIONS, TRAINING, AND EMERGENCY RESPONSE ACTIVITIES.</t>
  </si>
  <si>
    <t>2YTG1760583526</t>
  </si>
  <si>
    <t>2YTG1760583527</t>
  </si>
  <si>
    <t>TOOL KIT,GENERAL ME</t>
  </si>
  <si>
    <t>2YTG1760302207</t>
  </si>
  <si>
    <t>A BASIC TOOL KIT IS NECESSARY FOR THE SHERIFFS DEPARTMENT TO PERFORM ROUTINE MAINTENANCE, MINOR REPAIRS, AND EQUIPMENT ADJUSTMENTS IN A TIMELY MANNER. IT SUPPORTS SAFE OPERATION OF ISSUED EQUIPMENT, REDUCES SERVICE DELAYS, LIMITS RELIANCE ON OUTSIDE VENDORS, AND ENHANCES DEPUTY EFFICIENCY AND PREPAREDNESS DURING DAILY OPERATIONS AND EMERGENCY SITUATIONS.</t>
  </si>
  <si>
    <t>2YTG1760090485</t>
  </si>
  <si>
    <t>ISSUING TOOL KITS TO THE SHERIFFS DEPARTMENT ENSURES DEPUTIES CAN QUICKLY ADDRESS MINOR VEHICLE, EQUIPMENT, AND FACILITY ISSUES IN THE FIELD. IMMEDIATE ACCESS TO BASIC TOOLS IMPROVES OPERATIONAL READINESS, REDUCES DOWNTIME, ENHANCES OFFICER SAFETY, AND LIMITS RELIANCE ON OUTSIDE SERVICES DURING CRITICAL OR REMOTE SITUATIONS.</t>
  </si>
  <si>
    <t>2YTG1760301620</t>
  </si>
  <si>
    <t>TOOL KIT,PIPEFITTER'S</t>
  </si>
  <si>
    <t>A TOOL KIT IS ESSENTIAL FOR THE SHERIFFS DEPARTMENT TO PERFORM MINOR REPAIRS AND ADJUSTMENTS TO FACILITIES, VEHICLES, AND EQUIPMENT WITHOUT DELAY. IMMEDIATE ACCESS TO BASIC TOOLS IMPROVES OPERATIONAL EFFICIENCY, REDUCES DOWNTIME, AND ENHANCES SAFETY DURING ROUTINE DUTIES AND EMERGENCY SITUATIONS, ALLOWING PERSONNEL TO ADDRESS ISSUES PROMPTLY AND MAINTAIN READINESS.</t>
  </si>
  <si>
    <t>2YTG1760724895</t>
  </si>
  <si>
    <t>DSMEASTOO</t>
  </si>
  <si>
    <t>MEASURING TOOLS, CRAFTMEN'S</t>
  </si>
  <si>
    <t>2YTG1753609573</t>
  </si>
  <si>
    <t>DSSTRAP01</t>
  </si>
  <si>
    <t>STRAP, COMMERCIAL</t>
  </si>
  <si>
    <t>TIE-DOWN STRAPS ARE NECESSARY TO SECURE EQUIPMENT, SUPPLIES, AND MATERIALS DURING TRANSPORT AND FIELD OPERATIONS. THEY HELP PREVENT DAMAGE, REDUCE SAFETY HAZARDS, AND ENSURE VEHICLES AND GEAR ARE SAFELY LOADED, SUPPORTING EFFICIENT AND SAFE SHERIFFS DEPARTMENT OPERATIONS.</t>
  </si>
  <si>
    <t>2YTG1760795877</t>
  </si>
  <si>
    <t>DSDSKSTNE</t>
  </si>
  <si>
    <t>DISKS AND STONES, ABRASIVE</t>
  </si>
  <si>
    <t>OUR SHERIFFS DEPARTMENT REQUESTS FOR ESSENTIAL TOOLS TO IMPROVE OFFICER SAFETY, RESPONSE EFFICIENCY, AND COMMUNITY SERVICE. THESE TOOLS SUPPORT DAILY OPERATIONS, EQUIPMENT MAINTENANCE, AND EMERGENCY RESPONSE, ENSURING DEPUTIES CAN PERFORM DUTIES EFFECTIVELY WHILE MINIMIZING RISK AND MAINTAINING RELIABLE PUBLIC SAFETY SERVICES.</t>
  </si>
  <si>
    <t>2YTG1760654366</t>
  </si>
  <si>
    <t>TOOL KIT,CLASS ARR</t>
  </si>
  <si>
    <t>2YTG1760513410</t>
  </si>
  <si>
    <t>DSSPEAKE0</t>
  </si>
  <si>
    <t>SPEAKER, COMMUNICATIONS EQUIPMENT</t>
  </si>
  <si>
    <t>A PUBLIC ADDRESS SYSTEM IS NECESSARY FOR THE SHERIFFS DEPARTMENT TO EFFECTIVELY COMMUNICATE DURING EMERGENCIES, CRITICAL INCIDENTS, TRAINING EXERCISES, AND LARGE PUBLIC EVENTS. IT ALLOWS CLEAR, IMMEDIATE INSTRUCTIONS TO DEPUTIES, STAFF, AND THE PUBLIC, IMPROVING COORDINATION, CROWD CONTROL, AND OVERALL SAFETY WHILE REDUCING CONFUSION AND RESPONSE TIME.</t>
  </si>
  <si>
    <t>2YTG1753539566</t>
  </si>
  <si>
    <t>POLE LIGHT</t>
  </si>
  <si>
    <t>POLE LIGHTS ARE NECESSARY TO PROVIDE PORTABLE ILLUMINATION DURING EMERGENCIES, TRAFFIC CONTROL, CRIME SCENES, AND DISASTER RESPONSES. THEY ENHANCE OFFICER SAFETY, IMPROVE VISIBILITY, SUPPORT EFFECTIVE OPERATIONS IN LOW-LIGHT CONDITIONS, AND HELP PROTECT THE PUBLIC WHEN PERMANENT LIGHTING IS UNAVAILABLE.</t>
  </si>
  <si>
    <t>2YTG1753539569</t>
  </si>
  <si>
    <t>DSELEHARD</t>
  </si>
  <si>
    <t>ELECTRICAL HARDWARE AND SUPPLIES</t>
  </si>
  <si>
    <t>ELECTRICAL HARDWARE IS NECESSARY TO SUPPORT FACILITY MAINTENANCE, EQUIPMENT REPAIRS, AND EMERGENCY FIXES WITHIN SHERIFFS DEPARTMENT OPERATIONS. IT ENSURES SAFE, RELIABLE POWER FOR CRITICAL SYSTEMS, REDUCES DOWNTIME, AND HELPS MAINTAIN SECURE, FUNCTIONAL WORK ENVIRONMENTS FOR STAFF AND THE PUBLIC.</t>
  </si>
  <si>
    <t>2YTG1760583626</t>
  </si>
  <si>
    <t>DSCABLE00</t>
  </si>
  <si>
    <t>CABLE, CORD, WIRE ASSEMBLIES: COMM EQUIP</t>
  </si>
  <si>
    <t>CAT 5 WIRE IS NECESSARY FOR THE SHERIFFS DEPARTMENT TO MAINTAIN SECURE AND RELIABLE NETWORK CONNECTIVITY THROUGHOUT OFFICES AND FACILITIES. IT SUPPORTS COMPUTER SYSTEMS PRINTERS CAMERAS AND COMMUNICATION EQUIPMENT THAT ARE ESSENTIAL FOR DAILY OPERATIONS. PROPER CABLING ENSURES STABLE DATA TRANSMISSION IMPROVED EFFICIENCY AND REDUCED DOWNTIME.</t>
  </si>
  <si>
    <t>2YTG1760584047</t>
  </si>
  <si>
    <t>GENERATORS ARE ESSENTIAL TO ENSURE UNINTERRUPTED OPERATIONS DURING POWER OUTAGES, NATURAL DISASTERS, OR EMERGENCIES. THEY PROVIDE RELIABLE BACKUP POWER FOR CRITICAL SYSTEMS, INCLUDING COMMUNICATIONS, SECURITY EQUIPMENT, LIGHTING, AND IT INFRASTRUCTURE. MAINTAINING OPERATIONAL READINESS DURING OUTAGES PROTECTS STAFF, INMATES, AND THE PUBLIC WHILE ALLOWING THE SHERIFFS DEPARTMENT TO CONTINUE ESSENTIAL LAW ENFORCEMENT FUNCTIONS WITHOUT DISRUPTION.</t>
  </si>
  <si>
    <t>2YTG1760724901</t>
  </si>
  <si>
    <t>THE SHERIFFS DEPARTMENT REQUIRES A RELIABLE BATTERY CHARGER TO MAINTAIN RADIOS, BODY CAMERAS, FLASHLIGHTS, AND OTHER ESSENTIAL EQUIPMENT. CONSISTENT CHARGING CAPABILITY ENSURES UNINTERRUPTED COMMUNICATION, EVIDENCE COLLECTION, AND OFFICER SAFETY. INVESTING IN PROPER CHARGING EQUIPMENT SUPPORTS OPERATIONAL READINESS AND PREVENTS DOWNTIME DURING EMERGENCY RESPONSE AND DAILY PATROL ACTIVITIES.</t>
  </si>
  <si>
    <t>2YTG1760301820</t>
  </si>
  <si>
    <t>CASE,MEDICAL INSTRU</t>
  </si>
  <si>
    <t>OBTAINING DURABLE STORAGE CASES WILL ALLOW THE SHERIFFS DEPARTMENT TO SECURELY STORE, PROTECT, AND ORGANIZE ESSENTIAL EQUIPMENT. THESE CASES PREVENT DAMAGE, LOSS, AND CONTAMINATION, EXTEND THE LIFESPAN OF COSTLY GEAR, AND ENSURE EQUIPMENT IS READILY AVAILABLE FOR RAPID DEPLOYMENT DURING ROUTINE OPERATIONS AND EMERGENCIES, SUPPORTING EFFICIENCY, ACCOUNTABILITY, AND OFFICER SAFETY.</t>
  </si>
  <si>
    <t>2YTG1760442611</t>
  </si>
  <si>
    <t>A FIRST AID KIT IS ESSENTIAL FOR THE SHERIFFS DEPARTMENT TO PROVIDE IMMEDIATE MEDICAL ASSISTANCE TO DEPUTIES AND THE PUBLIC DURING EMERGENCIES. IT ALLOWS FOR RAPID TREATMENT OF INJURIES UNTIL MEDICAL PERSONNEL ARRIVE IMPROVING OFFICER SAFETY REDUCING RISK AND ENHANCING THE DEPARTMENTS ABILITY TO RESPOND EFFECTIVELY TO CRITICAL INCIDENTS.</t>
  </si>
  <si>
    <t>2YTG1753609574</t>
  </si>
  <si>
    <t>A MULTIMETER IS NECESSARY TO TEST AND TROUBLESHOOT ELECTRICAL SYSTEMS, EQUIPMENT, AND VEHICLES USED BY THE SHERIFFS DEPARTMENT. IT SUPPORTS SAFE DIAGNOSTICS, PREVENTS ELECTRICAL HAZARDS, REDUCES DOWNTIME, AND ENSURES CRITICAL SYSTEMS REMAIN OPERATIONAL DURING ROUTINE MAINTENANCE AND EMERGENCIES.</t>
  </si>
  <si>
    <t>2YTG1760442750</t>
  </si>
  <si>
    <t>A METAL DETECTOR IS ESSENTIAL FOR THE SHERIFFS DEPARTMENT TO LOCATE WEAPONS EVIDENCE AND HAZARDOUS OBJECTS DURING SEARCHES AND INVESTIGATIONS. IT IMPROVES OFFICER SAFETY INCREASES EFFICIENCY IN EVIDENCE RECOVERY AND SUPPORTS THOROUGH SEARCHES IN BUILDINGS OUTDOOR AREAS AND CRIME SCENES WHERE VISUAL DETECTION IS LIMITED.</t>
  </si>
  <si>
    <t>2YTG1760725721</t>
  </si>
  <si>
    <t>THERMOMETER,SELF-IN</t>
  </si>
  <si>
    <t>COOKING UTENSILS ARE NEEDED TO PREPARE AND SERVE FOOD DURING SHERIFFS DEPARTMENT FUNDRAISING EVENTS. PROVIDING PROPER UTENSILS ALLOWS STAFF AND VOLUNTEERS TO COOK, PORTION, AND SERVE MEALS SAFELY AND EFFICIENTLY. THIS HELPS ENSURE SMOOTH FOOD SERVICE OPERATIONS, MAINTAINS SANITATION STANDARDS, AND SUPPORTS SUCCESSFUL FUNDRAISING ACTIVITIES THAT BENEFIT DEPARTMENTAL PROGRAMS AND COMMUNITY OUTREACH.</t>
  </si>
  <si>
    <t>2YTG1760020098</t>
  </si>
  <si>
    <t>THE ACQUISITION OF A DIGITAL CAMERA IS NECESSARY TO ACCURATELY DOCUMENT CRIME SCENES, EVIDENCE, INJURIES, AND INCIDENTS. HIGH-QUALITY IMAGES SUPPORT INVESTIGATIONS, IMPROVE REPORT ACCURACY, AND STRENGTHEN COURT PROCEEDINGS. A DEPARTMENT-ISSUED CAMERA ENSURES CONSISTENT, RELIABLE DOCUMENTATION WHILE ENHANCING TRANSPARENCY, ACCOUNTABILITY, AND EFFECTIVE LAW ENFORCEMENT OPERATIONS.</t>
  </si>
  <si>
    <t>2YTG1760020099</t>
  </si>
  <si>
    <t>2YTG1760020104</t>
  </si>
  <si>
    <t>2YTG1760020097</t>
  </si>
  <si>
    <t>2YTG1760020096</t>
  </si>
  <si>
    <t>2YTG1760020095</t>
  </si>
  <si>
    <t>2YTG1760020102</t>
  </si>
  <si>
    <t>2YTG1760020101</t>
  </si>
  <si>
    <t>2YTG1760020100</t>
  </si>
  <si>
    <t>2YTG1760020105</t>
  </si>
  <si>
    <t>2YTG1760020103</t>
  </si>
  <si>
    <t>2YTG1760160497</t>
  </si>
  <si>
    <t>MASK,FIELD,PAINTBAL</t>
  </si>
  <si>
    <t>2YTG1760160494</t>
  </si>
  <si>
    <t>PAINT BALLS</t>
  </si>
  <si>
    <t>2YTG1760160493</t>
  </si>
  <si>
    <t>2YTG1760654411</t>
  </si>
  <si>
    <t>THE SHERIFFS DEPARTMENT IS REQUESTING THE COMPUTER MONITOR TO SUPPORT DAILY OPERATIONAL NEEDS. DEPUTIES AND ADMINISTRATIVE STAFF RELY ON CLEAR, RELIABLE DISPLAYS TO COMPLETE REPORTS, REVIEW RECORDS, MONITOR SECURITY SYSTEMS, AND ACCESS COURT DOCUMENTATION EFFICIENTLY. AN UPDATED MONITOR WILL IMPROVE PRODUCTIVITY, REDUCE EYE STRAIN, AND ENSURE ACCURATE, TIMELY SERVICE TO THE PUBLIC AND THE COURTS.</t>
  </si>
  <si>
    <t>2YTG1760231092</t>
  </si>
  <si>
    <t>COMPUTER MONITOR IS JUSTIFIED TO IMPROVE EFFICIENCY AND ACCURACY IN THE SHERIFFS DEPARTMENT. A MONITOR ALLOWS DEPUTIES AND STAFF TO VIEW MULTIPLE APPLICATIONS SIMULTANEOUSLY, REDUCING TASK-SWITCHING, IMPROVING REPORT WRITING, CASE MANAGEMENT, AND DISPATCH COORDINATION, AND SUPPORTING TIMELY, EFFECTIVE PUBLIC SAFETY OPERATIONS.</t>
  </si>
  <si>
    <t>2YTG1760231091</t>
  </si>
  <si>
    <t>2YTG1760231712</t>
  </si>
  <si>
    <t>DSLAMP003</t>
  </si>
  <si>
    <t>LAMP, OFFICE</t>
  </si>
  <si>
    <t>THE DESK LAMPS PROVIDE A DURABLE, ADJUSTABLE TASK LIGHTING TO SUPPORT LAW ENFORCEMENT ADMINISTRATIVE AND INVESTIGATIVE DUTIES, INCLUDING REPORT WRITING, EVIDENCE REVIEW, AND CASE DOCUMENTATION. RELIABLE LIGHTING REDUCES EYE STRAIN, IMPROVES ACCURACY, AND ENHANCES EFFICIENCY DURING EXTENDED OR NIGHT SHIFTS.</t>
  </si>
  <si>
    <t>2YTG1760160492</t>
  </si>
  <si>
    <t>NON-SLIP DECK COVERING IN TRAINING AREAS REDUCES THE RISK OF SLIPS, TRIPS, AND FALLS DURING DEFENSIVE TACTICS AND PHYSICAL TRAINING. PROVIDING A SECURE SURFACE ENHANCES DEPUTY SAFETY, SUPPORTS REALISTIC MOVEMENT, MINIMIZES TRAINING INJURIES, AND HELPS ENSURE TRAINING ACTIVITIES ARE CONDUCTED IN A CONTROLLED AND SAFE ENVIRONMENT.</t>
  </si>
  <si>
    <t>2YTG1760725705</t>
  </si>
  <si>
    <t>CAN,FLAMMABLE WASTE</t>
  </si>
  <si>
    <t>A FLAMMABLE WASTE CAN WILL PROVIDE SAFE STORAGE AND DISPOSAL OF COMBUSTIBLE MATERIALS SUCH AS SOLVENT-SOAKED RAGS, CLEANING CLOTHS, AND OTHER FLAMMABLE WASTE GENERATED DURING FACILITY AND VEHICLE MAINTENANCE. PROPER CONTAINMENT REDUCES FIRE RISK, SUPPORTS COMPLIANCE WITH SAFETY REGULATIONS, AND HELPS MAINTAIN A SAFE WORKING ENVIRONMENT FOR SHERIFFS DEPARTMENT PERSONNEL.</t>
  </si>
  <si>
    <t>2YTG1760725703</t>
  </si>
  <si>
    <t>DSFUNNEL0</t>
  </si>
  <si>
    <t>FUNNEL</t>
  </si>
  <si>
    <t>FUNNELS WILL SUPPORT SHERIFFS DEPARTMENT FUNDRAISERS BY ASSISTING WITH THE SAFE AND EFFICIENT TRANSFER OF LIQUIDS.</t>
  </si>
  <si>
    <t>2YTG1760725699</t>
  </si>
  <si>
    <t>COVER,STEAM TABLE P</t>
  </si>
  <si>
    <t>CHAFING EQUIPMENT WILL SUPPORT SHERIFFS DEPARTMENT FUNDRAISERS BY ALLOWING STAFF AND VOLUNTEERS TO SAFELY STORE, TRANSPORT, AND SERVE HOT FOOD DURING COMMUNITY EVENTS. THIS EQUIPMENT HELPS MAINTAIN PROPER FOOD TEMPERATURES AND SANITATION STANDARDS, IMPROVING FOOD SERVICE EFFICIENCY AND ENHANCING THE OVERALL EXPERIENCE FOR ATTENDEES, WHICH HELPS MAXIMIZE FUNDRAISING EFFORTS THAT SUPPORT DEPARTMENTAL PROGRAMS AND COMMUNITY INITIATIVES.</t>
  </si>
  <si>
    <t>2YTG1760725700</t>
  </si>
  <si>
    <t>PAN,STEAM TABLE</t>
  </si>
  <si>
    <t>2YTG1760725718</t>
  </si>
  <si>
    <t>DIPPER,KITCHEN</t>
  </si>
  <si>
    <t>2YTG1760725719</t>
  </si>
  <si>
    <t>SCOOP,ICE CREAM,MECHANICAL</t>
  </si>
  <si>
    <t>2YTG1760725715</t>
  </si>
  <si>
    <t>PAN,BAKING SHEET</t>
  </si>
  <si>
    <t>2YTG1760725716</t>
  </si>
  <si>
    <t>OPENER,CAN,HAND</t>
  </si>
  <si>
    <t>2YTG1760725717</t>
  </si>
  <si>
    <t>SKIMMER,KITCHEN</t>
  </si>
  <si>
    <t>2YTG1760725702</t>
  </si>
  <si>
    <t>OPENER,CAN,MOUNTED</t>
  </si>
  <si>
    <t>A COMMERCIAL CAN OPENER WILL SUPPORT SHERIFFS DEPARTMENT FUNDRAISERS BY ENABLING STAFF AND VOLUNTEERS TO QUICKLY AND SAFELY OPEN LARGE QUANTITIES OF CANNED FOOD USED IN MEAL PREPARATION. THIS EQUIPMENT IMPROVES EFFICIENCY DURING FOOD SERVICE, REDUCES PREPARATION TIME, AND HELPS ENSURE SMOOTH OPERATIONS AT FUNDRAISING EVENTS THAT GENERATE SUPPORT FOR DEPARTMENTAL PROGRAMS AND COMMUNITY OUTREACH ACTIVITIES.</t>
  </si>
  <si>
    <t>2YTG1760725725</t>
  </si>
  <si>
    <t>SERVER,PIE AND CAKE</t>
  </si>
  <si>
    <t>2YTG1760725724</t>
  </si>
  <si>
    <t>FORK,FOOD PREPARATION</t>
  </si>
  <si>
    <t>2YTG1760725722</t>
  </si>
  <si>
    <t>KNIFE,COOK'S</t>
  </si>
  <si>
    <t>2YTG1760725723</t>
  </si>
  <si>
    <t>KNIFE,SLICING</t>
  </si>
  <si>
    <t>2YTG1760231094</t>
  </si>
  <si>
    <t>FIELD HAND WASH STA</t>
  </si>
  <si>
    <t>A PORTABLE HAND WASH STATION IS NECESSARY TO SUPPORT PROPER HYGIENE FOR DEPUTIES OPERATING IN THE FIELD DURING EXTENDED DETAILS, EMERGENCY RESPONSES, AND SPECIAL EVENTS. ACCESS TO HAND WASHING REDUCES THE SPREAD OF CONTAMINANTS, PROTECTS EMPLOYEE HEALTH, SUPPORTS SANITATION STANDARDS, AND ENSURES DEPUTIES CAN SAFELY PERFORM THEIR DUTIES WHEN FIXED FACILITIES ARE UNAVAILABLE.</t>
  </si>
  <si>
    <t>2YTG1760583624</t>
  </si>
  <si>
    <t>DSMISCOMA</t>
  </si>
  <si>
    <t>MISCELLANEOUS OFFICE MACHINES</t>
  </si>
  <si>
    <t>A SHREDDER IS NECESSARY FOR THE SHERIFFS DEPARTMENT TO SECURELY DESTROY CONFIDENTIAL DOCUMENTS THAT CONTAIN SENSITIVE INFORMATION. PROPER DISPOSAL PROTECTS CRIMINAL JUSTICE RECORDS PERSONNEL FILES AND INVESTIGATIVE MATERIALS FROM UNAUTHORIZED ACCESS. THIS EQUIPMENT SUPPORTS DATA SECURITY COMPLIANCE AND REDUCES THE RISK OF IDENTITY THEFT OR INFORMATION BREACHES.</t>
  </si>
  <si>
    <t>2YTG1760654361</t>
  </si>
  <si>
    <t>DSPAINTBR</t>
  </si>
  <si>
    <t>PAINT AND ARTISTS BRUSHES</t>
  </si>
  <si>
    <t>2YTG1760161095</t>
  </si>
  <si>
    <t>BAG,TEXTILE</t>
  </si>
  <si>
    <t>BD</t>
  </si>
  <si>
    <t>TEXTILE BAGS ARE NECESSARY TO SAFELY AND EFFICIENTLY TRANSPORT, STORE, AND ORGANIZE EQUIPMENT AND SUPPLIES FOR DEPUTIES DURING DAILY OPERATIONS, TRAINING, AND SPECIAL ASSIGNMENTS. THESE BAGS PROTECT DEPARTMENT-ISSUED GEAR FROM DAMAGE, IMPROVE READINESS AND ACCOUNTABILITY, AND SUPPORT EFFICIENT DEPLOYMENT WHILE EXTENDING THE SERVICE LIFE OF ISSUED EQUIPMENT.</t>
  </si>
  <si>
    <t>2YTG1760231199</t>
  </si>
  <si>
    <t>THE SHERIFFS DEPARTMENT REQUIRES DURABLE CASES TO SAFELY TRANSPORT CRITICAL EQUIPMENT DURING EMERGENCY RESPONSES. THESE CASES PROTECT SENSITIVE ITEMS FROM DAMAGE, WEATHER, AND LOSS WHILE ALLOWING FOR QUICK DEPLOYMENT. HAVING PROPER TRANSPORT CASES IMPROVES EFFICIENCY, READINESS, AND ENSURES ESSENTIAL TOOLS ARRIVE OPERATIONAL WHEN TIME AND CONDITIONS ARE CRITICAL.</t>
  </si>
  <si>
    <t>2YTG1760513411</t>
  </si>
  <si>
    <t>PROTECTIVE CASES ARE NECESSARY FOR THE SHERIFFS DEPARTMENT TO SECURELY STORE AND TRANSPORT ESSENTIAL EQUIPMENT, INCLUDING FIREARMS, ELECTRONICS, MEDICAL SUPPLIES, AND SPECIALIZED GEAR. DURABLE CASES PROTECT ITEMS FROM DAMAGE, MOISTURE, AND LOSS, ENSURING READINESS, EXTENDING EQUIPMENT LIFESPAN, AND MAINTAINING ACCOUNTABILITY DURING DAILY OPERATIONS, TRAINING, AND EMERGENCY RESPONSE.</t>
  </si>
  <si>
    <t>2YTG1760584131</t>
  </si>
  <si>
    <t>PROTECTIVE EQUIPMENT CASES ARE NECESSARY TO SECURELY STORE AND TRANSPORT DEPARTMENTAL GEAR. THEY PREVENT DAMAGE, EXTEND THE LIFESPAN OF VALUABLE ASSETS, AND ENSURE EQUIPMENT REMAINS ORGANIZED, ACCESSIBLE, AND MISSION-READY DURING DEPLOYMENTS, TRAINING, AND DAILY OPERATIONS.</t>
  </si>
  <si>
    <t>2YTG1760724898</t>
  </si>
  <si>
    <t>TENT</t>
  </si>
  <si>
    <t>THE SHERIFFS DEPARTMENT REQUIRES TENTS TO SUPPORT EMERGENCY RESPONSE, DISASTER OPERATIONS, AND EXTENDED FIELD DEPLOYMENTS. TENTS PROVIDE TEMPORARY SHELTER FOR DEPUTIES, SECURED SPACES FOR INCIDENT COMMAND, AND PROTECTED AREAS FOR VICTIMS OR EVIDENCE PROCESSING. ACCESS TO RELIABLE TENTS ENHANCES OPERATIONAL READINESS, IMPROVES SAFETY, AND ENSURES EFFECTIVE SERVICE DURING CRITICAL INCIDENTS AND COMMUNITY EMERGENCIES.</t>
  </si>
  <si>
    <t>2YTG1760724897</t>
  </si>
  <si>
    <t>TARPAULIN</t>
  </si>
  <si>
    <t>THE SHERIFFS DEPARTMENT REQUIRES DURABLE TARPS TO SUPPORT EMERGENCY RESPONSE AND OPERATIONAL NEEDS. TARPS ARE ESSENTIAL FOR SECURING CRIME SCENES, PROTECTING EQUIPMENT, COVERING DAMAGED PROPERTY, AND PROVIDING TEMPORARY SHELTER DURING DISASTERS. HAVING RELIABLE TARPS READILY AVAILABLE IMPROVES RESPONSE EFFICIENCY, PRESERVES EVIDENCE INTEGRITY, AND ENSURES PREPAREDNESS FOR COMMUNITY EMERGENCIES.</t>
  </si>
  <si>
    <t>2YTG1760513354</t>
  </si>
  <si>
    <t>TARPS ARE ESSENTIAL FOR THE SHERIFFS DEPARTMENT TO PROTECT EQUIPMENT, VEHICLES, AND EVIDENCE FROM WEATHER EXPOSURE DURING INCIDENTS AND TRANSPORT. THEY ARE ALSO USED TO SECURE DAMAGED PROPERTY, COVER DEBRIS, AND ASSIST IN EMERGENCY RESPONSE OPERATIONS. HAVING TARPS READILY AVAILABLE ENSURES PRESERVATION OF ASSETS, SCENE INTEGRITY, AND OVERALL OPERATIONAL READINESS.</t>
  </si>
  <si>
    <t>2YTG1760724899</t>
  </si>
  <si>
    <t>2YTG1760513300</t>
  </si>
  <si>
    <t>A FLAG POLE IS NECESSARY FOR THE SHERIFFS DEPARTMENT TO PROPERLY DISPLAY THE UNITED STATES AND DEPARTMENTAL FLAGS IN ACCORDANCE WITH PROTOCOL. IT REPRESENTS RESPECT AUTHORITY AND PUBLIC SERVICE WHILE PROMOTING PROFESSIONALISM COMMUNITY PRIDE AND A VISIBLE LAW ENFORCEMENT PRESENCE AT DEPARTMENT FACILITIES.</t>
  </si>
  <si>
    <t>2YTG1760372037</t>
  </si>
  <si>
    <t>WET WEATHER PONCHOS PROVIDE ESSENTIAL PROTECTION FOR SHERIFFS DEPARTMENT PERSONNEL OPERATING IN RAIN OR SEVERE WEATHER. THEY HELP KEEP DEPUTIES DRY, MAINTAIN BODY TEMPERATURE, AND ENSURE MOBILITY DURING PATROLS, TRAFFIC CONTROL, AND EMERGENCY RESPONSES. PROPER WEATHER PROTECTION ENHANCES OFFICER SAFETY, EFFECTIVENESS, AND READINESS WHILE REDUCING THE RISK OF ILLNESS AND EQUIPMENT DAMAGE.</t>
  </si>
  <si>
    <t>2YTG1760160645</t>
  </si>
  <si>
    <t>COVERALLS,UTILITY</t>
  </si>
  <si>
    <t>COVERALLS PROVIDE DEPUTIES WITH DURABLE, ALL-WEATHER PROTECTION DURING VEHICLE CRASHES, EVIDENCE SEARCHES, PRISONER TRANSPORT, AND HAZARDOUS OR UNSANITARY CONDITIONS. THEY HELP PREVENT CONTAMINATION OF UNIFORMS AND SKIN, IMPROVE SAFETY, AND ALLOW DEPUTIES TO QUICKLY CHANGE IN THE FIELD, MAINTAINING PROFESSIONALISM AND OPERATIONAL READINESS.</t>
  </si>
  <si>
    <t>2YTG1760442628</t>
  </si>
  <si>
    <t>A PARKA IS ESSENTIAL FOR THE SHERIFFS DEPARTMENT TO PROTECT DEPUTIES FROM EXTREME COLD WIND AND HARSH WEATHER CONDITIONS. IT HELPS PREVENT COLD RELATED INJURIES IMPROVES COMFORT DURING EXTENDED OUTDOOR OPERATIONS AND ENSURES DEPUTIES CAN PERFORM THEIR DUTIES SAFELY EFFECTIVELY AND WITHOUT INTERRUPTION IN WINTER CONDITIONS.</t>
  </si>
  <si>
    <t>2YTG1760442629</t>
  </si>
  <si>
    <t>2YTG1760442630</t>
  </si>
  <si>
    <t>2YTG1760442631</t>
  </si>
  <si>
    <t>2YTG1760442633</t>
  </si>
  <si>
    <t>2YTG1760442621</t>
  </si>
  <si>
    <t>2YTG1760231587</t>
  </si>
  <si>
    <t>CAP,COLD WEATHER</t>
  </si>
  <si>
    <t>PROVIDING WINTER CAPS FOR SHERIFFS DEPARTMENT PERSONNEL IS NECESSARY TO ENSURE OFFICER SAFETY, HEALTH, AND EFFECTIVENESS DURING COLD WEATHER OPERATIONS. DEPUTIES ARE FREQUENTLY REQUIRED TO WORK OUTDOORS FOR EXTENDED PERIODS, INCLUDING TRAFFIC CONTROL, TRANSPORTS, AND EMERGENCY RESPONSES. PROPER COLD-WEATHER HEADWEAR HELPS PREVENT COLD-RELATED INJURIES, MAINTAINS FOCUS, AND SUPPORTS READINESS WHILE PERFORMING ESSENTIAL PUBLIC SAFETY DUTIES.</t>
  </si>
  <si>
    <t>2YTG1760231588</t>
  </si>
  <si>
    <t>2YTG1760372397</t>
  </si>
  <si>
    <t>GLOVES ARE ESSENTIAL TO PROTECT DEPUTIES HANDS DURING DAILY OPERATIONS, ESPECIALLY IN COLD WEATHER AND HAZARDOUS CONDITIONS. DEPUTIES REGULARLY CONDUCT SEARCHES, TRAFFIC CONTROL, PRISONER TRANSPORT, AND EMERGENCY RESPONSES WHERE HAND PROTECTION IS NECESSARY. ISSUING PROPER GLOVES ENHANCES OFFICER SAFETY, MAINTAINS DEXTERITY, AND ENSURES DEPUTIES CAN PERFORM THEIR DUTIES EFFECTIVELY WHILE REDUCING THE RISK OF INJURY AND EXPOSURE.</t>
  </si>
  <si>
    <t>2YTG1760442741</t>
  </si>
  <si>
    <t>COVER,HELMET,CAMOUF</t>
  </si>
  <si>
    <t>HELMET COVERS ARE NECESSARY FOR THE SHERIFFS DEPARTMENT TO PROTECT HELMETS FROM DAMAGE AND ENVIRONMENTAL EXPOSURE DURING OPERATIONS. THEY IMPROVE CAMOUFLAGE AND VISIBILITY AS NEEDED REDUCE WEAR ON EQUIPMENT AND ENHANCE OFFICER SAFETY AND READINESS DURING TACTICAL DEPLOYMENTS TRAINING AND FIELD OPERATIONS.</t>
  </si>
  <si>
    <t>2YTG1760442744</t>
  </si>
  <si>
    <t>2YTG1760372040</t>
  </si>
  <si>
    <t>PARKAS ARE ESSENTIAL FOR SHERIFFS DEPARTMENT PERSONNEL ASSIGNED TO OUTDOOR DUTIES IN COLD AND SEVERE WEATHER. THEY PROVIDE INSULATION AND PROTECTION FROM WIND, RAIN, AND SNOW, HELPING MAINTAIN BODY TEMPERATURE AND DEXTERITY. PROPER COLD-WEATHER GEAR ENHANCES OFFICER SAFETY, PERFORMANCE, AND READINESS WHILE REDUCING THE RISK OF COLD-RELATED INJURIES DURING EXTENDED OPERATIONS.</t>
  </si>
  <si>
    <t>2YTG1760231093</t>
  </si>
  <si>
    <t>VEST,HIGH VISIBILITY</t>
  </si>
  <si>
    <t>HIGH-VISIBILITY VESTS ARE NECESSARY TO ENSURE DEPUTY SAFETY DURING TRAFFIC CONTROL, ROADSIDE DUTIES, AND EMERGENCY OPERATIONS. THESE VESTS INCREASE VISIBILITY IN LOW-LIGHT AND HIGH-TRAFFIC ENVIRONMENTS, REDUCING THE RISK OF INJURY OR VEHICLE STRIKES, ENSURING COMPLIANCE WITH SAFETY STANDARDS, AND SUPPORTING SAFE, EFFECTIVE LAW ENFORCEMENT AND PUBLIC SAFETY OPERATIONS.</t>
  </si>
  <si>
    <t>2YTG1760372395</t>
  </si>
  <si>
    <t>COAT,FIREMAN'S</t>
  </si>
  <si>
    <t>COATS ARE NECESSARY TO ENSURE DEPUTIES REMAIN PROTECTED WHILE PERFORMING DUTIES IN COLD AND INCLEMENT WEATHER. DEPUTIES ARE FREQUENTLY REQUIRED TO WORK OUTDOORS FOR EXTENDED PERIODS, INCLUDING TRAFFIC CONTROL, COURT SECURITY, AND EMERGENCY RESPONSES. PROPER OUTERWEAR SUPPORTS OFFICER SAFETY, HEALTH, AND OPERATIONAL READINESS WHILE ALLOWING DEPUTIES TO PERFORM THEIR DUTIES EFFECTIVELY IN ALL WEATHER CONDITIONS.</t>
  </si>
  <si>
    <t>2YTG1760301605</t>
  </si>
  <si>
    <t>MASK,EXTREME COLD W</t>
  </si>
  <si>
    <t>COLD WEATHER MASKS ARE NECESSARY TO PROTECT SHERIFFS DEPARTMENT PERSONNEL FROM EXTREME TEMPERATURES DURING OUTDOOR OPERATIONS. DEPUTIES FREQUENTLY WORK IN COLD, WINDY CONDITIONS WHILE DIRECTING TRAFFIC, PROVIDING SECURITY, AND RESPONDING TO EMERGENCIES. THESE MASKS HELP PREVENT COLD-RELATED INJURIES, MAINTAIN COMFORT AND VISIBILITY, AND ENSURE OFFICERS CAN PERFORM THEIR DUTIES SAFELY AND EFFECTIVELY IN WINTER CONDITIONS.</t>
  </si>
  <si>
    <t>2YTG1760301607</t>
  </si>
  <si>
    <t>CAP,BOONIE FIELD, WOODLAND</t>
  </si>
  <si>
    <t>A BOONIE HAT IS NECESSARY FOR SHERIFFS DEPARTMENT PERSONNEL ASSIGNED TO OUTDOOR OPERATIONS, TRAINING, AND SPECIAL DETAILS. IT PROVIDES PROTECTION FROM SUN EXPOSURE, HEAT, AND WEATHER WHILE MAINTAINING VISIBILITY AND COMFORT DURING EXTENDED FIELD ASSIGNMENTS. PROPER HEADGEAR SUPPORTS OFFICER SAFETY, ENDURANCE, AND EFFECTIVENESS WHILE PERFORMING ESSENTIAL PUBLIC SAFETY DUTIES.</t>
  </si>
  <si>
    <t>2YTG1760372041</t>
  </si>
  <si>
    <t>2YTG1760372043</t>
  </si>
  <si>
    <t>GLOVES,MEN'S AND WO</t>
  </si>
  <si>
    <t>GLOVES ARE ESSENTIAL PROTECTIVE EQUIPMENT FOR SHERIFFS DEPARTMENT PERSONNEL DURING PATROL, SEARCHES, TRAFFIC CONTROL, AND EMERGENCY RESPONSE. THEY PROVIDE HAND PROTECTION FROM COLD, SHARP OBJECTS, AND ENVIRONMENTAL HAZARDS WHILE MAINTAINING DEXTERITY. PROPER GLOVES ENHANCE OFFICER SAFETY, OPERATIONAL EFFECTIVENESS, AND READINESS, AND HELP PREVENT INJURY DURING ROUTINE AND CRITICAL DUTIES.</t>
  </si>
  <si>
    <t>2YTG1760372044</t>
  </si>
  <si>
    <t>2YTG1760372045</t>
  </si>
  <si>
    <t>2YTG1760301608</t>
  </si>
  <si>
    <t>UNDERSHIRT,COLD WEA</t>
  </si>
  <si>
    <t>UNDERSHIRTS ARE NECESSARY FOR SHERIFFS DEPARTMENT PERSONNEL TO MAINTAIN COMFORT, HYGIENE, AND PROFESSIONALISM WHILE WEARING ISSUED UNIFORMS AND BODY ARMOR. PROPER UNDERSHIRTS HELP REGULATE BODY TEMPERATURE, REDUCE SKIN IRRITATION, AND ABSORB PERSPIRATION DURING LONG SHIFTS, SUPPORTING OFFICER HEALTH, UNIFORM LONGEVITY, AND CONSISTENT OPERATIONAL READINESS.</t>
  </si>
  <si>
    <t>2YTG1760301612</t>
  </si>
  <si>
    <t>COLD WEATHER SHIRTS ARE NECESSARY TO PROVIDE SHERIFFS DEPARTMENT PERSONNEL WITH PROPER INSULATION AND COMFORT DURING WINTER OPERATIONS. DEPUTIES ARE OFTEN REQUIRED TO WORK OUTDOORS FOR EXTENDED PERIODS IN COLD CONDITIONS. THERMAL SHIRTS HELP RETAIN BODY HEAT, PREVENT COLD-RELATED INJURIES, AND ENSURE OFFICERS CAN PERFORM THEIR DUTIES SAFELY, EFFICIENTLY, AND WITHOUT UNNECESSARY WEATHER-RELATED LIMITATIONS.</t>
  </si>
  <si>
    <t>2YTG1760301613</t>
  </si>
  <si>
    <t>LINER,PARKA WORKING</t>
  </si>
  <si>
    <t>COLD WEATHER PARKAS ARE ESSENTIAL FOR SHERIFFS DEPARTMENT PERSONNEL ASSIGNED TO OUTDOOR DUTIES DURING WINTER CONDITIONS. DEPUTIES ROUTINELY PERFORM TRAFFIC CONTROL, TRANSPORTS, AND EMERGENCY RESPONSE IN EXTREME COLD. A PROPERLY INSULATED PARKA PROTECTS AGAINST COLD-RELATED INJURIES, IMPROVES VISIBILITY AND MOBILITY, AND ENSURES OFFICERS REMAIN SAFE, EFFECTIVE, AND OPERATIONALLY READY IN SEVERE WEATHER.</t>
  </si>
  <si>
    <t>2YTG1760301616</t>
  </si>
  <si>
    <t>JACKET,FLYER'S</t>
  </si>
  <si>
    <t>JACKETS ARE ESSENTIAL FOR SHERIFFS DEPARTMENT PERSONNEL TO MAINTAIN WARMTH AND PROTECTION DURING OUTDOOR DUTIES IN COLD OR INCLEMENT WEATHER. PROPER OUTERWEAR ENSURES COMFORT, PREVENTS COLD-RELATED INJURIES, AND ALLOWS DEPUTIES TO PERFORM TRAFFIC CONTROL, PATROLS, AND EMERGENCY RESPONSES SAFELY AND EFFECTIVELY, SUPPORTING OVERALL OPERATIONAL READINESS AND OFFICER SAFETY.</t>
  </si>
  <si>
    <t>2YTG1760442627</t>
  </si>
  <si>
    <t>TROUSERS,CAMOUFLAGE</t>
  </si>
  <si>
    <t>TROUSERS ARE NECESSARY FOR THE SHERIFFS DEPARTMENT TO KEEP DEPUTIES WARM DURING WINTER OPERATIONS AND EXTENDED OUTDOOR ASSIGNMENTS. THEY HELP REGULATE BODY TEMPERATURE PREVENT COLD RELATED INJURIES AND IMPROVE COMFORT AND ENDURANCE ALLOWING DEPUTIES TO REMAIN EFFECTIVE SAFE AND FOCUSED WHILE ON DUTY.</t>
  </si>
  <si>
    <t>2YTG1760372420</t>
  </si>
  <si>
    <t>FLAME RESISTANT VEST IS NECESSARY TO PROTECT DEPUTIES FROM FIRE RELATED HAZARDS DURING EMERGENCY RESPONSES VEHICLE FIRES AND HAZARDOUS INCIDENTS. FLAME RESISTANT VESTS REDUCE THE RISK OF BURN INJURIES ENHANCE OFFICER SAFETY AND SUPPORT SAFE OPERATIONS WHILE ALLOWING DEPUTIES TO PERFORM THEIR DUTIES EFFECTIVELY IN DANGEROUS ENVIRONMENTS</t>
  </si>
  <si>
    <t>2YTG1760372419</t>
  </si>
  <si>
    <t>TROUSERS,FIREMEN'S</t>
  </si>
  <si>
    <t>THE PURCHASE OF DUTY TROUSERS IS NECESSARY TO ENSURE DEPUTIES HAVE PROPER UNIFORM ATTIRE FOR DAILY OPERATIONS. QUALITY TROUSERS PROVIDE DURABILITY COMFORT AND MOBILITY DURING PATROL COURT SECURITY AND FIELD ASSIGNMENTS. ISSUING APPROVED TROUSERS PROMOTES A PROFESSIONAL APPEARANCE OFFICER SAFETY AND UNIFORM COMPLIANCE WHILE REDUCING WEAR AND REPLACEMENT COSTS OVER TIME.</t>
  </si>
  <si>
    <t>2YTG1760442620</t>
  </si>
  <si>
    <t>2YTG1760442618</t>
  </si>
  <si>
    <t>COLD WEATHER DRAWERS ARE NECESSARY FOR THE SHERIFFS DEPARTMENT TO KEEP DEPUTIES WARM DURING WINTER OPERATIONS AND EXTENDED OUTDOOR ASSIGNMENTS. THEY HELP REGULATE BODY TEMPERATURE PREVENT COLD RELATED INJURIES AND IMPROVE COMFORT AND ENDURANCE ALLOWING DEPUTIES TO REMAIN EFFECTIVE SAFE AND FOCUSED WHILE ON DUTY.</t>
  </si>
  <si>
    <t>2YTG1760513155</t>
  </si>
  <si>
    <t>MITTENS ARE NECESSARY FOR THE SHERIFFS DEPARTMENT TO PROTECT DEPUTIES HANDS FROM EXTREME COLD DURING WINTER PATROLS AND OUTDOOR OPERATIONS. THEY HELP PREVENT COLD RELATED INJURIES MAINTAIN DEXTERITY AND COMFORT AND ALLOW DEPUTIES TO REMAIN EFFECTIVE SAFE AND FOCUSED WHILE PERFORMING THEIR DUTIES IN HARSH WEATHER CONDITIONS.</t>
  </si>
  <si>
    <t>2YTG1760442936</t>
  </si>
  <si>
    <t>COLD WEATHER TROUSERS ARE NECESSARY FOR THE SHERIFFS DEPARTMENT TO KEEP DEPUTIES WARM DURING WINTER OPERATIONS AND EXTENDED OUTDOOR ASSIGNMENTS. THEY HELP REGULATE BODY TEMPERATURE PREVENT COLD RELATED INJURIES AND IMPROVE COMFORT AND ENDURANCE ALLOWING DEPUTIES TO REMAIN EFFECTIVE SAFE AND FOCUSED WHILE ON DUTY.</t>
  </si>
  <si>
    <t>2YTG1760442938</t>
  </si>
  <si>
    <t>2YTG1760302268</t>
  </si>
  <si>
    <t>COLD-WEATHER MITTENS ARE NECESSARY TO PROTECT DEPUTIES HANDS DURING WINTER OPERATIONS, INCLUDING TRAFFIC CONTROL, TRANSPORT DUTIES, AND OUTDOOR SECURITY ASSIGNMENTS. PROPER HAND PROTECTION HELPS PREVENT COLD-RELATED INJURIES, MAINTAINS DEXTERITY, AND ENSURES DEPUTIES CAN SAFELY AND EFFECTIVELY PERFORM THEIR DUTIES IN ADVERSE WEATHER CONDITIONS.</t>
  </si>
  <si>
    <t>2YTG1760302266</t>
  </si>
  <si>
    <t>2YTG1760302264</t>
  </si>
  <si>
    <t>2YTG1760302263</t>
  </si>
  <si>
    <t>2YTG1760160498</t>
  </si>
  <si>
    <t>BELT,RIGGERS</t>
  </si>
  <si>
    <t>2YTG1760160495</t>
  </si>
  <si>
    <t>2YTG1760160496</t>
  </si>
  <si>
    <t>2YTG1760301615</t>
  </si>
  <si>
    <t>DSMUNDERW</t>
  </si>
  <si>
    <t>UNDERWEAR AND NIGHTWEAR, MENS</t>
  </si>
  <si>
    <t>NIGHTWEAR IS NECESSARY FOR SHERIFFS DEPARTMENT PERSONNEL ASSIGNED TO EXTENDED SHIFTS OR OVERNIGHT DUTIES. PROPER SLEEPWEAR PROMOTES COMFORT AND REST DURING ON-SITE ACCOMMODATIONS, ENSURING OFFICERS MAINTAIN ALERTNESS, MENTAL CLARITY, AND OVERALL HEALTH. ADEQUATE RESTWEAR SUPPORTS OPERATIONAL READINESS, SAFETY, AND EFFECTIVENESS WHILE PERFORMING ESSENTIAL PUBLIC SAFETY RESPONSIBILITIES.</t>
  </si>
  <si>
    <t>2YTG1760372054</t>
  </si>
  <si>
    <t>UNDERSHIRT,MAN'S</t>
  </si>
  <si>
    <t>ISSUED UNDERWEAR IS ESSENTIAL FOR SHERIFFS DEPARTMENT PERSONNEL TO ENSURE HYGIENE, COMFORT, AND PROPER LAYERING UNDER DUTY UNIFORMS. QUALITY UNDERGARMENTS PROVIDE MOISTURE CONTROL AND REDUCE CHAFING DURING EXTENDED SHIFTS AND PHYSICAL ACTIVITY. STANDARDIZED ISSUE SUPPORTS OFFICER HEALTH, COMFORT, AND READINESS WHILE MAINTAINING A PROFESSIONAL AND FUNCTIONAL UNIFORM SYSTEM.</t>
  </si>
  <si>
    <t>2YTG1760372052</t>
  </si>
  <si>
    <t>2YTG1760301618</t>
  </si>
  <si>
    <t>DRAWERS,MEN'S</t>
  </si>
  <si>
    <t>COLD WEATHER DRAWERS ARE NECESSARY TO PROTECT SHERIFFS DEPARTMENT PERSONNEL FROM EXTREME TEMPERATURES DURING OUTDOOR ASSIGNMENTS AND EMERGENCY RESPONSES. DEPUTIES FREQUENTLY WORK LONG HOURS IN COLD CONDITIONS, AND PROPER THERMAL LAYERS HELP PREVENT COLD-RELATED INJURIES, MAINTAIN BODY HEAT, AND ENSURE OFFICERS REMAIN FOCUSED, SAFE, AND EFFECTIVE WHILE PERFORMING ESSENTIAL PUBLIC SAFETY DUTIES.</t>
  </si>
  <si>
    <t>2YTG1760090136</t>
  </si>
  <si>
    <t>BOOTS,SAFETY,WOMEN'</t>
  </si>
  <si>
    <t>SAFETY BOOTS ARE NECESSARY TO PROTECT DEPUTIES FROM HAZARDS SUCH AS SHARP OBJECTS, UNEVEN TERRAIN, SLIPS, FALLS, AND EXTREME WEATHER. PROPER FOOTWEAR REDUCES THE RISK OF INJURY, SUPPORTS LONG SHIFTS, AND ENSURES DEPUTIES CAN SAFELY AND EFFECTIVELY PERFORM THEIR DUTIES WHILE MEETING WORKPLACE SAFETY STANDARDS.</t>
  </si>
  <si>
    <t>2YTG1760442613</t>
  </si>
  <si>
    <t>GAITER,NECK</t>
  </si>
  <si>
    <t>NECK GAITERS ARE NECESSARY FOR THE SHERIFFS DEPARTMENT TO PROTECT DEPUTIES FROM COLD WIND DUST AND ENVIRONMENTAL EXPOSURE DURING OUTDOOR OPERATIONS. THEY HELP MAINTAIN BODY WARMTH IMPROVE COMFORT AND REDUCE THE RISK OF WEATHER RELATED INJURIES ALLOWING DEPUTIES TO REMAIN FOCUSED EFFECTIVE AND READY WHILE ON DUTY.</t>
  </si>
  <si>
    <t>2YTG1760583766</t>
  </si>
  <si>
    <t>SLEEPING MATS ARE NECESSARY TO SUPPORT DEPUTIES ASSIGNED TO EXTENDED OPERATIONS, EMERGENCY RESPONSES, DISASTER DEPLOYMENTS, AND OVERNIGHT DETAILS. PROVIDING PROPER REST ACCOMMODATIONS IMPROVES SAFETY, READINESS, AND PERFORMANCE WHILE REDUCING FATIGUE-RELATED RISKS. SLEEPING MATS ALSO PROMOTE HYGIENE AND PROFESSIONALISM WHEN TEMPORARY SHELTER OR ON-SITE STAGING IS REQUIRED.</t>
  </si>
  <si>
    <t>2YTG1760583767</t>
  </si>
  <si>
    <t>2YTG1760513768</t>
  </si>
  <si>
    <t>2YTG1760442937</t>
  </si>
  <si>
    <t>AN ENTRENCHING TOOL CARRIER IS NECESSARY FOR THE SHERIFFS DEPARTMENT TO SAFELY STORE AND TRANSPORT ESSENTIAL FIELD TOOLS DURING EMERGENCIES AND OPERATIONS. IT ENSURES TOOLS ARE READILY ACCESSIBLE FOR SEARCH AND RESCUE DISASTER RESPONSE AND VEHICLE RECOVERY WHILE MAINTAINING ORGANIZATION OFFICER SAFETY AND OPERATIONAL EFFICIENCY.</t>
  </si>
  <si>
    <t>2YTG1760513769</t>
  </si>
  <si>
    <t>2YTG1760513770</t>
  </si>
  <si>
    <t>2YTG1760795679</t>
  </si>
  <si>
    <t>SURVIVAL KIT,INDIVI</t>
  </si>
  <si>
    <t>A SURVIVAL KNIFE IS ESSENTIAL EQUIPMENT FOR DEPUTIES IN EMERGENCY AND FIELD OPERATIONS. IT CAN BE USED FOR CUTTING SEATBELTS, BREAKING OBSTACLES, PREPARING EMERGENCY MATERIALS, AND ASSISTING IN RESCUE SITUATIONS. ISSUING A DURABLE SURVIVAL KNIFE IMPROVES OFFICER READINESS, ENHANCES SAFETY IN UNPREDICTABLE ENVIRONMENTS, AND SUPPORTS EFFECTIVE RESPONSE DURING EMERGENCIES OR SEARCH AND RESCUE OPERATIONS.</t>
  </si>
  <si>
    <t>2YTG1760513355</t>
  </si>
  <si>
    <t>SLEEPING MATS ARE NECESSARY FOR THE SHERIFFS DEPARTMENT TO SUPPORT EXTENDED OPERATIONS, EMERGENCY DEPLOYMENTS, AND DISASTER RESPONSE SITUATIONS. THEY PROVIDE DEPUTIES WITH A SAFE, SANITARY, AND REST-READY SURFACE DURING PROLONGED INCIDENTS, TRAINING EXERCISES, OR MUTUAL AID ASSIGNMENTS, HELPING MAINTAIN HEALTH, READINESS, AND OVERALL OPERATIONAL EFFECTIVENESS.</t>
  </si>
  <si>
    <t>2YTG1760513299</t>
  </si>
  <si>
    <t>BAG,EXTREME COLD WE</t>
  </si>
  <si>
    <t>SLEEPING BAGS ARE NECESSARY FOR THE SHERIFFS DEPARTMENT TO SUPPORT DEPUTIES DURING EXTENDED OPERATIONS EMERGENCIES AND DISASTER RESPONSES. THEY PROVIDE WARMTH AND REST DURING LONG DEPLOYMENTS HELPING REDUCE FATIGUE MAINTAIN READINESS AND ENSURE DEPUTIES CAN CONTINUE TO OPERATE SAFELY AND EFFECTIVELY WHEN AWAY FROM STANDARD FACILITIES.</t>
  </si>
  <si>
    <t>2YTG1760583642</t>
  </si>
  <si>
    <t>A RUCKSACK IS NECESSARY FOR THE SHERIFFS DEPARTMENT TO CARRY ESSENTIAL GEAR DURING SEARCH OPERATIONS DISASTER RESPONSE AND EXTENDED FIELD ASSIGNMENTS. IT ALLOWS DEPUTIES TO TRANSPORT MEDICAL SUPPLIES COMMUNICATION EQUIPMENT AND SURVIVAL ITEMS HANDS FREE. THIS IMPROVES MOBILITY READINESS AND OVERALL OPERATIONAL EFFECTIVENESS IN DEMANDING ENVIRONMENTS.</t>
  </si>
  <si>
    <t>2YTG1760442614</t>
  </si>
  <si>
    <t>KNEE,PAD</t>
  </si>
  <si>
    <t>KNEE PADS ARE NECESSARY FOR THE SHERIFFS DEPARTMENT TO PROTECT DEPUTIES FROM INJURY DURING SEARCHES ARRESTS AND TACTICAL OPERATIONS. THEY REDUCE STRAIN AND IMPACT WHEN KNEELING ON HARD OR UNEVEN SURFACES IMPROVING OFFICER SAFETY PREVENTING INJURIES AND ALLOWING DEPUTIES TO PERFORM DUTIES EFFECTIVELY IN THE FIELD.</t>
  </si>
  <si>
    <t>2YTG1760442612</t>
  </si>
  <si>
    <t>CARRIER,SLEEP SYSTE</t>
  </si>
  <si>
    <t>A CARRIER SLEEP SYSTEM IS NECESSARY FOR THE SHERIFFS DEPARTMENT TO SUPPORT DEPUTIES DURING EXTENDED OPERATIONS EMERGENCIES AND DISASTER RESPONSES. IT ALLOWS PERSONNEL TO REST SAFELY AND REMAIN OPERATIONAL DURING LONG DEPLOYMENTS IMPROVING READINESS REDUCING FATIGUE AND ENSURING DEPUTIES CAN CONTINUE TO SERVE THE PUBLIC EFFECTIVELY.</t>
  </si>
  <si>
    <t>2YTG1760442623</t>
  </si>
  <si>
    <t>A FIELD PACK IS NECESSARY FOR THE SHERIFFS DEPARTMENT TO ALLOW DEPUTIES TO CARRY ESSENTIAL EQUIPMENT MEDICAL SUPPLIES AND TOOLS DURING PATROLS AND EMERGENCY RESPONSES. IT IMPROVES ORGANIZATION MOBILITY AND READINESS ENSURING CRITICAL GEAR IS READILY ACCESSIBLE WHILE ENHANCING OFFICER SAFETY AND OPERATIONAL EFFICIENCY IN THE FIELD.</t>
  </si>
  <si>
    <t>2YTG1760442608</t>
  </si>
  <si>
    <t>2YTG1753539571</t>
  </si>
  <si>
    <t>BAG,BARRACKS</t>
  </si>
  <si>
    <t>BARRACKS BAGS ARE NECESSARY TO SECURELY STORE AND TRANSPORT DEPUTIES UNIFORMS, GEAR, AND PERSONAL EQUIPMENT DURING TRAINING, DEPLOYMENTS, AND EMERGENCY OPERATIONS. THEY HELP MAINTAIN ORGANIZATION, PROTECT ISSUED EQUIPMENT, AND SUPPORT READINESS AND EFFICIENCY IN SHERIFFS DEPARTMENT OPERATIONS.</t>
  </si>
  <si>
    <t>2YTG1753539572</t>
  </si>
  <si>
    <t>FIELD PACKS ARE NECESSARY TO CARRY ESSENTIAL EQUIPMENT, MEDICAL SUPPLIES, AND OPERATIONAL GEAR DURING PATROLS, SEARCHES, AND EMERGENCY RESPONSES. THEY IMPROVE MOBILITY, ORGANIZATION, AND READINESS, ALLOWING DEPUTIES TO OPERATE EFFECTIVELY AND SAFELY IN THE FIELD.</t>
  </si>
  <si>
    <t>2YTG1753539565</t>
  </si>
  <si>
    <t>SLEEPING BAGS ARE NECESSARY TO SUPPORT DEPUTIES DURING EXTENDED OPERATIONS, EMERGENCY RESPONSES, AND DISASTER SITUATIONS WHERE REST FACILITIES ARE UNAVAILABLE. THEY ENSURE PERSONNEL CAN SAFELY REST, REMAIN ALERT, AND MAINTAIN OPERATIONAL READINESS, DIRECTLY SUPPORTING OFFICER SAFETY, WELLNESS, AND EFFECTIVE PUBLIC SERVICE.</t>
  </si>
  <si>
    <t>2YTG1760372057</t>
  </si>
  <si>
    <t>FIELD PACKS ARE ESSENTIAL FOR SHERIFFS DEPARTMENT PERSONNEL TO SAFELY CARRY MISSION-CRITICAL EQUIPMENT DURING PATROLS, SEARCHES, TRANSPORTS, AND EMERGENCY RESPONSES. THEY ALLOW ORGANIZED STORAGE OF MEDICAL SUPPLIES, PROTECTIVE GEAR, AND TOOLS, IMPROVING MOBILITY AND READINESS. PROPER FIELD PACKS ENHANCE OFFICER SAFETY, EFFICIENCY, AND SUSTAINED OPERATIONS IN THE FIELD.</t>
  </si>
  <si>
    <t>2YTG1760160613</t>
  </si>
  <si>
    <t>THIS FIELD PACK WILL PROVIDE DEPUTIES WITH A STANDARDIZED, DURABLE MEANS TO CARRY MISSION-ESSENTIAL EQUIPMENT DURING WARRANT SERVICE, PRISONER TRANSPORT, COURT SECURITY, AND EMERGENCY RESPONSE OPERATIONS. THE PACK IMPROVES OFFICER SAFETY AND EFFICIENCY BY ALLOWING RAPID ACCESS TO MEDICAL GEAR, COLD-WEATHER EQUIPMENT, AND OPERATIONAL TOOLS WHILE REDUCING RELIANCE ON UNSECURED LOOSE EQUIPMENT.</t>
  </si>
  <si>
    <t>2YTG1760433412</t>
  </si>
  <si>
    <t>FIELD PACKS ARE ESSENTIAL FOR DEPUTIES TO SAFELY AND EFFICIENTLY CARRY CRITICAL EQUIPMENT SUCH AS FIRST AID SUPPLIES, COMMUNICATION DEVICES, PROTECTIVE GEAR, AND DOCUMENTATION MATERIALS. A DURABLE FIELD PACK IMPROVES MOBILITY, ORGANIZATION, AND RAPID RESPONSE DURING PATROLS, SEARCH OPERATIONS, EMERGENCIES, AND EXTENDED DEPLOYMENTS, ENSURING DEPUTIES REMAIN PREPARED IN THE FIELD.</t>
  </si>
  <si>
    <t>2YTG1760443413</t>
  </si>
  <si>
    <t>PADS,KNEE</t>
  </si>
  <si>
    <t>KNEE PADS ARE NECESSARY TO PROTECT DEPUTIES FROM INJURY DURING SEARCHES, ARRESTS, TACTICAL OPERATIONS, AND TRAINING EXERCISES THAT REQUIRE KNEELING ON HARD OR UNEVEN SURFACES. THEY REDUCE STRAIN AND LONG-TERM JOINT DAMAGE, IMPROVE STABILITY, AND ENHANCE SAFETY AND PERFORMANCE IN THE FIELD, HELPING MAINTAIN DEPUTY READINESS AND REDUCE WORKERS COMPENSATION CLAIMS.</t>
  </si>
  <si>
    <t>2YTG1760513152</t>
  </si>
  <si>
    <t>CARRIER, ENTRENCHING</t>
  </si>
  <si>
    <t>2YTG1760513153</t>
  </si>
  <si>
    <t>2YTG1760513156</t>
  </si>
  <si>
    <t>2YTG1760513157</t>
  </si>
  <si>
    <t>2YTG1760513158</t>
  </si>
  <si>
    <t>2YTG1760583761</t>
  </si>
  <si>
    <t>2YTG1760583762</t>
  </si>
  <si>
    <t>2YTG1760583763</t>
  </si>
  <si>
    <t>2YTG1760583765</t>
  </si>
  <si>
    <t>2YTG1760020094</t>
  </si>
  <si>
    <t>DSSIGN000</t>
  </si>
  <si>
    <t>SIGNS, AD DISPLAYS, AND ID PLATES</t>
  </si>
  <si>
    <t>SIGNS AND DISPLAY MATERIALS IS NECESSARY TO CLEARLY COMMUNICATE SAFETY INFORMATION, DIRECTIONS, AND DEPARTMENT MESSAGING TO THE PUBLIC AND STAFF. PROPER SIGNAGE ENHANCES SECURITY, IMPROVES COMPLIANCE, SUPPORTS EMERGENCY RESPONSE, AND PRESENTS A PROFESSIONAL IMAGE, HELPING THE SHERIFFS DEPARTMENT OPERATE SAFELY, EFFICIENTLY, AND TRANSPARENTLY.</t>
  </si>
  <si>
    <t>MONONGAHELA POLICE DEPARTMENT (2YTSZY)</t>
  </si>
  <si>
    <t>2YTSZY60513489</t>
  </si>
  <si>
    <t>REQUESTING THIS ITEM FOR BOTH SWAT AND PATROL HIGH RISK OPERATIONS. I ACKNOWLEDGE CONDITION AND PICK UP RESPONSIBILITIES.</t>
  </si>
  <si>
    <t>2YTSZY60372726</t>
  </si>
  <si>
    <t>REQUESTING THESE DEVICES TO OUTFIT FOR USE WITH OUR TIER 2 REGIONAL SWAT NTOA TEAM TO SUPPLEMENT OUR RECENT NIGHT VISION GOGGLE PURCHASE. I ACKNOWLEDGE CONDITION AND SHIPPING RESPONSIBILITIES.</t>
  </si>
  <si>
    <t>2YTSZY60513180</t>
  </si>
  <si>
    <t>REQUESTING THIS ITEM FOR USE WITH SNIPER SYSTEMS CURRENT EMPLOYED FOR SWAT OPERATIONS. I ACKNOWLEDGE CONDITION AND SHIPPING AND RECEIVING RESPONSIBILITIES.</t>
  </si>
  <si>
    <t>STATE POLICE DEPT (2YTJA9)</t>
  </si>
  <si>
    <t>2YTJA953538962</t>
  </si>
  <si>
    <t>TRAILER TO HAUL SNOWMOBILES OBTAINED THROUGH DLA FOR USE DURING EMERGENCIES IN SNOW CONDITIONS</t>
  </si>
  <si>
    <t>2YTJA960301475</t>
  </si>
  <si>
    <t>TRAILER TO BE USED TO HAIL SNOWMOBILE OBTAINED THROUGH DLA RTD FOR USE DURING HIGH RISK OPERATIONS IN EXTREME SNOW ENVIRONMENTS</t>
  </si>
  <si>
    <t>2YTJA960029731</t>
  </si>
  <si>
    <t>UTILITY VEHICLE FOR USE BY PA STATE POLICE TACTICAL TEAM</t>
  </si>
  <si>
    <t>2YTJA960302092</t>
  </si>
  <si>
    <t>PSP WILL USE THESE FOR EYE PROTECTION DURING HIGH RISK WARRANT SERVICES AND BARRICADED GUN MEN CALLS.</t>
  </si>
  <si>
    <t>2YTJA960725430</t>
  </si>
  <si>
    <t>PSP WILL USE THESE FOR SERT TEAM MEMBERS VEHICLE MAINTENANCE.</t>
  </si>
  <si>
    <t>2YTJA960725432</t>
  </si>
  <si>
    <t>WRENCH,TORQUE</t>
  </si>
  <si>
    <t>2YTJA960654428</t>
  </si>
  <si>
    <t>PSP WILL USE THESE FOR VEHICLE MAINTENANCE ON OUR SIDE BY SIDE ATV.S.</t>
  </si>
  <si>
    <t>2YTJA953468450</t>
  </si>
  <si>
    <t>TOOLS SET TO BE USED BY PA STATE POLICE PERSONNEL TO MAINTAIN MISSION CRITICAL EQUIPMENT</t>
  </si>
  <si>
    <t>2YTJA953468451</t>
  </si>
  <si>
    <t>2YTJA960371940</t>
  </si>
  <si>
    <t>PSP WILL USE THESE FOR COLD WEATHER HIGH RISK WARRANT SERVICES.</t>
  </si>
  <si>
    <t>2YTJA960583603</t>
  </si>
  <si>
    <t>PSP WILL USE THESE FOR COLD WEATHER HIGH RISK INCIDENTS.</t>
  </si>
  <si>
    <t>2YTJA960583609</t>
  </si>
  <si>
    <t>2YTJA960583614</t>
  </si>
  <si>
    <t>2YTJA960583622</t>
  </si>
  <si>
    <t>2YTJA960583625</t>
  </si>
  <si>
    <t>2YTJA960583630</t>
  </si>
  <si>
    <t>2YTJA960583633</t>
  </si>
  <si>
    <t>2YTJA960583639</t>
  </si>
  <si>
    <t>2YTJA960583641</t>
  </si>
  <si>
    <t>2YTJA960583644</t>
  </si>
  <si>
    <t>2YTJA960583650</t>
  </si>
  <si>
    <t>2YTJA960583656</t>
  </si>
  <si>
    <t>2YTJA960583661</t>
  </si>
  <si>
    <t>2YTJA960583662</t>
  </si>
  <si>
    <t>2YTJA960583617</t>
  </si>
  <si>
    <t>2YTJA960372192</t>
  </si>
  <si>
    <t>PSP WILL USE THESE FOR COLD WEATHER OPERATIONS WHEN CONDUCTING HIGH RISK WARRANT SERVICES.</t>
  </si>
  <si>
    <t>2YTJA960371944</t>
  </si>
  <si>
    <t>PSP WILL USE FOR TACTICAL TEAM MEMBERS CONDUCTING HIGH RISK WARRANT SERVICES.</t>
  </si>
  <si>
    <t>2YTJA960371954</t>
  </si>
  <si>
    <t>2YTJA960372194</t>
  </si>
  <si>
    <t>PSP WILL USE THESE DURING COLD WEATHER HIGH RISK WARRANT SERVICES.</t>
  </si>
  <si>
    <t>2YTJA960211485</t>
  </si>
  <si>
    <t>PSP WILL USE THESE ITEMS WHEN CONDUCTING HIGH RISK WARRANT SERVICES IN WET WEATHER CONDITIONS.</t>
  </si>
  <si>
    <t>2YTJA960211486</t>
  </si>
  <si>
    <t>2YTJA960211487</t>
  </si>
  <si>
    <t>2YTJA960211488</t>
  </si>
  <si>
    <t>2YTJA960211489</t>
  </si>
  <si>
    <t>2YTJA960211490</t>
  </si>
  <si>
    <t>2YTJA953539008</t>
  </si>
  <si>
    <t>PSP WILL USE THIS ITEM FOR COLD WEATHER WARRANT SERVICES.</t>
  </si>
  <si>
    <t>2YTJA953539010</t>
  </si>
  <si>
    <t>2YTJA953539011</t>
  </si>
  <si>
    <t>2YTJA953539016</t>
  </si>
  <si>
    <t>2YTJA953539017</t>
  </si>
  <si>
    <t>2YTJA953539018</t>
  </si>
  <si>
    <t>2YTJA953539171</t>
  </si>
  <si>
    <t>PSP WILL USE THESE ITEMS FOR COLD WEATHER OPERATIONS DURING HIGH RISK WARRANT SERVICES.</t>
  </si>
  <si>
    <t>2YTJA953539173</t>
  </si>
  <si>
    <t>2YTJA953539174</t>
  </si>
  <si>
    <t>2YTJA960654299</t>
  </si>
  <si>
    <t>2YTJA960654300</t>
  </si>
  <si>
    <t>2YTJA960654301</t>
  </si>
  <si>
    <t>2YTJA960654303</t>
  </si>
  <si>
    <t>2YTJA960654304</t>
  </si>
  <si>
    <t>2YTJA960654281</t>
  </si>
  <si>
    <t>2YTJA960654287</t>
  </si>
  <si>
    <t>2YTJA960725297</t>
  </si>
  <si>
    <t>PSP WILL USE THIS ITEM FOR COLD WEATHER OPERATIONS WHILE CONDUCTING HIGH RISK WARRANT SERVICES.</t>
  </si>
  <si>
    <t>2YTJA960725298</t>
  </si>
  <si>
    <t>2YTJA960725299</t>
  </si>
  <si>
    <t>2YTJA960725300</t>
  </si>
  <si>
    <t>2YTJA960725301</t>
  </si>
  <si>
    <t>2YTJA960725302</t>
  </si>
  <si>
    <t>2YTJA960725303</t>
  </si>
  <si>
    <t>2YTJA960725304</t>
  </si>
  <si>
    <t>2YTJA960725305</t>
  </si>
  <si>
    <t>2YTJA960725306</t>
  </si>
  <si>
    <t>2YTJA960725307</t>
  </si>
  <si>
    <t>2YTJA960725308</t>
  </si>
  <si>
    <t>2YTJA960725310</t>
  </si>
  <si>
    <t>2YTJA960725312</t>
  </si>
  <si>
    <t>2YTJA960725313</t>
  </si>
  <si>
    <t>2YTJA960725314</t>
  </si>
  <si>
    <t>2YTJA960654276</t>
  </si>
  <si>
    <t>2YTJA960654277</t>
  </si>
  <si>
    <t>2YTJA960654278</t>
  </si>
  <si>
    <t>2YTJA960654279</t>
  </si>
  <si>
    <t>2YTJA960654280</t>
  </si>
  <si>
    <t>2YTJA960654283</t>
  </si>
  <si>
    <t>2YTJA960654285</t>
  </si>
  <si>
    <t>2YTJA960654286</t>
  </si>
  <si>
    <t>2YTJA960654289</t>
  </si>
  <si>
    <t xml:space="preserve">PSP WILL USE THESE FOR COLD WEATHER HIGH RISK INCIDENTS.  
</t>
  </si>
  <si>
    <t>2YTJA960654290</t>
  </si>
  <si>
    <t>2YTJA960654291</t>
  </si>
  <si>
    <t>2YTJA960654294</t>
  </si>
  <si>
    <t>2YTJA960654295</t>
  </si>
  <si>
    <t>2YTJA960654296</t>
  </si>
  <si>
    <t>2YTJA960654298</t>
  </si>
  <si>
    <t>2YTJA960583587</t>
  </si>
  <si>
    <t>2YTJA960583588</t>
  </si>
  <si>
    <t>2YTJA960583589</t>
  </si>
  <si>
    <t>2YTJA960583591</t>
  </si>
  <si>
    <t>2YTJA960583592</t>
  </si>
  <si>
    <t>2YTJA960583594</t>
  </si>
  <si>
    <t>2YTJA960583595</t>
  </si>
  <si>
    <t>2YTJA960583597</t>
  </si>
  <si>
    <t>2YTJA960583599</t>
  </si>
  <si>
    <t>2YTJA960583600</t>
  </si>
  <si>
    <t>2YTJA960654455</t>
  </si>
  <si>
    <t>BOOTS,EXTREME COLD WEATHER</t>
  </si>
  <si>
    <t>PSP WILL USE THESE FOR COLD WEATHER OPERATIONS</t>
  </si>
  <si>
    <t>2YTJA960654453</t>
  </si>
  <si>
    <t>2YTJA960654451</t>
  </si>
  <si>
    <t>BOOTS,EXTREME COLD</t>
  </si>
  <si>
    <t>2YTJA960654447</t>
  </si>
  <si>
    <t>2YTJA960654443</t>
  </si>
  <si>
    <t>2YTJA960725311</t>
  </si>
  <si>
    <t>2YTJA960654440</t>
  </si>
  <si>
    <t>2YTJA960654437</t>
  </si>
  <si>
    <t>2YTJA960654435</t>
  </si>
  <si>
    <t>2YTJA960654431</t>
  </si>
  <si>
    <t>2YTJA960654442</t>
  </si>
  <si>
    <t>2YTJA953398507</t>
  </si>
  <si>
    <t>COVER,BIVY</t>
  </si>
  <si>
    <t>BIVY COVERS TO BE USED AS WET WEATHER PROTECTION DURING HIGH RISK INCIDENTS IN INCLEMENT WEATHER</t>
  </si>
  <si>
    <t>2YTJA953398506</t>
  </si>
  <si>
    <t>SLEEPING BAGS TO BE USED BY PA STATE POLICE TACTICAL TEAM MEMBERS FOR INSULATION DURING PROLONGED HIGH RISK INCIDENTS IN INCLEMENT WEATHER</t>
  </si>
  <si>
    <t>2YTJA960372190</t>
  </si>
  <si>
    <t>BAG,CLOTHING</t>
  </si>
  <si>
    <t>PSP WILL USE THESE TO KEEP SENSITIVE ITEMS DRY DURING INCLEMENT WEATHER.</t>
  </si>
  <si>
    <t>2YTJA960442825</t>
  </si>
  <si>
    <t>SLEEPING BAGS FOR PA STATE POLICE TACTICAL TEAM MEMBERS TO USE DURING EXTENDED HIGH RISK INCIDENTS IN INCLEMENT WEATHER</t>
  </si>
  <si>
    <t>2YTJA960442824</t>
  </si>
  <si>
    <t>2YTJA960725404</t>
  </si>
  <si>
    <t>BAG,DEPLOYMENT,GN</t>
  </si>
  <si>
    <t>PSP WILL USE THESE FOR GEAR STORAGE THAT IS USED DURING HIGH RISK WARRANT SERVICES.</t>
  </si>
  <si>
    <t>2YTJA960725403</t>
  </si>
  <si>
    <t>2YTJA960725402</t>
  </si>
  <si>
    <t>2YTJA960725401</t>
  </si>
  <si>
    <t>2YTJA960725399</t>
  </si>
  <si>
    <t>2YTJA960725400</t>
  </si>
  <si>
    <t>SC</t>
  </si>
  <si>
    <t>AIKEN PUBLIC SAFETY DEPT (2YTACL)</t>
  </si>
  <si>
    <t>2YTACL60513256</t>
  </si>
  <si>
    <t>AIKEN PUBLIC SAFETY OFFICERS WILL USE THIS CARGO TRUCK TO MOVE HEAVY BARRIERS FOR PUBLIC EVENTS AS WELL AS HEAVY TRAINING PROPS.</t>
  </si>
  <si>
    <t>CHARLESTON COUNTY SHERIFF OFFICE (2YTB7Z)</t>
  </si>
  <si>
    <t>2YTB7Z53609424</t>
  </si>
  <si>
    <t>HIGHWATER VEHICLE REQUESTED BY CHARLESTON COUNTY SHERIFF'S OFFICE, FOR USE BY CHARLESTON COUNTY SHERIFF'S OFFICE DEPUTIES, FOR RESCUE OPERATIONS WITHIN FLOOD-PRONE AREAS.</t>
  </si>
  <si>
    <t>COASTAL CAROLINA UNIV POLICE HI ED (2YTCLU)</t>
  </si>
  <si>
    <t>2YTCLU60090667</t>
  </si>
  <si>
    <t>STORAGE RACKS REQUESTED BY COASTAL CAROLINA UNIVERSITY, FOR USE BY CCUPD OFFICERS, FOR WEAPONS STORAGE.</t>
  </si>
  <si>
    <t>2YTCLU60090614</t>
  </si>
  <si>
    <t>SIGHT REQUESTED BY COASTAL CAROLINA UNIVERSITY POLICE, TO BE USED BY CCUPD OFFICERS, FOR TARGET ACQUISITION.</t>
  </si>
  <si>
    <t>2YTCLU60090619</t>
  </si>
  <si>
    <t>2YTCLU60090615</t>
  </si>
  <si>
    <t>2YTCLU60090616</t>
  </si>
  <si>
    <t>2YTCLU60090618</t>
  </si>
  <si>
    <t>2YTCLU60080668</t>
  </si>
  <si>
    <t>LIGHT SET REQUESTED BY COASTAL CAROLINA UNIVERSITY POLICE, FOR USE BY CCUPD OFFICERS, FOR AUXILIARY LIGHTING.</t>
  </si>
  <si>
    <t>2YTCLU60584528</t>
  </si>
  <si>
    <t>TRAFFIC SIGNAL SYSTEM REQUESTED BY COASTAL CAROLINA UNIVERSITY POLICE, FOR USE BY CCUPD OFFICERS, FOR TRAFFIC ENFORCEMENT.</t>
  </si>
  <si>
    <t>2YTCLU53539345</t>
  </si>
  <si>
    <t>DEFIBRILLATOR REQUESTED BY COASTAL CAROLINA UNIVERSITY POLICE, FOR USE BY CCUPD OFFICERS, FOR MEDICAL EMERGENCIES.</t>
  </si>
  <si>
    <t>2YTCLU60584524</t>
  </si>
  <si>
    <t>TRAINING AIDS REQUESTED BY COASTAL CAROLINA UNIVERSITY POLICE, FOR USE BY CCUPD OFFICERS, FOR FIREARMS TRAINING.</t>
  </si>
  <si>
    <t>2YTCLU53609239</t>
  </si>
  <si>
    <t>SHIPPING AND STORAGE REQUESTED BY COASTAL CAROLINA UNIVERSITY POLICE, FOR USE BY CCUPD OFFICERS, FOR STORING ELECTRONIC EQUIPMENT.</t>
  </si>
  <si>
    <t>2YTCLU60160621</t>
  </si>
  <si>
    <t>INSERT,INDIVIDUAL F</t>
  </si>
  <si>
    <t>INSERT REQUESTED BY COASTAL CAROLINA UNIVERSITY POLICE, TO BE USED BY CCUPD OFFICERS, TO BUILD IFAKS.</t>
  </si>
  <si>
    <t>DILLON COUNTY SHERIFF OFFICE (2YTDCS)</t>
  </si>
  <si>
    <t>2YTDCS60654744</t>
  </si>
  <si>
    <t>STRAP CUTTER,RESCUE</t>
  </si>
  <si>
    <t>THE DILLON COUNTY SHERIFF'S OFFICE WILL ISSUE THESE ITEMS TO PATROL DEPUTIES WHO REGULARLY RESPOND TO MOTOR VEHICLE ACCIDENTS WHERE THEY ASSIST IN EXTRACTION OF INJURED PARTIES</t>
  </si>
  <si>
    <t>2YTDCS60795845</t>
  </si>
  <si>
    <t>THE DILLON COUNTY SHERIFF'S OFFICE WILL UTILIZE THESE ITEMS BY ISSUING THEM TO PATROL DEPUTIES. SHOVELS IN PATROL VEHICLES PROVIDE OFFICERS WITH A SIMPLE BUT CRITICAL TOOL FOR MAINTAINING MOBILITY AND RESPONDING EFFECTIVELY TO EMERGENCIES. THEY WILL BE USED TO FREE VEHICLES STUCK IN MUD, SAND, OR DEBRIS, AND TO QUICKLY CLEAR ROADWAY HAZARDS FOLLOWING CRASHES, STORMS, OR OTHER INCIDENTS.</t>
  </si>
  <si>
    <t>2YTDCS60584152</t>
  </si>
  <si>
    <t>THE DILLON COUNTY SHERIFF'S OFFICE WILL UTILIZE THESE ITEMS FOR FLEET MAINTENANCE</t>
  </si>
  <si>
    <t>2YTDCS60795849</t>
  </si>
  <si>
    <t>THE DILLON COUNTY SHERIFF'S OFFICE WILL UTILIZE THESE ITEMS BY ISSUING THEM TO ROAD DEPUTIES. THE FUEL CONTAINER WILL ALLOW OFFICERS TO ASSIST MEMBERS OF THE PUBLIC WHO BECOME STRANDED DUE TO EMPTY FUEL TANKS. THIS CAPABILITY IS PARTICULARLY IMPORTANT DURING SEVERE WEATHER EVENTS, DISASTERS, ROADWAY CLOSURES, OR OTHER EMERGENCIES WHEN FUEL ACCESS MAY BE TEMPORARILY DISRUPTED.</t>
  </si>
  <si>
    <t>2YTDCS60634865</t>
  </si>
  <si>
    <t>THE DILLON COUNTY SHERIFF'S OFFICE WILL UTILIZE THESE ITEMS FOR DEPUTIES TO STORE EQUIPMENT IN THEIR PATROL VEHICLE. EQUIPMENT WILL BE FOR EMERGENCY RESPONSE, MEDICAL INCIDENTS, AND CRIME SCENE PROCESSING</t>
  </si>
  <si>
    <t>EASLEY PD (2YTQ73)</t>
  </si>
  <si>
    <t>2YTQ7353609645</t>
  </si>
  <si>
    <t>FOR EASLEY POLICE DEPARTMENT, FOR USE BY EASLEY POLICE OFFICERS DURING LOW LIGHT OPERATIONS TO HELP ENHANCE OFFICER SAFETY IN POTENTIALLY KINETIC ENVIRONMENTS TO PROPERLY IDENTIFY SUSPECTS, BYSTANDERS, AND FRIENDLY PERSONNEL.</t>
  </si>
  <si>
    <t>2YTQ7353609649</t>
  </si>
  <si>
    <t>2YTQ7360029747</t>
  </si>
  <si>
    <t>MOUNT,VIEWER</t>
  </si>
  <si>
    <t>2YTQ7360029748</t>
  </si>
  <si>
    <t>2YTQ7360090025</t>
  </si>
  <si>
    <t>FOR EASLEY POLICE DEPARTMENT, FOR USE BY EASLEY POLICE OFFICERS DURING DAILY OPERATIONS AND TACTICAL OPERATIONS TO HELP ENHANCE NOT ONLY OFFICER SAFETY IN POTENTIALLY KINETIC ENVIRONMENTSBUT ALSO PROVIDE THE ABILITY TO BETTER POSITIVELY IDENTIFY BYSTANDERS, SUSPECTS, AND FRIENDLY PERSONNEL.</t>
  </si>
  <si>
    <t>2YTQ7360029728</t>
  </si>
  <si>
    <t>2YTQ7360029809</t>
  </si>
  <si>
    <t>2YTQ7360029840</t>
  </si>
  <si>
    <t>FOR EASLEY POLICE DEPARTMENT, FOR USE BY EASLEY POLICE OFFICERS DURING DAILY OPERATIONS AND TACTICAL OPERATIONS TO HELP ENHANCE OFFICER SAFETY IN POTENTIALLY KINETIC ENVIRONMENTS AND PROVIDE LIFE SAVING RESOURCES.</t>
  </si>
  <si>
    <t>LORIS POLICE DEPARTMENT (2YTGXY)</t>
  </si>
  <si>
    <t>2YTGXY60160540</t>
  </si>
  <si>
    <t>THE ITEM IS REQUESTED BY THE LPD, FOR THE USE BY THE SWORN LEO'S. DURING LARGE SPECIAL EVENTS THESE TYPES OF VEHICLES ARE KEY TO PROVIDE FASTER LE ASSISTANCE AND LIFE-SAVING AID. BUDGETARY CONSTRAINTS DO NOT ALLOW FOR THE PURCHASE OF THESE ITEMS.</t>
  </si>
  <si>
    <t>2YTGXY60513251</t>
  </si>
  <si>
    <t>THE ITEMS ARE REQUESTED BY THE LORIS POLICE DEPARTMENT, FOR THE USE BY THE SWORN LAW ENFORCEMENT OFFICERS WHILE ON-DUTY WITH THE LORIS POLICE DEPART DURING DAILY OPERATIONS MISSIONS, EMERGENCY, AND DISASTER OPERATIONS IN DIRECT SUPPORT OF OFFICIAL LAW ENFORCEMENT DUTIES. WE UNDERSTAND THAT THESE KITS MAY COME INCOMPLETE, THEREFORE WE'VE REQUESTED MULTIPLE IN AN EFFORT TO CREATE ONE COMPLETE SET</t>
  </si>
  <si>
    <t>2YTGXY60160597</t>
  </si>
  <si>
    <t>KITCHEN,COMPANY LEVEL,FIELD FEEDING</t>
  </si>
  <si>
    <t>THE ITEMS ARE REQUESTED BY THE LORIS POLICE DEPARTMENT, FOR THE USE BY THE SWORN LAW ENFORCEMENT OFFICERS WHILE ON-DUTY WITH THE LORIS POLICE DEPART IN DIRECT SUPPORT OF SPECIAL EVENTS.</t>
  </si>
  <si>
    <t>NORTH MYRTLE BEACH PD (2YT1PG)</t>
  </si>
  <si>
    <t>2YT1PG60371926</t>
  </si>
  <si>
    <t>DSCOMPRE1</t>
  </si>
  <si>
    <t>COMPRESSOR, AIR</t>
  </si>
  <si>
    <t>REQUESTED BY NORTH MYRTLE BEACH POLICE DEPARTMENT FOR USE BY NMB POLICE OFFICERS TO ENSURE PROPER PATROL VEHICLE TIRE PRESSURE.</t>
  </si>
  <si>
    <t>2YT1PG60301578</t>
  </si>
  <si>
    <t>REQUESTED BY NORTH MYRTLE BEACH POLICE DEPARTMENT FOR USE BY NMB POLICE OFFICERS IN OUR AGENCY GYM FOR OFFICERS TO MAINTAIN PHYSICAL FITNESS STANDARDS.</t>
  </si>
  <si>
    <t>ORANGEBURG COUNTY SHERIFF DEPT (2YT15H)</t>
  </si>
  <si>
    <t>2YT15H53539057</t>
  </si>
  <si>
    <t>BATTERY,STORAGE</t>
  </si>
  <si>
    <t>REQUESTED BY THE ORANGEBURG COUNTY SHERIFF'S OFFICE FOR USE BY ORANGEBURG COUNTY SHERIFF'S OFFICE DEPUTIES IN THE COURSE OF THEIR DUTIES DURING HIGH RISK AND CRISIS EVENTS.  THE REQUESTER IS AWARE THE ITEM IS OF PREVIOUS ISSUE AND HAS CONFIRMED CONDITION.</t>
  </si>
  <si>
    <t>PICKENS CITY POLICE DEPT (2YTJMC)</t>
  </si>
  <si>
    <t>2YTJMC60231064</t>
  </si>
  <si>
    <t>TO BE USED BY PICKENS POLICE DEPARTMENT BY PICKENS POLICE OFFICERS FOR OFFICIAL DUTY ON ISSUED WEAPONS FOR TRAINING AND SPECIAL RESPONSE TEAM.</t>
  </si>
  <si>
    <t>2YTJMC53609562</t>
  </si>
  <si>
    <t>TO BE USED BY PICKENS POLICE DEPARTMENT BY PICKENS POLICE OFFICERS FOR OFFICIAL LAW ENFORCEMENT PURPOSES.</t>
  </si>
  <si>
    <t>PICKENS CSO (2YTJL9)</t>
  </si>
  <si>
    <t>2YTJL960029973</t>
  </si>
  <si>
    <t>THE PICKENS COUNTY SHERIFF'S OFFICE SPECIAL OPERATIONS, ALONG WITH THE SWAT TEAM, IS ACQUIRING THIS ITEM TO IMPROVE SIGHT ACQUISITION AND POSITIVELY IDENTIFY TARGETS IN MULTIPLE ENVIRONMENTS AND APPLICATIONS WITHIN OUR DAILY DUTIES. I HAVE READ AND ACCEPTED THE CONDITION CODE H.</t>
  </si>
  <si>
    <t>YORK COUNTY SHERIFF OFFICE (2YTNZT)</t>
  </si>
  <si>
    <t>2YTNZT60160697</t>
  </si>
  <si>
    <t>THE YORK COUNTY SHERIFF'S OFFICE WILL BE ACQUIRING THIS PROPERTY. IT WILL BE USED ONLY BY LAW ENFORCEMENT OFFICERS FOR THE PURPOSES OF EYE PROTECTION WHILE ENGAGED IN TRAINING EXERCISES WHERE PROTECTIVE GEAR IS NEEDED.</t>
  </si>
  <si>
    <t>SD</t>
  </si>
  <si>
    <t>WATERTOWN POLICE DEPT (2YTNBW)</t>
  </si>
  <si>
    <t>2YTNBW60725086</t>
  </si>
  <si>
    <t>IM REQUESTING THESE NIGHT VISION GOGGLES TO BE RE UTILIZED IN A LAW ENFORCEMENT ROLE. THESE GOGGLES WILL BE USED FOR TRAINING AND DUTY PURPOSES IN ANY APPLICABLE LOW LIGHT SCENARIO. I HAVE REVIEWED THE ATTACHED PICTURES AND ACCEPT THEIR CONDITION.</t>
  </si>
  <si>
    <t>TN</t>
  </si>
  <si>
    <t>ADAMSVILLE POLICE DEPARTMENT (2YTP7K)</t>
  </si>
  <si>
    <t>2YTP7K60513546</t>
  </si>
  <si>
    <t>THE ADAMSVILLE POLICE DEPARTMENT WILL UTILIZE THIS VEHICLE IN OUR PATROL FLEET AS A VEHICLE THAT CAN BE USED BY OFFICERS TO TRAVEL BACK AND FORTH TO TRAINING AND TRAINING CONFERENCES</t>
  </si>
  <si>
    <t>2YTP7K60442771</t>
  </si>
  <si>
    <t>THE ADAMSVILLE POLICE DEPARTMENT WILL UTILIZE THIS VEHICLE, IN ADDITION TO OUR PATROL FLEET, TO TRAVEL TO AND FROM TRAINING EVENTS, TRAINING CONFERENCES, ETC. THIS VEHICLE WILL ALSO BE UTILIZED IN DRIVER AND OFFICER TRAINING SUCH AS EMERGENCY VEHICLE OPERATIONS TRAINING AND FIELD TRAINING.</t>
  </si>
  <si>
    <t>2YTP7K60725112</t>
  </si>
  <si>
    <t>THE ADAMSVILLE POLICE DEPARTMENT WILL UTILIZE THIS TRAILER TO HAUL, MOVE, AND TRANSPORT POLICE DEPARTMENT EQUIPMENT AND SUPPLIES TO AND FROM CRIME SCENES AND OTHER POLICE RELATED SCENES WITHOUT OUR JURISDICTION.</t>
  </si>
  <si>
    <t>2YTP7K60654556</t>
  </si>
  <si>
    <t>THE ADAMSVILLE POLICE DEPARTMENT WILL UTILIZE THIS VEHICLE DURING TIMES OF NATURAL DISASTER OR SIGNIFICANT WEATHER EVENTS TO MOVE AND CLEAR DEBRIS FROM AREAS WHERE ROADWAYS AND OTHER AREAS OF OUR JURISDICTION MAY BE OBSTRUCTED AND OTHERWISE IMPASSABLE SO THAT THESE AREAS CAN BE ACCESSED AND RESPONDED TO. HAVE COMMUNICATED WITH THE BASE ABOUT THE CONDITION OF THE VEHICLE.</t>
  </si>
  <si>
    <t>2YTP7K60654302</t>
  </si>
  <si>
    <t>THE ADAMSVILLE POLICE DEPARTMENT WILL UTILIZE THIS WHEELED TRAINING AID AS PART OF OUR DISTRACTED AND IMPAIRED DRIVING EDUCATION THAT OUR DEPARTMENT TEACHES TO OUR COMMUNITY.</t>
  </si>
  <si>
    <t>BAXTER POLICE DEPT (2YTAYQ)</t>
  </si>
  <si>
    <t>2YTAYQ60161014</t>
  </si>
  <si>
    <t xml:space="preserve">USE BY BAXTER POLICE DEPARTMENT PATROL ASSIGNED DUTIES TO TRANSPORT AND MOVE LESO ASSETS TO DISASTER RESPONSE LOCATIONS IN RURAL AREAS. ALSO TRANSPORT MOTOR UNIT TO LOCATIONS FOR ESCORT'S.THIS WILL REPLACE EXISTING RESOURCES THAT ARE BEYOND REPAIR AND MUST BE REPLACED. THERE IS CURRENTLY NO BUDGETARY FUNDS FOR SUCH ITEMS.
</t>
  </si>
  <si>
    <t>BRISTOL POLICE DEPT (2YTBJQ)</t>
  </si>
  <si>
    <t>2YTBJQ60795574</t>
  </si>
  <si>
    <t>DSSEDAN00</t>
  </si>
  <si>
    <t>SEDAN</t>
  </si>
  <si>
    <t>THE BRISTOL TENNESSEE POLICE DEPARTMENT WOULD USE THIS VEHICLE FOR NARCOTIC INVESTIGATIONS ASSIGNED TO AN UNDERCOVER DRUG ENFORCEMENT OFFICER. THE BASE STATES THE MALIBU IS OPERATIONAL.</t>
  </si>
  <si>
    <t>2YTBJQ60371997</t>
  </si>
  <si>
    <t>BUS,MOTOR</t>
  </si>
  <si>
    <t>THE BRISTOL POLICE DEPARTMENT WOULD USE THIS BUS IF NEEDED TO TRANSPORT LARGE GROUPS OF ARRESTED PEOPLE TO THE JAIL FROM RIOT OR PUBLIC DISTURBANCES. THE BASE STATES THE BUS IS OPERATIONAL.</t>
  </si>
  <si>
    <t>2YTBJQ60512382</t>
  </si>
  <si>
    <t>THE BRISTOL POLICE DEPARTMENT EXPLOSIVE ORDINANCE DISPOSAL UNIT WOULD UTILIZE THIS FOR OPERATIONS ON SUSPICIOUS PACKAGES OR POTENTIAL EXPLOSIVE DEVICE CALL OUTS.</t>
  </si>
  <si>
    <t>ELIZABETHTON POLICE DEPT (2YTDP2)</t>
  </si>
  <si>
    <t>2YTDP253609236</t>
  </si>
  <si>
    <t>DSHARADIO</t>
  </si>
  <si>
    <t>RECEIVER-TRANSMITTER, RADIO (HAND RADIO)</t>
  </si>
  <si>
    <t>THE ELIZABETHTON POLICE DEPARTMENT IS LOOKING FOR ADDITIONAL RADIOS FOR DUTY AND EMERGENCY USE, THESE RADIOS ARE COMPATIBLE WITH THE RADIOS USED BY OUR SCHOOL SYSTEM AND WILL ALLOW OFFICERS TO COMMUNICATE WITH THEM IN DAY TO DAY AND EMERGENCY SITUATIONS.</t>
  </si>
  <si>
    <t>FAIRVIEW POLICE DEPARTMENT (2YTDYH)</t>
  </si>
  <si>
    <t>2YTDYH60513290</t>
  </si>
  <si>
    <t>THE FAIRVIEW POLICE DEPARTMENT JUSTIFICATION NEED IS FOR LOADING AND UNLOADING EQUIPMENT PORTABLE GENERATORS, LIGHT TOWERS, AND PALLET MATERIAL FOR LARGE SCENE DISASTERS AND LONG-TERM COMMAND CENTERS.</t>
  </si>
  <si>
    <t>GAINESBORO POLICE DEPT (2YTEF6)</t>
  </si>
  <si>
    <t>2YTEF653468982</t>
  </si>
  <si>
    <t>WE WOULD LIKE TO START A DRONE PROGRAM FOR SAR DURING FLOODS AND TO HELP FIND INMATES THAT HAVE RUN OFF THIS WOULD BE USED BY LAW ENFORCEMENT ONLY WE HAVE ASK ABOUT THE G CODE AND IT IS FIXABLE AND WE WILL DO THAT</t>
  </si>
  <si>
    <t>GLEASON POLICE DEPT (2YTEMC)</t>
  </si>
  <si>
    <t>2YTEMC60724862</t>
  </si>
  <si>
    <t>THIS ITEM WILL ONLY BE USED BY THE GLEASON POLICE DEPARTMENT. THIS ITEM WOULD BE USED TO MOVE EQUIPMENT NEEDED DURING A NATURAL DISASTER. THIS ITEM WOULD BE USED TO LOAD GENERATORS ON TRAILER TO BE USED IN DIFFERENT LOCATIONS DURING A NATURAL DISASTER. HAVE MADE CONTACT WITH THE BASE.</t>
  </si>
  <si>
    <t>2YTEMC60654261</t>
  </si>
  <si>
    <t>THIS ITEM WILL ONLY BE USED BY THE GLEASON POLICE DEPARTMENT. THIS ITEM WILL BE USED TO HELP POWER LIGHTING FOR OUR CURRENT TRAINING FACILITY AND FUTURE PROJECTS. THIS ITEM WILL ALSO BE USED DURING TIMES OF NATURAL DISASTERS TO POWER DIFFERENT LOCATIONS AND POWER A WARMING CENTER.</t>
  </si>
  <si>
    <t>2YTEMC60583973</t>
  </si>
  <si>
    <t>QUADCON,FREIGHT,GENERAL PURPOSE</t>
  </si>
  <si>
    <t>THIS ITEM WILL ONLY BE USED BY THE GLEASON POLICE DEPARTMENT. THIS ITEM WILL BE USED AT THE TRAINING FACILITY TO STORE RANGE EQUIPMENT AND TARGETS FOR TRAINING. THIS ITEM WILL USED TO STORE EQUIPMENT THAT IS USED IN CASE OF NATURAL DISASTER.</t>
  </si>
  <si>
    <t>GREENE COUNTY SHERIFF'S DEPT (2YTET6)</t>
  </si>
  <si>
    <t>2YTET660442678</t>
  </si>
  <si>
    <t>DSWHEEL01</t>
  </si>
  <si>
    <t>VEHICLE WHEEL</t>
  </si>
  <si>
    <t>TIRES WILL BE USED BY THE GREENE COUNTY SHERIFFS DEPT. AS REPLACEMENTS TIRES FOR OUR MILITARY TRAILERS. HAVING A SPARE IN STOCK WILL QUICKLY HELP US FIX FLAT TIRES FAST.</t>
  </si>
  <si>
    <t>2YTET660301465</t>
  </si>
  <si>
    <t>WINDSHIELD WIPERS WILL BE USED BY THE FLEET DIVISION OF THE GREENE COUNTY SHERIFFS OFFICE TO REPLACE ON OUR MILITARY VEHICLES WHEN THEY BECOME WORN.</t>
  </si>
  <si>
    <t>2YTET660372761</t>
  </si>
  <si>
    <t>SEWING MACHINE,INDU</t>
  </si>
  <si>
    <t>SEWING MACHINE WILL BE USED BY THE GREENE COUNTY SHERIFFS OFFICE TO MEND OFFICERS UNIFORMS AND TO TAILOR OFFICERS UNIFORMS WHEN NEEDED.</t>
  </si>
  <si>
    <t>2YTET660301456</t>
  </si>
  <si>
    <t>CHAIN SAW WILL BE ISSUED TO THE PATROL DIVISION OF THE GREENE COUNTY SHERIFFS OFFICE TO USE WHEN NEED TO REMOVE TREES FROM THE ROADWAY DURING A STORM OR DISASTER.</t>
  </si>
  <si>
    <t>2YTET660301455</t>
  </si>
  <si>
    <t>2YTET660301468</t>
  </si>
  <si>
    <t>TRUCK,DOLLY</t>
  </si>
  <si>
    <t>TRUCK DOLLY WILL BE USED BY THE MAINTENANCE DIVISION OF THE GREENE COUNTY SHERIFFS OFFICE TO MOVE HEAVY ITEMS AROUND AND TO GET THEM ONTO A BOX TRUCK IF NEEDED.</t>
  </si>
  <si>
    <t>2YTET660512972</t>
  </si>
  <si>
    <t>ROPE WILL BE USED BY THE GREENE COUNTY SHERIFFS OFFICE TO ASSIST WITH RESCUE AND TO ROPE OFF AREAS WHERE WE DO NOT WANT THE GENERAL PUBLIC TO BE DURING AN EVENT OR CRIME SCENE.</t>
  </si>
  <si>
    <t>2YTET660301431</t>
  </si>
  <si>
    <t>SHACKLE WILL BE USED BY THE GREENE COUNTY SHERIFFS OFFICE TO SECURE LOADS WHEN WE PICKUP LESO EQUIPMENT.</t>
  </si>
  <si>
    <t>2YTET653609161</t>
  </si>
  <si>
    <t>PUMPER TRUCK WILL BE USED BY THE GREENE COUNTY SHERIFFS OFFICE TO WATER NEW GRASS ON THE BERMS OF OUR FIRING RANGE WHEN WE RESEED DUE TO NO WATER ACCESS BEING NEAR THE RANGE AREA. IT CAN BE USED TO REFILL OUR PORTABLE JOHNS AT THE FIRING RANGE WHEN THEIR EMPTIED ALONG WITH CONTROLLED BURNS OF THE RANGE AREA. DECALS WILL BE REMOVED IF AWARDED.</t>
  </si>
  <si>
    <t>2YTET660301469</t>
  </si>
  <si>
    <t>WETSUIT XXL EU NYLN</t>
  </si>
  <si>
    <t>WET SUITES WILL BE ASSIGNED TO THE DISASTER RESPONSE TRAILER OF THE GREENE COUNTY SHERIFFS OFFICE TO BE USED BY OFFICERS WHEN THEY ARE DEPLOYED ON A DISASTER.</t>
  </si>
  <si>
    <t>2YTET660231440</t>
  </si>
  <si>
    <t>FACESHIELD,INDUSTRI</t>
  </si>
  <si>
    <t>FACE SHIELDS WILL BE USED BY DEPUTIES OF THE GREENE COUNTY SHERIFFS OFFICE  WHEN DEALING WITH DANGEROUS DRUGS OR ANY OTHER MATERIAL THAT MAY BE DANGEROUS TO THE FACE AND EYES.</t>
  </si>
  <si>
    <t>2YTET660512977</t>
  </si>
  <si>
    <t>PUMP,CENTRIFUGAL</t>
  </si>
  <si>
    <t>TRASH PUMPS WILL BE USED BY THE MAINTENANCE DIVISION OF THE GREENE COUNTY SHERIFFS OFFICE TO PUMP OUT LIQUIDS FROM AREAS WHERE NEEDED. PRESENTLY WE RENT THESE PUMPS WHEN NEEDED SO THIS WILL SAVE MONEY BY HAVING OUR OWN.</t>
  </si>
  <si>
    <t>2YTET660301459</t>
  </si>
  <si>
    <t>FAUCET,LAVATORY</t>
  </si>
  <si>
    <t>LAVATORY FAUCETS WILL BE USED BY THE MAINTENANCE DIVISION OF THE GREENE COUNTY SHERIFFS OFFICE TO REPLACE OLD AND WORN FAUCETS IN OUR BUILDINGS.</t>
  </si>
  <si>
    <t>2YTET660442760</t>
  </si>
  <si>
    <t>WRENCH,ADJUSTABLE</t>
  </si>
  <si>
    <t>ADJUSTABLE WRENCH WILL BE USED BY THE FLEET DIVISION OF THE GREENE COUNTY SHERIFFS OFFICE TO WORK ON OUR VEHICLES AND EQUIPMENT. THIS WILL ALLOW THEM TO PERFORM NEEDED REPAIRS IN A TIMELY MANNER.</t>
  </si>
  <si>
    <t>2YTET660442758</t>
  </si>
  <si>
    <t>WRENCH,BOX AND OPEN END,COMBINATION</t>
  </si>
  <si>
    <t>WRENCHES WILL BE USED BY THE FLEET DIVISION OF THE GREENE COUNTY SHERIFFS OFFICE TO WORK ON OUR VEHICLES AND EQUIPMENT. THIS WILL ALLOW THEM TO PERFORM NEEDED REPAIRS IN A TIMELY MANNER.</t>
  </si>
  <si>
    <t>2YTET660442757</t>
  </si>
  <si>
    <t>PLIERS WILL BE USED BY THE FLEET DIVISION OF THE GREENE COUNTY SHERIFFS OFFICE TO WORK ON OUR VEHICLES AND EQUIPMENT. THIS WILL ALLOW THEM TO PERFORM NEEDED REPAIRS IN A TIMELY MANNER.</t>
  </si>
  <si>
    <t>2YTET660090024</t>
  </si>
  <si>
    <t>ELECTRICIANS TOOL KIT WILL BE USED BY THE MAINTENANCE DIVISION OF THE GREENE COUNTY SHERIFFS OFFICE TO MAKE REPAIRS TO ELECTRICAL PROBLEMS WITHIN OUR OFFICE AND BUILDINGS.</t>
  </si>
  <si>
    <t>2YTET660301432</t>
  </si>
  <si>
    <t>REFRIGERATION KIT WILL BE USED BY THE MAINTENANCE DIVISION OF THE GREENE COUNTY SHERIFFS OFFICE TO MAKE REPAIRS TO AC UNITS AND ANYTHING REQUIRING REFRIGERANT GAS.</t>
  </si>
  <si>
    <t>2YTET660442666</t>
  </si>
  <si>
    <t>DSSCREW00</t>
  </si>
  <si>
    <t>SCREWS, BOX</t>
  </si>
  <si>
    <t>SCREWS WILL BE USED BY THE MAINTENANCE DIVISION OF THE GREENE COUNTY SHERIFFS OFFICE TO MAKE REPAIRS AS NEEDED AT OUR FACILITY.</t>
  </si>
  <si>
    <t>2YTET660301454</t>
  </si>
  <si>
    <t>CLOTH,ABRASIVE</t>
  </si>
  <si>
    <t>ABRASIVE CLOTH WILL BE USED BY THE MAINTENANCE DIVISION OF THE GREENE COUNTY SHERIFFS DEPARTMENT TO CLEAN AND SAND PARTS.</t>
  </si>
  <si>
    <t>2YTET660301460</t>
  </si>
  <si>
    <t>BATTERY POWER SUPPL</t>
  </si>
  <si>
    <t>POWER SUPPLY WILL BE USED BY THE GREENE COUNTY SHERIFFS OFFICE TO SUPPLY POWER TO EQUIPMENT WHEN NEEDED DUE TO A DISASTER OR POWER OUTAGE.</t>
  </si>
  <si>
    <t>2YTET660301467</t>
  </si>
  <si>
    <t>DSDSKTPCM</t>
  </si>
  <si>
    <t>DESKTOP COMPUTER</t>
  </si>
  <si>
    <t>DESK TOP COMPUTER WILL BE USED BY THE IT DEPARTMENT OF THE GREENE COUNTY SHERIFFS OFFICE TO REPLACE WHEN A COMPUTER GOES OUT OR ENDS IT USEFUL LIFE.</t>
  </si>
  <si>
    <t>2YTET660301466</t>
  </si>
  <si>
    <t>DSOPTICAL</t>
  </si>
  <si>
    <t>OPTICAL MOUSE</t>
  </si>
  <si>
    <t>OPTICAL MOUSE WILL BE USED BY THE IT DEPARTMENT OF THE GREENE COUNTY SHERIFFS OFFICE TO REPLACE WHEN A COMPUTER MOUSE GOES BAD.</t>
  </si>
  <si>
    <t>2YTET660301453</t>
  </si>
  <si>
    <t>KEYBOARDS WILL BE USED BY THE IT DEPARTMENT OF THE  GREENE COUNTY SHERIFFS OFFICE TO REPLACE FAULTY KEYBOARDS WHEN THEY GO BAD.</t>
  </si>
  <si>
    <t>2YTET660301463</t>
  </si>
  <si>
    <t>FILING CABINETS WILL BE USED BY THE GREENE COUNTY SHERIFFS OFFICE TO FILE AWAY REPORTS SO WE CAN BE IN COMPLIANCE WITH STATE LAW ON THE RETENTION CYCLE.</t>
  </si>
  <si>
    <t>2YTET660231446</t>
  </si>
  <si>
    <t>DSOFFCEBX</t>
  </si>
  <si>
    <t>OFFICE SUPPLIES (BOX)</t>
  </si>
  <si>
    <t>OFFICE SUPPLIES WILL BE USED BY THE CLERICAL STAFF OF THE GREENE COUNTY SHERIFFS OFFICE TO ASSIST THEM WITH THEIR DAILY DUTIES.</t>
  </si>
  <si>
    <t>2YTET660301452</t>
  </si>
  <si>
    <t>DSOFFDEVI</t>
  </si>
  <si>
    <t>OFFICE DEVICES AND ACCESSORIES</t>
  </si>
  <si>
    <t>COMPUTER STANDS WILL BE USED BY THE GREENE COUNTY SHERIFFS OFFICE IN THE OFFICERS OFFICES TO PLACE THE KEYBOARD AND MONITOR ON.</t>
  </si>
  <si>
    <t>2YTET660442762</t>
  </si>
  <si>
    <t>DSTRUMPET</t>
  </si>
  <si>
    <t>TRUMPET</t>
  </si>
  <si>
    <t>TRUMPET WILL BE USED BY THE HONOR GUARD OF THE GREENE COUNTY SHERIFFS OFFICE TO PLAY TAPS AT A FUNERAL.</t>
  </si>
  <si>
    <t>2YTET660231441</t>
  </si>
  <si>
    <t>MOP,WET</t>
  </si>
  <si>
    <t>WET MOPS WILL BE USED BY THE MAINTENANCE DIVISION OF THE GREENE COUNTY SHERIFFS OFFICE TO KEEP OUR FLOORS IN OUR BUILDINGS LOOKING CLEAN.</t>
  </si>
  <si>
    <t>2YTET660231447</t>
  </si>
  <si>
    <t>TARPAULIN WILL BE USED BY THE GREENE COUNTY SHERIFFS OFFICE TO PROTECT CRIME SCENES AND EVIDENCE IN THE EVENT OF BAD WEATHER. THEY WILL ALSO BE USED TO COVER ITEMS WE PICKUP FROM LESO IN TRANSPORT DURING BAD WEATHER.</t>
  </si>
  <si>
    <t>2YTET660301462</t>
  </si>
  <si>
    <t>CAP,WORKING, WOODLAND</t>
  </si>
  <si>
    <t>CAPS WILL BE ISSUED TO OFFICERS OF THE GREENE COUNTY SHERIFFS OFFICE TO WEAR WHEN THEY ARE ON ASSIGNMENTS OR ON THE FIRING RANGE.</t>
  </si>
  <si>
    <t>2YTET660231450</t>
  </si>
  <si>
    <t>CAPS WILL BE ISSUED TO OFFICERS OF THE GREENE COUNTY SHERIFFS OFFICE TO KEEP THEIR HEADS WARM WHILE ON DUTY.</t>
  </si>
  <si>
    <t>2YTET660231451</t>
  </si>
  <si>
    <t>2YTET660231445</t>
  </si>
  <si>
    <t>PARKA WILL BE ISSUED TO OFFICERS OF THE GREENE COUNTY SHERIFFS OFFICE TO WEAR IN INCLEMENT WEATHER.</t>
  </si>
  <si>
    <t>2YTET660301464</t>
  </si>
  <si>
    <t>COLD WEATHER MASK WILL BE ISSUED TO OFFICERS OF THE GREENE COUNTY SHERIFFS OFFICE TO KEEP THEIR FACE WARM IN THE WINTER WHEN WORKING THEIR ASSIGNMENTS.</t>
  </si>
  <si>
    <t>2YTET660231448</t>
  </si>
  <si>
    <t>COLD WEATHER PARKA WILL BE ISSUED TO OFFICERS OF THE GREENE COUNTY SHERIFFS OFFICE TO KEEP THEM WARM WHILE ON DUTY.</t>
  </si>
  <si>
    <t>2YTET660301458</t>
  </si>
  <si>
    <t>SLEEPING BAGS WILL BE PLACED IN THE GREENE COUNTY SHERIFFS OFFICE DISASTER RESPONSE TRAILER FOR USE WHEN DEPLOYED TO THE SCENE OF A DISASTER SO WE CAN PROVIDE SLEEPING BAGS FOR THOSE OFFICERS DEPLOYED.</t>
  </si>
  <si>
    <t>2YTET660231443</t>
  </si>
  <si>
    <t>SUSPENDERS WILL BE USED BY OFFICERS OF THE GREENE COUNTY SHERIFFS OFFICE SWAT TEAM TO KEEP THEIR LOAD CARRIES IN PLACE AND TAKE THE LOAD OFF THEIR HIPS.</t>
  </si>
  <si>
    <t>GREENEVILLE POLICE DEPT (2YTEUF)</t>
  </si>
  <si>
    <t>2YTEUF60583578</t>
  </si>
  <si>
    <t>THE GREENEVILLE POLICE DEPARTMENT HAS THE NEED FOR THIS TRUCK. WE NEED TO SET POLES IN AND AROUND OUR FACILITY TO PUT CAMERAS ON. THIS TRUCK HAS THE CAPABILITIES THAT WE NEED. I WAS AT THE BASE LAST MONTH AND VERIFIED THAT THE TRUCK RUNS AND IS IN GOOD CONDITION.</t>
  </si>
  <si>
    <t>2YTEUF60442868</t>
  </si>
  <si>
    <t>SEMITRAILER,LOW BED</t>
  </si>
  <si>
    <t>THE GREENEVILLE POLICE NEEDS THIS TRAILER TO HAUL OUR EQUIPMENT TO AND FROM OUR TRAINING FACILITY.</t>
  </si>
  <si>
    <t>2YTEUF60160598</t>
  </si>
  <si>
    <t>THE GREENEVILLE POLICE DEPARTMENT NEEDS THIS FRONT END LOADER TO ENHANCE THE POLICE DEPARTMENTS OPERATIONAL READINESS BY PROVIDING THE ABILITY TO QUICKLY CLEAR DEBRIS, DISABLED VEHICLES, AND BARRICADES FROM ROADWAYS DURING EMERGENCIES, SEVERE WEATHER, OR DISASTER RESPONSE. THIS CAPABILITY REDUCES RESPONSE TIMES, IMPROVES PUBLIC SAFETY, AND LESSENS RELIANCE ON OTHER AGENCIES FOR HEAVY EQUIPMENT.</t>
  </si>
  <si>
    <t>HICKMAN COUNTY SHERIFF'S OFFICE (2YTFC2)</t>
  </si>
  <si>
    <t>2YTFC260230957</t>
  </si>
  <si>
    <t>TRAILER,LOW BED</t>
  </si>
  <si>
    <t>HICKMAN COUNTY IS NEEDING THE TRAILER TO HELP MOVE HEAVY EQUIPMENT AROUND DURING NATURAL DISASTER TIMES AND TO HELP WITH FIRING RANGE MAINTENANCE. TRAILER WILL ALSO BE USED IN CONJUCTION WITH EMERGENCY MANAGEMENT NEEDS OPERATED BY THE SHERIFF'S OFFICE. REPAIRS TO TRAILER WILL BE MADE AND CONDITION ITS IN WILL BE ACCEPTED.</t>
  </si>
  <si>
    <t>2YTFC260090462</t>
  </si>
  <si>
    <t>MONITORING TRAILER</t>
  </si>
  <si>
    <t>THE HICKMAN COUNTY SHERIFF'S OFFICE WOULD USE THIS EQUIPMENT WITH THE HICKMAN COUNTY EMERGENCY MANAGEMENT DURING TIMES OF EMERGENCY OR NATURAL DISASTER AS A POTIBLE COMMUNICATIONS TOWER. WE WILL REPAIR ANYTHING NEEDING REPAIR.</t>
  </si>
  <si>
    <t>2YTFC260725999</t>
  </si>
  <si>
    <t>HICKMAN COUNTY IS A FEDERAL DECLEARED DISASTER AREA. THE HICKMAN COUNTY SHERIFF'S OFFICE WILL USE THIS ITEM TO HELP STORE EQUIPMENT AND SUPPLIES FOR DISASTER RESPONSE.</t>
  </si>
  <si>
    <t>HUMPHREYS COUNTY SHERIFF DEPT (2YTFMD)</t>
  </si>
  <si>
    <t>2YTFMD60301542</t>
  </si>
  <si>
    <t>THIS REQUEST SEEKS APPROVAL TO UTILIZE THE TRUCK FOR RANGE AND FACILITY MAINTENANCE, WHILE ALSO SUPPORTING PROPERTY MAINTENANCE AND CONSTRUCTION EFFORTS RELATED TO THE NEW JAIL FACILITY. THE VEHICLE WILL ENHANCE OPERATIONAL EFFICIENCY AND PROVIDE ESSENTIAL SUPPORT FOR ONGOING AND FUTURE INFRASTRUCTURE NEEDS.</t>
  </si>
  <si>
    <t>2YTFMD60655466</t>
  </si>
  <si>
    <t>THE SHERIFFS OFFICE IS REQUESTING THIS ITEM TO ASSIST WITH THE TRANSPORT AND MOVEMENT OF LARGE CARGO DURING THE TRANSITION TO OUR NEW FACILITY. IT WILL ALSO SUPPORT HIGH-WATER RESCUE AND SEVERE WEATHER RESPONSE AND RECOVERY OPERATIONS, ALLOWING DEPUTIES TO OPERATE SAFELY IN HAZARDOUS CONDITIONS WHILE ENHANCING COMMUNITY SAFETY. WE ARE AWARE THE ITEM IS LISTED AS CONDITION H AND ACCEPT RESPONSIBILITY FOR ITS CONDITION.</t>
  </si>
  <si>
    <t>2YTFMD60654658</t>
  </si>
  <si>
    <t>UTILITY VEHICLE,4WD</t>
  </si>
  <si>
    <t>THE HUMPHREYS COUNTY SHERIFFS OFFICE IS REQUESTING THESE 4X4 MULES TO SUPPORT AGENCY OPERATIONS INCLUDING GROUNDS MAINTENANCE AT HCSO PROPERTIES, OFF ROAD PERSONNEL TRANSPORT DURING EMERGENCY INCIDENTS, SEARCH AND RESCUE OPERATIONS, AND UTILITY USE BY DEPUTIES OPERATING IN THE COUNTYS LARGE RURAL AND HILLY TERRAIN. WE ACKNOWLEDGE THE EQUIPMENT IS LISTED AS CONDITION H AND ACCEPT RESPONSIBILITY FOR REMOVAL, REPAIR, AND RESTORATION IF REQUIRED.</t>
  </si>
  <si>
    <t>2YTFMD60654659</t>
  </si>
  <si>
    <t>VEHICLE,ALL-TERRAIN</t>
  </si>
  <si>
    <t>2YTFMD60654613</t>
  </si>
  <si>
    <t>TRACTOR,WHEELED,AGRICULTURAL</t>
  </si>
  <si>
    <t>THE SHERIFFS OFFICE IS REQUESTING THIS TRACTOR TO SUPPORT MAINTENANCE AND DEVELOPMENT OF AGENCY-OWNED PROPERTY, INCLUDING OUR TRAINING FACILITY AND FIREARMS RANGE. THIS EQUIPMENT WILL ASSIST WITH GROUNDS MAINTENANCE, LAND CLEARING, AND INFRASTRUCTURE IMPROVEMENTS NECESSARY FOR TRAINING AND OPERATIONAL READINESS. WE ACKNOWLEDGE THE EQUIPMENT IS LISTED IN CONDITION H AND ACCEPT RESPONSIBILITY FOR REPAIR, REMOVAL, AND RESTORATION TO OPERATIONAL STATUS.</t>
  </si>
  <si>
    <t>2YTFMD60725031</t>
  </si>
  <si>
    <t>THE HUMPHREYS COUNTY SHERIFFS OFFICE IS REQUESTING THIS TRACTOR TO ASSIST WITH THE CREATION, MAINTENANCE, AND UPKEEP OF OUR NEW FACILITY AND EXISTING TRAINING RANGE. THIS EQUIPMENT WILL IMPROVE OPERATIONAL EFFICIENCY BY REDUCING MANPOWER AND LABOR HOURS REQUIRED FOR GROUNDS MAINTENANCE AND SITE PREPARATION. HCSO ACKNOWLEDGES THE TRACTOR IS LISTED IN CONDITION H AND ACCEPTS RESPONSIBILITY FOR THE EQUIPMENT AND ITS CONDITION UPON RECEIPT.</t>
  </si>
  <si>
    <t>2YTFMD60584532</t>
  </si>
  <si>
    <t>THIS ITEM IS REQUESTED TO SUPPORT SHERIFFS OFFICE DISASTER RESPONSE OPERATIONS. RESOURCES WILL PROVIDE COTS, BLANKETS, AND SLEEPING BAGS FOR DEPUTIES AND STAFF WHO ARE UNABLE TO RETURN HOME AND MUST REMAIN ON DUTY DURING EXTENDED EMERGENCY OPERATIONS CAUSED BY DISASTERS OR SEVERE WEATHER EVENTS.</t>
  </si>
  <si>
    <t>2YTFMD60584434</t>
  </si>
  <si>
    <t>MODULAR SLEEP SYSTE</t>
  </si>
  <si>
    <t>2YTFMD60513383</t>
  </si>
  <si>
    <t>THIS ITEM IS REQUESTED TO SUPPORT A CHARITABLE EMERGENCY ASSISTANCE PROGRAM OPERATED BY THE SHERIFFS OFFICE TO PROVIDE RELOCATION SUPPORT TO INDIVIDUALS DISPLACED BY DISASTERS OR SEVERE WEATHER. RESOURCES WILL EQUIP WARMING AND EMERGENCY SHELTERS WITH ESSENTIAL SLEEP ITEMS, INCLUDING COTS, BLANKETS, AND SLEEPING BAGS, ENSURING SAFE TEMPORARY HOUSING FOR AFFECTED PERSONS.</t>
  </si>
  <si>
    <t>JOHNSON COUNTY SHERIFFS OFFICE (2YTFZ8)</t>
  </si>
  <si>
    <t>2YTFZ853539256</t>
  </si>
  <si>
    <t>JOHNSON COUNTY SHERIFF'S OFFICE WILL UTILIZE THESE FOR THE SWIFT WATER RESCUE TEAM.</t>
  </si>
  <si>
    <t>KINGSTON POLICE DEPT (2YTF8B)</t>
  </si>
  <si>
    <t>2YTF8B60795916</t>
  </si>
  <si>
    <t>THIS TRAILER WILL BE USED BY THE KINGSTON POLICE DEPARTMENT AS A MOBILE INVESTIGATION LAB FOR CRIME SCENES.</t>
  </si>
  <si>
    <t>LAW ENFORCEMENT TRNG ACADEMY (2YTP35)</t>
  </si>
  <si>
    <t>2YTP3560090519</t>
  </si>
  <si>
    <t>THE TN LAW ENFORCEMENT TRAINING ACADEMY IS IN NEED OF LOCKABLE STORAGE FOR WEAPONS AND CLEANING SUPPLIES.  THESE LOCKERS WILL ALLOW US TO SECURE CADET WEAPONS AND CLEANING SUPPLIES FOR TRAINING.</t>
  </si>
  <si>
    <t>2YTP3553327359</t>
  </si>
  <si>
    <t>SHOP EQUIPMENT,SMALL ARMS</t>
  </si>
  <si>
    <t>THE TN LAW ENFORCEMENT TRAINING FIREARMS DIVISION SUPPORTS CITY, COUNTY, STATE AND FEDERAL LAW ENFORCEMENT AGENCIES TO INCLUDE THE JOINT TERRORISM TASK FORCE. WE ASSIST IN THE REPAIRS OF SEVERAL DIFFERENT WEAPONS SYSTEMS THROUGHOUT THE STATE.  THIS EQUIPMENT WILL BE USED TO SUPPORT THOSE AGENCIES AND ASSIST US IN REPAIRING WEAPONS FOR AGENCIES THAT DO NOT HAVE THE FINANCIAL MEANS TO REPAIR THEM.</t>
  </si>
  <si>
    <t>2YTP3560020259</t>
  </si>
  <si>
    <t>THE TN LAW ENFORCEMENT TRAINING ACADEMY ISSUES OUT UNIFORMS TO THEIR CADETS.  CURRENTLY WE USE PLASTIC TRASH BAGS TO ISSUE OUT UNIFORMS.  THESE BAGS WILL ASSIST US IN ISSUING OUT UNIFORMS TO THE CADETS WITHOUT WASTING RESOURCES.  WE CURRENTLY HAVE 140 CADETS EVERY 12 WEEKS COME THROUGH THE ACADEMY.</t>
  </si>
  <si>
    <t>2YTP3560020260</t>
  </si>
  <si>
    <t>2YTP3560020261</t>
  </si>
  <si>
    <t>2YTP3560020262</t>
  </si>
  <si>
    <t>2YTP3560020264</t>
  </si>
  <si>
    <t>2YTP3560020265</t>
  </si>
  <si>
    <t>2YTP3560020266</t>
  </si>
  <si>
    <t>2YTP3560020267</t>
  </si>
  <si>
    <t>2YTP3560020268</t>
  </si>
  <si>
    <t>2YTP3553609511</t>
  </si>
  <si>
    <t>TLETA ISSUES CADETS UNIFORM AND CURRENTLY HAVE TO HAND OUT TRASH BAGS WHEN ISSUING THE UNIFORMS.  THESE BARRACKS BAGS WILL ALLOW US TO ISSUE THE UNIFORMS OUT AND REUSE THE BAGS MULTIPLE TIMES.  WE ISSUE THESE OUT TO 140 CADETS EVERY TWELVE WEEKS</t>
  </si>
  <si>
    <t>2YTP3553609512</t>
  </si>
  <si>
    <t>2YTP3553609513</t>
  </si>
  <si>
    <t>2YTP3553529514</t>
  </si>
  <si>
    <t>2YTP3553529515</t>
  </si>
  <si>
    <t>2YTP3553529517</t>
  </si>
  <si>
    <t>2YTP3553609508</t>
  </si>
  <si>
    <t>TLETA ISSUES CADET UNIFORMS TO ALL THAT ATTEND.  CURRENTLY WE HAVE TO USE PLASTIC TRASH BAGS TO ISSUE OUT UNIFORMS.  THESE BARRACKS BAGS WILL ALLOW US TO ISSUE UNIFORMS AND USE ON MULTIPLE OCCASIONS EVERY CLASS.  WE CURRENTLY RUN 140 CADETS EVERY TWELVE WEEKS.</t>
  </si>
  <si>
    <t>LAWRENCEBURG POLICE DEPT (2YTGLM)</t>
  </si>
  <si>
    <t>2YTGLM60090733</t>
  </si>
  <si>
    <t>DSSWEEPER</t>
  </si>
  <si>
    <t>ROAD CLEARING, CLEANING, AND MARKING</t>
  </si>
  <si>
    <t>THIS UNIT WOULD BE USED TO MAINTAIN A SEIZED ASSETS YARD AS WELL AS THE ROADWAY LEADING TO IT.</t>
  </si>
  <si>
    <t>MADISONVILLE POLICE DEPT (2YTG57)</t>
  </si>
  <si>
    <t>2YTG5760725583</t>
  </si>
  <si>
    <t>THE MADISONVILLE POLICE DEPARTMENT IS REQUESTING THIS TRAILER FOR USE BY OUR OFFICERS. THIS TRAILER COULD BE USED TO FOR STORAGE OF DEPARTMENTAL SURPLUS EQUIPMENT, SUPPLIES, AND EVIDENCE FOR SAFEKEEPING. INFORMATION GATHERED FROM THE BASE IS THE UNIT IS SERVICEABLE. DUE TO BUDGET CONSTRAINTS WE ARE CURRENTLY UNABLE TO PURCHASE EQUIPMENT LIKE THIS UNIT. THANKS</t>
  </si>
  <si>
    <t>MARTIN POLICE DEPARTMENT (2YTHDF)</t>
  </si>
  <si>
    <t>2YTHDF60725364</t>
  </si>
  <si>
    <t>WE NEED THESE SIM UPPERS TO BE ABLE TO DO LIVE SCENARIO TRAINING WITH OUR PATROL OFFICERS.  THIS WILL ENABLE THEM TO LEARN TO DECISION MAKING UNDER STRESS WITH A PAIN PENALTY.  
I HAVE REVIEWED THE PICTURES OF THE CONDITION OF THE CONVERSION LITS AND WE ARE SATISFIED WITH THE CONDITION.</t>
  </si>
  <si>
    <t>2YTHDF53609436</t>
  </si>
  <si>
    <t>THESE PISTOL OPTICS WILL BE USED ON OUR PATROL DUTY PISTOLS TO UPGRADE THEM TO HAVING RED DOT SIGHTS.  THESE WILL MAKE THEM MORE EFFECTIVE FOR PATROL USE.  
I HAVE CONTACTED THE BASE IN REFERENCE TO THE CONDITION OF THE OPTICS.</t>
  </si>
  <si>
    <t>2YTHDF53468347</t>
  </si>
  <si>
    <t>THESE PISTOL OPTICS WILL BE USED TO UPGRADE OUR PATROL DUTY HANDGUNS SO THAT THEY HAVE REFLEX DOTS.  THIS WILL MAKE THEM MUCH MORE EFFECTIVE FOR PATROL DUTIES AND MAKE THE GUNS EASIER FOR LESS EXPERIENCED SHOOTERS TO SHOOT PROFICIENTLY.  
I HAVE CONTACTED THE BASE IN REFERENCE TO THE CONDITION OF THE OPTICS.</t>
  </si>
  <si>
    <t>2YTHDF53609434</t>
  </si>
  <si>
    <t>2YTHDF53609152</t>
  </si>
  <si>
    <t>SIGHT UNIT</t>
  </si>
  <si>
    <t>THIS SIGHT WILL BE USED ON A PATROL RIFLE TO EXTEND THE RANGE AND EFFECTIVENESS OF THE PATROL OFFICER.  THIS WILL ALLOW A PATROL OFFICER TO BE ABLE TO USE THEIR PATROL RIFLE AT A MORE EXTENDED RANGE OR HAVE BETTER POSITIVE ID AND SHOT PLACEMENT.  
I HAVE CONTACTED THE BASE IN REFERENCE TO THE CONDITION.</t>
  </si>
  <si>
    <t>2YTHDF53609433</t>
  </si>
  <si>
    <t>2YTHDF53609439</t>
  </si>
  <si>
    <t>2YTHDF53609440</t>
  </si>
  <si>
    <t>2YTHDF53609435</t>
  </si>
  <si>
    <t>2YTHDF53468734</t>
  </si>
  <si>
    <t>DSLIGHT01</t>
  </si>
  <si>
    <t>ELECTRIC PORTABLE, HAND LIGHTING EQUIP</t>
  </si>
  <si>
    <t>THESE LIGHTS WOULD BE USED BY OUR PATROL OFFICERS TO UPGRADE THE LIGHTS ON OUR PATROL RIFLES MAKING THEM MORE EFFECTIVE FOR PATROL USE.</t>
  </si>
  <si>
    <t>2YTHDF60160397</t>
  </si>
  <si>
    <t>LIGHT SET,CHART,FIE</t>
  </si>
  <si>
    <t>THIS LIGHT WILL BE USED TO ILLUMINATING PATROL TRAINING FACILITIES THAT DO NOT HAVE POWER AS WELL AS IT WILL BE USED FOR WORKING BOTH INDOOR AND OUTDOOR CRIME SCENES WHERE MORE LIGHTING IS NEEDED.</t>
  </si>
  <si>
    <t>2YTHDF6075KM02</t>
  </si>
  <si>
    <t>MILAN POLICE DEPT (2YTHQ0)</t>
  </si>
  <si>
    <t>2YTHQ060029685</t>
  </si>
  <si>
    <t>WE WOULD LIKE TO HAVE THE VEHICLES TO HELP PERFORM SEARCH AND RESCUE SITUATIONS. WE HAVE MULTIPLE FACILITIES IN OUR JURISDICTION WHERE ELDERLY PATIENTS LEAVE THE FACILITY AND NEED EMERGENCY RESCUE OFTEN IN REMOTE AREAS. THE VEHICLE WILL ALSO BE USED FOR WATER RESCUE WHERE TRADITIONAL VEHICLE CAN NOT GO.  THE VE</t>
  </si>
  <si>
    <t>2YTHQ060795921</t>
  </si>
  <si>
    <t>THE MILAN TN POLICE DEPARTMENT WOULD LIKE TO HAVE THE CARGO TRUCK TO USE IN EMERGENCY RESPONSE SITUATIONS WHERE GENERATORS OR ATV'S HAVE TO BE STAGED FOR FASTER RESPONSE. WE REALIZE THE TRUCK WILL NEED A FEW MINOR REPAIRS TO IMPROVE OVERALL FUNCTION. THE TRUCK WILL ALSO PULL TRAILERS BETWEEN OUR TRAINING SITES. THE TRUCK WILL BE USED MY OUR DEPARTMENT ONLY.</t>
  </si>
  <si>
    <t>2YTHQ060796612</t>
  </si>
  <si>
    <t>THE MILAN POLICE DEPARTMENT WOULD LIKE TO HAVE AND REPAIR THIS TRUCK TO USE ON OUR FIRING RANGE FOR MOVING TRAINING MATERIALS. WE HAVE SPOKEN WITH THE BASE AND UNDERSTAND THE REPAIRS NEEDED. THE TRUCK WILL HELP IS MEET OUR TRAINING GOALS. THE TRUCK WILL BE USED BY OUR DEPARTMENT ONLY</t>
  </si>
  <si>
    <t>2YTHQ060029684</t>
  </si>
  <si>
    <t>WE WOULD LIKE TO HAVE THE VEHICLES TO HELP PERFORM SEARCH AND RESCUE SITUATIONS. WE HAVE MULTIPLE FACILITIES IN OUR JURISDICTION WHERE ELDERLY PATIENTS LEAVE THE FACILITY AND NEED EMERGENCY RESCUE OFTEN IN REMOTE AREAS. THE VEHICLE WILL ALSO BE USED FOR WATER RESCUE WHERE TRADITIONAL VEHICLE CAN NOT GO.  THE VEHICLES WILL BE USED BY OUR DEPARTMENT ONLY.</t>
  </si>
  <si>
    <t>2YTHQ060020081</t>
  </si>
  <si>
    <t>DSLAWNMOW</t>
  </si>
  <si>
    <t>LAWN MOWER</t>
  </si>
  <si>
    <t>WE WOULD LIKE TO HAVE BOTH MOWERS TO HELP MAINTAIN OUR FIRING RANGE AND TRAINING GROUNDS. WE HAVE GOT MOWERS IN THE PAST THAT COULD NOT BE REPAIRED AND FIXED. THE MOWERS WILL BE USED BY OUR DEPARTMENT ONLY.</t>
  </si>
  <si>
    <t>2YTHQ060090129</t>
  </si>
  <si>
    <t>OUR DEPARTMENT WOULD LIKE TO HAVE THE STORAGE BINS WITH WHEELS TO MOVE ITEMS WITHIN OUR TRAINING ENVIRONMENT. THIS ITEM WILL ALLOW US TO BE MORE EFFICIENT IN OUR PREPARATION AND ALLOW US TO WORK SAFER WITH LESS MANUAL LABOR. THE ITEMS WILL BE USED BY OUR DEPARTMENT ONLY</t>
  </si>
  <si>
    <t>2YTHQ060029767</t>
  </si>
  <si>
    <t>BRACKET,FIRE EXTING</t>
  </si>
  <si>
    <t>WE WOULD LIKE TO HAVE THE MOUNTS TO SECURE FIRE EXTINGUISHERS IN ALL OF OUR POLICE FLEET CARS AND THROUGH OUT OUR PUBLIC SAFETY BUILDING. THE BRACKETS WILL HELP OUR OFFICERS RESPOND TO FIRE SITUATIONS WITHOUT THE TANK MOVING AROUND IN THE CAR AND WILL BE USED BY OUR DEPARTMENT ONLY.</t>
  </si>
  <si>
    <t>2YTHQ060020085</t>
  </si>
  <si>
    <t>WE WOULD LIKE TO HAVE THE CREEPER TO HELP MAINTAIN OUR FLEET OF VEHICLES. THE CREEPER WILL BE USED ONLY BY OUR AGENCY WORKING ON OUR FLEET HELPING US MAINTAIN SAFER VEHICLES</t>
  </si>
  <si>
    <t>2YTHQ060442563</t>
  </si>
  <si>
    <t>WE WOULD LIKE TO HAVE THE TOOL KITS TO WORK ON OUR VARIOUS PIECES OF EQUIPMENT THAT WE RELY ON TO RESPOND IN EMERGENCY SITUATIONS. WE HAVE SEVERAL TRAINING SITES AND HAVING MULTIPLE KITS IT HELP US MEET OUR RESPONSE GOALS. THE KITS WILL BE USED BY OUR POLICE DEPARTMENT ONLY</t>
  </si>
  <si>
    <t>2YTHQ060020084</t>
  </si>
  <si>
    <t>WE WOULD LIKE TO HAVE THE GENERATOR TO LEAVE PERMANENTLY AT OUR FIRING RANGE TO PROVIDE POWER IN EMERGENCY SITUATIONS. THE GENERATOR WILL BE USED BY OUR DEPARTMENT ONLY</t>
  </si>
  <si>
    <t>2YTHQ060231592</t>
  </si>
  <si>
    <t>WE WOULD LIKE TO HAVE THE GENERATOR FOR EMERGENCY SITUATIONS AND NATURAL DISASTERS STAGING. WE HAVE HAD SEVERAL GENERATORS AND SOME COULD NOT BE MADE RUNNING. THE GENERATOR WILL BE USED BY OUR DEPARTMENT ONLY.</t>
  </si>
  <si>
    <t>2YTHQ060231591</t>
  </si>
  <si>
    <t>2YTHQ060231589</t>
  </si>
  <si>
    <t>GENERATOR SET,DIESE</t>
  </si>
  <si>
    <t>WE WOULD LIKE TO HAVE THE GENERATOR FOR STAGING IN EMERGENCY SITUATIONS AND NATURAL DISASTERS. WE HAVE HAD SEVERAL GENERATORS AND SOME COULD NOT BE RETURNED TO RUNNING CONDITION. THE GENERATORS WILL BE USED BY OUR DEPARTMENT ONLY.</t>
  </si>
  <si>
    <t>2YTHQ060231593</t>
  </si>
  <si>
    <t>2YTHQ060442896</t>
  </si>
  <si>
    <t>WE WOULD LIKE TO HAVE THE SOLAR ELECTRIC POWER SYSTEMS FOR EMERGENCY SITUATIONS WHERE POWER IS NEEDED AND TRADITIONAL ELECTRICITY AND GENERATOR POWER IS NOT FEASIBLE. THE STATE OF TENNESSEE HAS JUST RECENTLY WENT THROUGH AN EMERGENCY POWER CRISIS DUE TO WEATHER AND THESE SYSTEMS WOULD HELP US TO BE BETTER PREPARED IN SITUATIONS LIKE THIS. THEY WILL BE USED BY OUR DEPARTMENT ONLY.</t>
  </si>
  <si>
    <t>2YTHQ060020087</t>
  </si>
  <si>
    <t>WE WOULD LIKE TO HAVE THE BITE SUIT TRAINING AID TO HELP MEET OUR TRAINING GOALS WITH OUR CURRENT K-9 WHO IS BITE CERTIFIED. HAVING THE SUIT WILL MAKE SHARPEN OUR DOGS BITE SKILLS AND BE BETTER PREPARED FOR DANGEROUS CALLS.</t>
  </si>
  <si>
    <t>2YTHQ060020133</t>
  </si>
  <si>
    <t>ARMY COMBAT BOOT HOT WEATHER</t>
  </si>
  <si>
    <t>WE WOULD LIKE THE BOOTS TO HAVE THE BOOTS TO WEAR IN DIFFERENT SCENARIOS SUCH AS TRYING AND A DIFFERENT SET FOR DUTY. WE REALIZE EVERY STOCK NUMBER REPRESENTS A DIFFERENT STYLE AND SIZE AND WILL BE REQUESTING DIFFERENT SETS.  THE BOOTS WILL ONLY BE WORN BY OUR OFFICERS WITHIN OUR DEPARTMENT. THE BOOTS WILL HELP US MEET OUR TRAINING GOALS AND BE BETTER PREPARED FOR EMERGENCY SITUATIONS.</t>
  </si>
  <si>
    <t>2YTHQ060020134</t>
  </si>
  <si>
    <t>2YTHQ060020135</t>
  </si>
  <si>
    <t>2YTHQ060020132</t>
  </si>
  <si>
    <t>2YTHQ060020131</t>
  </si>
  <si>
    <t>MONROE COUNTY SHERIFFS OFFICE (2YTHWY)</t>
  </si>
  <si>
    <t>2YTHWY6054KM01</t>
  </si>
  <si>
    <t>TRUCK,DUMP</t>
  </si>
  <si>
    <t>2YTHWY60231179</t>
  </si>
  <si>
    <t>THE MONROE COUNTY SHERIFFS OFFICE IS REQUESTING THIS FOR OUR IMPOUND LOT. THIS UNIT IS A GOOD SIZE FOR USE TO BE ABLE TO MOVE EVIDENCE AND SEIZURE PROPERTY AROUND THE LOT DURING THE HOLDING PHASE.</t>
  </si>
  <si>
    <t>OLIVER SPRINGS POLICE DEPT (2YT12V)</t>
  </si>
  <si>
    <t>2YT12V60442818</t>
  </si>
  <si>
    <t>THE OLIVER SPRINGS POLICE DEPARTMENT IS LOOKING FOR OFFROAD TRAILERS TO MOVE EQUIPMENT FOR EMERGENCY RESPONSE FOR NATURAL DISASTER, OR LAW ENFORCEMENT RESPONSE TO WINDROCK MOUNTAIN WHICH IS 76000 ACRES OF OFFROADING PARK.</t>
  </si>
  <si>
    <t>OVERTON COUNTY SHERIFF'S DEPT (2YT18E)</t>
  </si>
  <si>
    <t>2YT18E60029848</t>
  </si>
  <si>
    <t>TO USE FOR PARKING LOT MAINTENANCE AND GENERAL LAND MAINTENANCE</t>
  </si>
  <si>
    <t>2YT18E53609846</t>
  </si>
  <si>
    <t>TO USE FOR TRANSPORTATION OF OFFICERS DURING SPECIAL EVENTS WHEN PATROL VEHICLES ARE IMPRACTICAL</t>
  </si>
  <si>
    <t>2YT18E60231811</t>
  </si>
  <si>
    <t>TO BE USED FOR BACK UP POWER AT DEPARTMENT SUBSTATIONS</t>
  </si>
  <si>
    <t>2YT18E60301484</t>
  </si>
  <si>
    <t>GENERATOR,ALTERNATING CURRENT-DIRECT CUR</t>
  </si>
  <si>
    <t>TO BE USED FOR RUNNING LIGHTS AND OTHER EQUIPMENT ON SCENES AND OTHER OPERATIONS WHERE ELECTRICITY IS NOT AVAILABLE</t>
  </si>
  <si>
    <t>SCOTTS HILL POLICE DEPT (2YTKU8)</t>
  </si>
  <si>
    <t>2YTKU860372301</t>
  </si>
  <si>
    <t>WOULD BENEFIT THE POLICE DEPARTMENT WHEN BAD WEATHER AND KEEP THE DEPARTMENT OPERATIONAL</t>
  </si>
  <si>
    <t>2YTKU860372360</t>
  </si>
  <si>
    <t>WOULD BENEFIT THE POLICE DEPARTMENT IN THE EVENT OF STORMS AND GOOD WEATHER AND THE ABILITY TO SETUP REMOTE OPERATIONS</t>
  </si>
  <si>
    <t>SPARTA POLICE DEPARTMENT (2YTS08)</t>
  </si>
  <si>
    <t>2YTS0860442685</t>
  </si>
  <si>
    <t>THIS ASSET WOULD BENEFIT THIS AGENCY AND OFFICERS BY ALLOWING US TO UTILIZE IT AS MARKED PATROL UNIT FOR EMERGENCY RESPONSE  RESPONDING TO CALLS OF SERVICE ETC. THIS WOULD ALLOW OUR AGENCY TO REPLACE OLDER WORN OUT PATROL VEHICLES.  I SPOKE TO FORT LAST WEEK AND THEY DO NOT NEED MUCH TO MAKE OPERATIONAL  WE WOULD REPAIR AS NECESSARY</t>
  </si>
  <si>
    <t>2YTS0860442687</t>
  </si>
  <si>
    <t>2YTS0860442688</t>
  </si>
  <si>
    <t>2YTS0860442680</t>
  </si>
  <si>
    <t>2YTS0860442683</t>
  </si>
  <si>
    <t>2YTS0860029600</t>
  </si>
  <si>
    <t>THIS ASSET WOULD BENEFIT OUR AGENCY AND OFFICERS BY ALLOWING US TO UTILIZE IT AS A MARKED PATROL CAR. THIS ASSET WOULD ASSIST IN DAY TO DAY OPERATIONS SUCH AS TRAFFIC ENFORCEMENT, BLOCKING TRAFFIC DURING TRAFFIC CRASH INVESTIGATIONS AS WELL AS EMERGENCY RESPONSE AND MUTUAL AID PURPOSES. SPOKE WITH FORT THIS ITEM DOS NO NEED MAJOR REPAIRS.  WE WOULD FIX THE SMALL ISSUES TO MAKE IT OPERATIONAL</t>
  </si>
  <si>
    <t>2YTS0860029613</t>
  </si>
  <si>
    <t>THIS ASSET WOULD BENEFIT PUR AGENCY BY ALLOWING US TO UTILIZE THIS AS A CHECKPOINT VEHICLE TO BLOCK ROADWAYS. STORE AND TRANSPORT CONES AND HAUL THE CHECKPOINT TRAILER WITH ALL THE EQUIPMENT NEEDED FOR SET. WE WOULD INSTALL A CAMPER TOP TO BE ABLE TO SECURE THE EQUIPMENT IN THE BED.  I SPOKE WITH THE FORT AND IT IS NOT NEEDS MINOR REPAIRS TO MAKE IT OPERATIONAL</t>
  </si>
  <si>
    <t>2YTS0853539535</t>
  </si>
  <si>
    <t>THIS TRUCK WILL BENEFIT THE SPARTA POLICE DEPARTMENT WITH PULLING TRAILERS AND HAULING EQUIPMENT USED IN OPERATIONS THAT THE SPARTA POLICE DEPARTMENT CONDUCTS THE COMMUNITY WILL BENEFIT FROM THE TRUCKS USE BY THE SPARTA POLICE DEPARTMENT RESULTING IN FASTER AND MORE EFFECT RESPONSES.</t>
  </si>
  <si>
    <t>2YTS0860029597</t>
  </si>
  <si>
    <t>THIS ASSET WOULD BENEFIT THIS AGENCY AND OFFICERS BY ALLOWING US TO UTILIZE THIS AS A PATROL VEHICLE TO RESPOND TO INCIDENTS, CALLS OF SERVICE, AND OTHER DUTIES THAT REQUIRE A VEHICLE. THIS WOULD BE IN USE ASAP. I SPOKE WITH THE FORT AND THIS IS A EASILY REPAIRED ASSET THAT WE ARE WILLING TO FIX TO MAKE IT OPERATIONAL ASAP</t>
  </si>
  <si>
    <t>2YTS0853538666</t>
  </si>
  <si>
    <t>TBI ASSET WOULD BENEFIT THIS AGENCY AND OUR OFFICER BY ALLOWING US TO USE THIS ASSET FOR REST AND RECOVERY FOR OFFICERS DURING EVENTS AND INCIDENTS OF NATURAL DISASTERS TRAINING AS WELL AS INCIDENT RESPONSE FOR MUTUAL AID AGENCIES.  WE WOULD ALSO USE THIS TRUCK FOR PICKING UP ITEMS OF EQUIPMENT FROM LESO AND STORING THOSE EMERGENCY USE ITEMS FOR INCIDENTS  I SPOKE WITH THE FORT AND WE ARE WILLING TO REPAIR FOR IMMEDIATE USE</t>
  </si>
  <si>
    <t>2YTS0853539148</t>
  </si>
  <si>
    <t>THIS ASSET WOULD BENEFIT OUR AGENCY AND OFFICERS BY ALLOWING US TO UTILIZE THIS AS A PARTS VEHICLE FOR OUR OTHER VAN WE GOT FROM LESO THAT NEEDS PARTS. THIS WOULD ALLOW US TO GET OUR CURRENT VAN OPERATIONAL FOR PRISONER TRANSPORTS I SPOKE WITH THE FORT AND IT WOULD WORK AS A PARTS VEHICLE</t>
  </si>
  <si>
    <t>2YTS0853538687</t>
  </si>
  <si>
    <t>THIS ASSET WOULD BENEFIT THIS AGENCY AND OFFICERS BY ALLOWING US TO UTILIZE THIS TO TRANSPORT OUR BOATS AND UTV VEHICLE TO AREAS WHERE THEY ARE NEEDED FOR SEARCH AND RESCUE RECOVERY ETC . THIS WOULD ALLOW US TO REP AND MORE EFFECTIVELY BEE WOULD REPAIR THIS AS NECESSARY</t>
  </si>
  <si>
    <t>2YTS086009KM04</t>
  </si>
  <si>
    <t>2YTS0860090179</t>
  </si>
  <si>
    <t>THESE ASSETS WOULD BENEFIT THIS AGENCY AND OFFICERS BY ALLOWING US TO UTILIZE OUR CURRENT JOHN DEERE TO REPAIR THESE TO USE AS RANGE VEHICLES TO TRANSPORT AMMO TARGETS AND EQUIPMENT TO AND FROM THE SHED AND WOULD ASSIST IN EFFICIENCY. THESE WOULD ALLOW OFFICERS TO FURTHER TRAINING AND CUT DOWN ON DOWN TIME SETTING TARGETS AND TRANSPORTING ITEMS.  WE SPOKE TO FTHE FORT AND THEY ONLY NEED BATTERIES. WE WOULD REPAIR AS NEEDED.</t>
  </si>
  <si>
    <t>2YTS0853609443</t>
  </si>
  <si>
    <t>THE SPARTA POLICE DEPARTMENT WILL USE THESE TO CONDUCT PATROLS THROUGHOUT THE COMMUNITY. THESE MACHINES WILL BE USED FOR SEARCH AND RESCUE OPERATIONS. THESE WILL BE CRUCIAL TO THE SAFETY AND SECURITY OF THE CITIZENS AND OFFICERS.</t>
  </si>
  <si>
    <t>2YTS0853609359</t>
  </si>
  <si>
    <t>THIS ASSET WOULD BENEFIT THIS AGENCY AND OFFICERS BY ALLOWING US TO UTILIZE THIS AS A PARTS PEOPLE FOR OUR CURRENT UTV.  I SPOKE WITH THE FORT AND THIS IS THE SAME YEAR AS OUR CURRENT UTV THAT IS  IN NEED OF A MOTOR</t>
  </si>
  <si>
    <t>2YTS0860371927</t>
  </si>
  <si>
    <t>THESE ASSETS WOULD BENEFIT THIS AGENCY AND OFFICERS BY ALLOWING US TO REPLACE OUR CURRENT MOTORS ON OUR INFLATABLE RESCUE BOATS WITH THESE I SPOKE TO THE FORT AND THESE ARE IN BETTER SHAPE WITH LESS HOURS THAN OUR CURRENT ONES WE HAVE OPERATIONAL  WE WOULD USE OUR CURRENT ONES FOR PARTS IN CASE THESE NEED REPAIRED IN THE FUTURE</t>
  </si>
  <si>
    <t>2YTS0860371921</t>
  </si>
  <si>
    <t>2YTS0860161186</t>
  </si>
  <si>
    <t>THIS ASSET WOULD BENEFIT OUR AGENCY AND OFFICERS BY ALLOWING US TO UTILIZE THIS ASSET FOR HAULING AND DUMPING OR SPREADING GRAVEL TO ALLOW US TO MAINTENANCE OUR IMPOUND LOT AND OUR RANGE AREA I SPOKE WITH MEADE AND WE WOULD REPAIR THIS ASSET AS NEEDED</t>
  </si>
  <si>
    <t>2YTS0860231182</t>
  </si>
  <si>
    <t>DSHOIST00</t>
  </si>
  <si>
    <t>WINCHES, HOISTS, CRANES, AND DERRICKS</t>
  </si>
  <si>
    <t>THIS ASSET WOULD BENEFIT THIS AGENCY AND OFFICERS BY ALLOWING US TO UTILIZE IT TO REPLACE AND REPAIR OUR RANGE BACKSTOP BY ASSISTING IN MOVING LARGE WOOD TIES OUT AND PUTTING NEW ONES IN. WE WOULD REPAIR AS NECESSARY.  I SPOKE WITH FORT AND IT IS USEABLE AS IS</t>
  </si>
  <si>
    <t>2YTS0860301301</t>
  </si>
  <si>
    <t>THESE ASSETS WOULD BENEFIT THIS AGENCY AND OFFICERS BY ALLOWING US TO UTILIZE THESE IN OUR WATER OPERATIONS TO KEEP OFFICERS SAFE AS WELL AS PEOPLE WE RESCUE SAFE</t>
  </si>
  <si>
    <t>2YTS0853327750</t>
  </si>
  <si>
    <t>SPAX</t>
  </si>
  <si>
    <t>THESE ASSETS WOULD BENEFIT OUR AGENCY AND OFFICERS BY ALLOWING US TO STORE THESE IN EACH PATROL VEHICLE AND OFF ROAD UTV FOR CLEARING DEBRIS OUT OF ROADWAYS AS WELL AS TRAILS. THESE WOULD ALSO ALLOW EACH OFFICER TO HAVE A FORM OF ENTRY TOOL IF THEY HAD TO ENTER A LOCKED RESIDENCE OR VEHICLE.</t>
  </si>
  <si>
    <t>2YTS0860231187</t>
  </si>
  <si>
    <t>SHELTER,NONEXPANDABLE</t>
  </si>
  <si>
    <t>THIS ASSET WOULD BENEFIT THIS AGENCY AND OFFICERS BY ALLOWING US TO UTILIZE THIS ASSET STORAGE FOR EQUIPMENT AND AND PATROL ITEMS. THIS ASSET WOULD ASSIST US IN HAVING CERTAIN ITEMS IN DESIGNATED PLACES FOR WHEN THEY ARE NEEDED.   I SPOKE WITH THE LOCATION AND THIS WOULD BE USEABLE FOR MY PURPOSES</t>
  </si>
  <si>
    <t>2YTS0860231185</t>
  </si>
  <si>
    <t>DSSPEAKE1</t>
  </si>
  <si>
    <t>SPEAKERS, COMMUNICATIONS, PAIR</t>
  </si>
  <si>
    <t>THIS ASSET WOULD BENEFIT OUR AGENCY AND OFFICERS BY ALLOWING US TO UTILIZE THESE EITHER IN OUR TRAINING ROOM FOR FURTHERING OVER EDUCATION OR PUT ON OUR EMERGENCY RESPONSE TRUCK FOR PUBLIC ADDRESSES. I SPOKE WITH JACKSONVILLE AND THEY ARE USEABLE AS IS</t>
  </si>
  <si>
    <t>2YTS0853609622</t>
  </si>
  <si>
    <t>GENERATOR,ALTERNATI</t>
  </si>
  <si>
    <t>THESE ASSETS WOULD BENEFIT THIS AGENCY BY ALLOWING US TO UTILIZE OUR CURRENT GENERATORS TO REPAIR THESE  TO USE TO POWER EMERGENCY LIGHTING AS WELL AS THE REST AND RECOVERY TRAILER, EMERGENCY TRAILERS  WE WOULD ALSO USE ONE TO CHARGE EQUIPMENT AND RADIOS FOR SUCH EVENT. I SPOKE WITH FORT AND THESE NEED VERY LITTLE TO MAKE OPERATIONAL</t>
  </si>
  <si>
    <t>2YTS0853609127</t>
  </si>
  <si>
    <t>BANDAGE,GAUZE,IMPRE</t>
  </si>
  <si>
    <t>THESE ASSETS WOULD ASSIST OUR AGENCY AND OFFICERS BY ALLOWING US TO UTILIZE THESE DURING INSTANCES OF GUNSHOT WOUNDS TO PACK THE WOUND AND SAVE AN OFFICER OR OTHER PERSONS LIFE UNTIL WE CAN GET THEM TO A HOSPITAL</t>
  </si>
  <si>
    <t>2YTS0853609124</t>
  </si>
  <si>
    <t>DRESSING,PRESSURE P</t>
  </si>
  <si>
    <t>THESE ASSETS WOULD BENEFIT OUR OFFICERS AND AGENCY BY ALLOWING US TO UTILIZE THESE IN OUR FIRST AID KITS FOR INCIDENTS WHERE AN OFFICER OR OTHER INDIVIDUAL IS NEEDING AND REQUIRES IMMEDIATE CARE TO CURB THE BLOOD FLOW. THE REASON FOR THE REQUEST OF 24 IS DUE TO SOME INJURIES REQUIRING MORE THAN ONE DRESSING</t>
  </si>
  <si>
    <t>2YTS0853609125</t>
  </si>
  <si>
    <t>2YTS0853609126</t>
  </si>
  <si>
    <t>2YTS0853609123</t>
  </si>
  <si>
    <t>TOURNIQUET,PNEUMATIC,MILITARY</t>
  </si>
  <si>
    <t>THESE ASSETS WOULD ASSIST THIS AGENCY AND OFFICERS BY ALLOWING US TO UTILIZE THESE IN OUR ACTIVE SHOOTER BAGS THESE WOULD ASSIST IN STOPPING BLOOD FLOW TO A AN INJURED LIMB THAT REQUIRES SUCH A DEVICE</t>
  </si>
  <si>
    <t>2YTS0853468306</t>
  </si>
  <si>
    <t>GLOVE,PATIENT EXAMI</t>
  </si>
  <si>
    <t>THESE ASSETS WOULD BENEFIT OUR OFFICERS BY ALLOWING THEM TO UTILIZE THESE TO SEARCH SUSPECTS. FIELD TEST DRUGS AS WELL AS COLLECT AND PACKAGE EVIDENCE.  THESE WOULD ASSIST IN KEEPING OFFICERS SAFE DURING THE COURSE OF SUCH DUTIES</t>
  </si>
  <si>
    <t>2YTS0853468305</t>
  </si>
  <si>
    <t>2YTS0853539360</t>
  </si>
  <si>
    <t>DSSCREEN0</t>
  </si>
  <si>
    <t>PROJECTION SCREEN</t>
  </si>
  <si>
    <t>THIS ASSET WOULD BENEFIT THIS AGENCY AND OFFICERS BY ALLOWING US TO UTILIZE IT IN OUR TRAINING ROOM TO FURTHER TRAIN OUR OFFICERS</t>
  </si>
  <si>
    <t>2YTS0853539136</t>
  </si>
  <si>
    <t>THESE ASSETS WOULD BENEFIT THIS AGENCY AND OFFICERS BY ALLOWING US TO UTILIZE THESE IN CONJUNCTION WITH THE CAMERAS WE RECEIVED PRIOR TO TO MAKE EVERYTHING OPERATIONAL THESE WOULD ALLOW OFFICERS TO PHOTOGRAPH CRIMES SCENES AND INCIDENTS TO UPLOAD INTO OUR RMS SYSTEM AND BETTER DOCUMENT INCIDENTS</t>
  </si>
  <si>
    <t>2YTS0853609134</t>
  </si>
  <si>
    <t>THESE ASSETS WOULD BENEFIT ARE AGENCY AND OFFICERS BY ALLWING US TO STABILIZE THE CAMERAS WE USE DURING DOCUMENTING CRIMES SCENES AND INCIDENT SCENES. THESE WOULD BE USED BY OUR DETECTIVES</t>
  </si>
  <si>
    <t>2YTS0860301905</t>
  </si>
  <si>
    <t>DSNOTEBO1</t>
  </si>
  <si>
    <t>NOTEBOOK COMPUTER</t>
  </si>
  <si>
    <t>THE SPARTA POLICE DEPARTMENT WILL USE THESE FOR PATROL FUNCTIONS. TECHNOLOGY HAS CHANGED AND PORTABLE COMPUTERS ARE ESSENTIAL TO DAY TO DAY ACTIVITIES. THIS WILL BENEFIT THE COMMUNITY AND OFFICERS.</t>
  </si>
  <si>
    <t>2YTS0853609358</t>
  </si>
  <si>
    <t>THESE ASSETS WOULD BENEFIT OUR AGENCY AND OFFICERS BY ALLYING US TO UTILIZE THEM IN OUR STORM SHELTER FOR OFFICERS AND FAMILIES TO HAVE A SAFE PLACE DURING INCLEMENT WEATHER THESE WOULD ALSO BE USED TO KEEP ON THE REST AND RECOVERY TRAILER TO BE USED DURING INCIDENTS WHERE THE TRAILER WOULD BE NEEDED FOR MULTIPLE DAYS</t>
  </si>
  <si>
    <t>2YTS0853468307</t>
  </si>
  <si>
    <t>THIS ASSET WOULD BENEFIT THIS AGENCY AND OFFICERS BY ALLOWING US TO UTILIZE THIS AS A SECURE EVEIDENCE STORAGE UNIT FOR MONEY AS WELL AS NARCOTICS CASES THAT ARE AWAITING TRIAL THIS WOULD ASSIST US IN MAINTAINING A CHAIN  OF CUSTODY IN A SECURE MANNER</t>
  </si>
  <si>
    <t>2YTS0853609122</t>
  </si>
  <si>
    <t>THESE ASSETS WOULD ASSIST OUR AGENCY AND OFFICERS BY ALLOWING US TO UTILIZE THESE IN OUR REST AND RECOVERY TRAILER TO KEEP OFFICERS WARM DURING THEIR DOWN TIME DURING INCIDENTS  THESE WOULD BE UTILIZED TO ASSIST IN OFFICERS GETTING REST</t>
  </si>
  <si>
    <t>2YTS0853609121</t>
  </si>
  <si>
    <t>THESE ASSETS WOULD BENEFIT OUR AGENCY AND OFFICERS BY ALLOWING US TO UTILIZE THESE DURING WINTER OR COLD WEATHER TO KEEP OFFICERS WARM . THIS ASSET WOULD ASSIST IN KEEPING THE OFFICERS ABLE TO DO THEIR DUTIES IN INCLEMENT WEATHER</t>
  </si>
  <si>
    <t>2YTS0853468304</t>
  </si>
  <si>
    <t>THESE ASSETS WOULD BENEFIT THIS AGENCY AND OFFICERS BY ALLOWING THEM TO UTILIZE THESE AS ACTIVE THREAT RESPONSE BAGS. THESE WOULD ALLOW OFFICERS TO CARRY MEDICAL SUPPLIES AS WELL AS EXTRA AMMUNITION IN THE EVENT OF SUCH AN INCIDENT</t>
  </si>
  <si>
    <t>2YTS0853468301</t>
  </si>
  <si>
    <t>THESE ASSETS WOULD BENEFIT OUR OFFICERS BY ALLOWING US TO UTILIZE THESE IN FIREARMS TRAINING TO KEEP OFFICERS FROM GETTING INJURED DURING GROUND TRAINING</t>
  </si>
  <si>
    <t>2YTS0853539361</t>
  </si>
  <si>
    <t>PACK,ASSUALT</t>
  </si>
  <si>
    <t>THESE ASSETS WOULD BENEFIT THIS AGENCY AND OFFICERS BY ALLOWING THEM TO UTILIZE THESE ON SEARCH AND RESCUE OR RECOVERY MISSIONS THESE WOULD BE VITAL IN CARRYING ROPE AND OTHER EQUIPMENT THAT WOULD ASSST OFFICERS IN OPERATIONS.   AFTER SPEAKING TO FORT THESE ARE SERVICEABLE AND ARE ABLE TO BE USED</t>
  </si>
  <si>
    <t>2YTS0853468303</t>
  </si>
  <si>
    <t>2YTS0853609130</t>
  </si>
  <si>
    <t>THESE ASSETS WOULD BENEFIT THIS AGENCY AND OFFICERS BY ALLOWING US TO UTILIZE THESE DURING TRAINING  THESE WOULD ALLOW OFFICERS TO PROTECT THEIR KNEES DURING FIREARMS AND DEFENSIVE TACTICS</t>
  </si>
  <si>
    <t>2YTS0853609132</t>
  </si>
  <si>
    <t>LIGHT,READING</t>
  </si>
  <si>
    <t>THESE ASSETS WOULD BENEFIT OUR AGENCY AND NIGHT SHIFT OFFICERS BY ALLOWING THEM TO UTILIZE THESE ON CALLS DURING THE NIGHT TO TAKE REPORTS AND FILL OUT FORMS I SPOKE WITH THE FORT AND THESE ARE USEABLE AS THEY ARE</t>
  </si>
  <si>
    <t>VONORE POLICE DEPT (2YTM3P)</t>
  </si>
  <si>
    <t>2YTM3P60725326</t>
  </si>
  <si>
    <t>THE POLICE DEPARTMENT WOULD UTILIZE THIS TRUCK TO TRANSPORT CRIME SCENE EQUIPMENT TO SCENES, DURING TRAINING EVENTS TO MOVE EQUIPMENT AND USED DURING UNDERCOVER NARCOTIC OPERATIONS. THE DEPARTMENT WOULD ACCEPT AS IN CONDITION.</t>
  </si>
  <si>
    <t>2YTM3P60583726</t>
  </si>
  <si>
    <t>THE VONORE POLICE DEPARTMENT WOULD UTILIZE THIS DUMP TRUCK TO MAINTAIN THE DEPARTMENT IMPOUND LOT WHERE SEIZED VEHICLES ARE STORED. THIS TRUCK WOULD ALSO BE USED TO MAINTAIN TRAINING GROUNDS SO ENSURE SAFETY OF OFFICERS DURING TRAINING.</t>
  </si>
  <si>
    <t>2YTM3P60724986</t>
  </si>
  <si>
    <t>THE VONORE POLICE DEPARTMENT WOULD UTILIZE THIS TRUCK TO TRANSPORT CRIME SCENE EQUIPMENT TO CRIME SCENES INCLUDING A CRIME SCENE TRAILER. THE TRUCK WOULD ALSO BE USED TO TRANSPORT TRAINING EQUIPMENT TO TRAINING GROUNDS. THE DEPARTMENT WOULD ACCEPT AS IN CONDITION.</t>
  </si>
  <si>
    <t>2YTM3P6006CG00</t>
  </si>
  <si>
    <t>TRUCK,WRECKER</t>
  </si>
  <si>
    <t>2YTM3P53609233</t>
  </si>
  <si>
    <t>THE POLICE DEPARTMENT WOULD UTILIZE THIS ITEM TO MAINTAIN THE DEPARTMENT IMPOUND LOT WERE SEIZED VEHICLES ARE STORED. THE SKID STEER WOULD ALSO BE USED DURING EVIDENCE DESTRUCTIONS. THE DEPARTMENT WOULD ACCEPT IN AS-IN CONDITION.</t>
  </si>
  <si>
    <t>WASHINGTON COUNTY SHERIFFS OFFICE (2YTM9S)</t>
  </si>
  <si>
    <t>2YTM9S60029772</t>
  </si>
  <si>
    <t>VOICE AMPLIFIER</t>
  </si>
  <si>
    <t>IF AWARDED THESE WOULD BE ISSUED TO THE SHERIFF'S SPEC OPS TEAMS TO BE USED IN THEIR GAS MASKS FOR COMMUNICATION. WE DO NOT HAVE ANY OF THESE AT THIS TIME.</t>
  </si>
  <si>
    <t>2YTM9S60725363</t>
  </si>
  <si>
    <t>THE WASHINGTON  COUNTY SHERIFFS OFFICE WOULD USE THE STORAGE CONTAINERS FOR DISASTER RELIEF STORAGE</t>
  </si>
  <si>
    <t>WEAKLEY COUNTY SHERIFFS OFFICE (2YTNED)</t>
  </si>
  <si>
    <t>2YTNED60442935</t>
  </si>
  <si>
    <t>THE WEAKLEY COUNTY SHERIFF'S OFFICE IS REQUESTING THIS VEHICLE FOR PATROL DEPUTIES TO USE DURING OUR YEARLY IN SERVICE TRAINING ON EVOC AND PURSUIT DRIVING.  THIS WILL ALLOW DEPUTIES TO HAVE A VEHICLE TO DRIVE OUR EVOC COURSE WITH AN INSTRUCTOR.  I HAVE SEEN THE INCLUDED PICTURES, AND AM SATISFIED WITH IT'S CONDITION.</t>
  </si>
  <si>
    <t>2YTNED60725150</t>
  </si>
  <si>
    <t>THE WEAKLEY COUNTY SHERIFF'S OFFICE IS REQUESTING 8 NIGHT VISION DEVICES TO AID PATROL DEPUTIES IN OUR DUTIES DURING NIGHT OPERATIONS.  THESE DEVICES WOULD BE USED BY PATROL DEPUTIES FOR SEARCH AND RESCUE, FUGITIVE APPREHENSION, WARRANT SERVICE, AND OTHER NIGHT TIME OPERATIONS TO ENSURE THE SAFETY OF DEPUTIES AND THE POPULATION OF WEAKLEY COUNTY.  I HAVE SEEN THE INCLUDE PHOTOS AND ANSWERED QUESTIONS AND AM SATISFIED WITH THEIR CONDITION.</t>
  </si>
  <si>
    <t>WHITE COUNTY SHERIFF OFFICE (2YTNMZ)</t>
  </si>
  <si>
    <t>2YTNMZ53609863</t>
  </si>
  <si>
    <t>THE WHITE COUNTY SHERIFF'S OFFICE AND JUSTICE CENTER NEED A BUCKET TRUCK TO SAFELY MAINTAIN CRITICAL ELEVATED INFRASTRUCTURE SUCH AS SECURITY LIGHTING, CAMERAS, ANTENNAS, AND COMMUNICATION SYSTEMS. IT ALLOWS IMMEDIATE RESPONSE TO FAILURE, REDUCES INJURY RISK, LIMITS RELIANCE ON CONTRACTORS IN SECURE AREA, AND LONG-TERM RENTAL COSTS.</t>
  </si>
  <si>
    <t>2YTNMZ60029901</t>
  </si>
  <si>
    <t>THE WHITE COUNTY SHERIFF'S OFFICE CAN USE THIS HAND TRUCK FOR MOVING ITEMS IN SHIPPING AND RECEIVING AT THE OFFICE.</t>
  </si>
  <si>
    <t>2YTNMZ60029902</t>
  </si>
  <si>
    <t>THE WHITE COUNTY SHERIFF'S OFFICE STAFF CAN USE THIS TO PROTECT THEIR LUNGS.</t>
  </si>
  <si>
    <t>2YTNMZ60029903</t>
  </si>
  <si>
    <t>SHOES,SHOWER</t>
  </si>
  <si>
    <t>THE WHITE COUNTY SHERIFF'S OFFICE CAN USE THESE SHOES IN A DISASTER AREA, WHERE VICTIMS DO NOT HAVE SHOES. DEPUTIES CAN HAVE THEM IN THEIR PATROL CARS WHEN THEY ARE DEALING WITH HOMELESS INDIVIDUALS. THE JAIL CAN USE THEM WHEN THEY RELEASE SOMEONE BACK ON THE STREET THAT CAME IN NOT WEARING SHOES.</t>
  </si>
  <si>
    <t>2YTNMZ60029904</t>
  </si>
  <si>
    <t>THE WHITE COUNTY SHERIFF'S OFFICE FLEET MANAGER AND MAINTENANCE PERSONNEL CAN USE THIS ITEM TO TEST THE BATTERIES IN EQUIPMENT.</t>
  </si>
  <si>
    <t>2YTNMZ60029909</t>
  </si>
  <si>
    <t>DSSHELF01</t>
  </si>
  <si>
    <t>SHELF, COMMERCIAL STORAGE</t>
  </si>
  <si>
    <t>THE WHITE COUNTY SHERIFF'S OFFICE CAN USE THIS ITEM FOR STORAGE IN THE SUPPLY ROOM OR ARMORY.</t>
  </si>
  <si>
    <t>2YTNMZ60029905</t>
  </si>
  <si>
    <t>BAG,SAND</t>
  </si>
  <si>
    <t>HD</t>
  </si>
  <si>
    <t>THE WHITE COUNTY SHERIFF'S OFFICE CAN USE THESE SAND BAGS DURING FLOOD EVENTS, OR IF WE EVER NEED TO HARD OUR DEFENSE IN A URBAN RIOT, CIVIL UNREST EVENT.</t>
  </si>
  <si>
    <t>2YTNMZ60029900</t>
  </si>
  <si>
    <t>THE WHITE COUNTY SHERIFF'S OFFICE SORT AND MAN TRACKING TEAM CAN USE THESE FOR CALL OUTS AND MISSIONS TO CARRY THEIR GEAR.</t>
  </si>
  <si>
    <t>2YTNMZ60029907</t>
  </si>
  <si>
    <t>CHAPLAINCY LOGISTIC</t>
  </si>
  <si>
    <t>THE WHITE COUNTY SHERIFF'S OFFICE CAN USE THIS ITEM IN A TEMPORARY COMMAND CENTER CAPACITY DURING CRITICAL INCIDENT EVENTS.</t>
  </si>
  <si>
    <t>WHITEVILLE POLICE DEPT (2YTNNY)</t>
  </si>
  <si>
    <t>2YTNNY60725047</t>
  </si>
  <si>
    <t>TRAILER WILL BE USED TO LOAD AND HAUL EMERGENCY SUPPLIES, EQUIPMENT, TRAFFIC CONTROL EQUIPMENT, AND GENERATORS. IT WILL BE USED FOR ANY EVENTS SUCH AS NATURAL DISASTERS, MUTUAL AID ASSISTANCE, AND SPECIAL SERVICES.</t>
  </si>
  <si>
    <t>2YTNNY60654450</t>
  </si>
  <si>
    <t>GENERATOR WILL BE USED TO ASSIST EMERGENCY SERVICES IN INSTANCES OF EMERGENCY EVENTS, SPECIAL OPERATIONS, AND NATURAL DISASTER EVENTS THAT MAY EFFECT OUR AREA.</t>
  </si>
  <si>
    <t>2YTNNY60654452</t>
  </si>
  <si>
    <t>2YTNNY60725054</t>
  </si>
  <si>
    <t>TENT, SUPPORT TRAILER,35K GEN,TAN,BASE-X</t>
  </si>
  <si>
    <t>TENT SUPPORT TRAILER WILL BE USED TO PROVIDE MUCH NEEDED POWER AND CLIMATE CONTROL CAPABILITIES TO TEMPORARY SHELTERS NEEDED DURING EVENTS OF LOSS POWER OVER EXTENSIVE AMOUNTS OF TIME. IT WILL BE USED FOR ANY EVENTS SUCH AS NATURAL DISASTERS, MUTUAL AID ASSISTANCE, AND SPECIAL SERVICES.</t>
  </si>
  <si>
    <t>TX</t>
  </si>
  <si>
    <t>ANTHONY POLICE DEPT (2YTAK0)</t>
  </si>
  <si>
    <t>2YTAK060442696</t>
  </si>
  <si>
    <t>APD WILL USE THE VEHICLE FOR LE PURPOSES TO AUGMENT THE PATROL FLEET</t>
  </si>
  <si>
    <t>2YTAK060796881</t>
  </si>
  <si>
    <t>BOTH ATV'S WILL BE UTILIZED FOR ANTHONY TEXAS POLICE DEPARTMENT PURPOSES.  WE LIVE IN WEST TEXAS IN A DESERT ENVIRONMENT WITH A LOT OF TRAFFIC IN THE DESERT AREA.  MOST OF OUR STANDARD PATROL UNITS ARE NOT 4X4 AND ARE TOO LARGE TO PATROL THESE DESERT AREAS.</t>
  </si>
  <si>
    <t>2YTAK060442698</t>
  </si>
  <si>
    <t>THE KITS WILL BE USED BY THE ANTHONY, TEXAS POLICE DEPARTMENT FOR LE PURPOSES TO BE ISSUED OUT TO PATROL OFFICERS</t>
  </si>
  <si>
    <t>ARP POLICE DEPT (2YTANX)</t>
  </si>
  <si>
    <t>2YTANX60098269</t>
  </si>
  <si>
    <t>THE PACKBOT WILL BE USED BY THE ARP POLICE DEPARTMENT FOR LAW ENFORCEMENT PURPOSES ONLY. OFFICERS WILL USE THE PACKBOT DURING HIGH RISK SITUATIONS BY ATTACHING A BODY CAMERA AND USING IT TO OBSERVE DANGEROUS SITUATIONS BEFORE OFFICERS ENTER.</t>
  </si>
  <si>
    <t>2YTANX60654201</t>
  </si>
  <si>
    <t>THE VAN TRUCK WILL BE USED BY THE ARP POLICE DEPARTMENT FOR LAW ENFORCEMENT PURPOSES ONLY. OFFICERS WILL USE THE VAN TRUCK TO PICK UP LESO AWARDED AND PD PURCHASED EQUIPMENT. OFFICERS WILL ALSO USE THE VAN TRUCK TO TRANSPORT EQUIPMENT TO BE SERVICED AND REPAIRED.</t>
  </si>
  <si>
    <t>2YTANX60230788</t>
  </si>
  <si>
    <t>THE TRUCK WILL BE USED BY THE ARP POLICE DEPARTMENT FOR LAW ENFORCEMENT PURPOSES ONLY. OFFICERS WILL PRIMARILY USE THE TRUCK FOR HIGH WATER RESCUES. THE TRUCK WILL ALSO BE USED FOR PICKING UP AND TRANSPORTING LARGE PD OWNED AND LESO AWARDED EQUIPMENT.</t>
  </si>
  <si>
    <t>2YTANX60724859</t>
  </si>
  <si>
    <t>THE TRAILER WILL BE USED BY THE ARP POLICE DEPARTMENT FOR LAW ENFORCEMENT PURPOSES ONLY. OFFICERS WILL USE THE TRAILER TO PICK UP LESO AWARDED EQUIPMENT AND PD PURCHASED EQUIPMENT. OFFICERS WILL ALSO USE THE TRAILER TO MOVE EQUIPMENT FROM THE PROPERTY ROOM TO TRAINING SITES SUCH AS THE PD FIREARMS RANGE AND ACTIVE SHOOTER TRAINING LOCATIONS.</t>
  </si>
  <si>
    <t>2YTANX60231028</t>
  </si>
  <si>
    <t>NO ITEM NAME AVAILABLE</t>
  </si>
  <si>
    <t>THE SOCKET SCREWDRIVERS WILL BE USED BY THE ARP POLICE DEPARTMENT FOR LAW ENFORCEMENT PURPOSES. ARP PD HAS AN OFFICER WITH HIS 2 YEAR DEGREE IN AUTOMOTIVE MECHANICS WHO PERFORMS BASIC MAINTENANCE ON ALL PD AND LESO EQUIPMENT. THE PD DOES NOT CURRENTLY POSSESS SOCKETS SCREWDRIVERS FOR USE IN MAINTENANCE. THE OFFICER WILL USE THEM TO CHANGE OIL, BRAKES, BATTERIES AND OTHER REPAIRS.</t>
  </si>
  <si>
    <t>2YTANX60513006</t>
  </si>
  <si>
    <t>MAINTENANCE KIT,VEH</t>
  </si>
  <si>
    <t>THE VEHICLE MAINTENANCE KIT WILL BE USED BY THE ARP POLICE DEPARTMENT FOR LAW ENFORCEMENT PURPOSES ONLY. ARP PD WAS JUST AWARDED A HUMVEE. THIS MAINTENANCE KIT IS FOR THE HUMVEE VARIANT AND WILL BE USED TO MAINTAIN THE AWARDED HUMVEE.</t>
  </si>
  <si>
    <t>2YTANX60513012</t>
  </si>
  <si>
    <t>DSDOLLY00</t>
  </si>
  <si>
    <t>HAND DOLLY</t>
  </si>
  <si>
    <t>THE LIFT WILL BE USED BY THE ARP POLICE DEPARTMENT FOR LAW ENFORCEMENT PURPOSES ONLY. OFFICERS WILL UTILIZE THE LIFT TO CHANGE AND REPAIR LIGHTS IN THE PD GYM. IT WAS ALSO BE USED TO CHANGE THE AIR FILTER IN THE GYM HVAC SYSTEM. CURRENTLY WE HAVE TO RENT A LIFT TO CONDUCT THIS MAINTENANCE IN THE PD GYM.</t>
  </si>
  <si>
    <t>2YTANX60584111</t>
  </si>
  <si>
    <t>THE DIAGNOSTIC TOOL WILL BE USED BY THE ARP POLICE DEPARTMENT FOR LAW ENFORCEMENT PURPOSES ONLY. THIS DIAGNOSTIC TOOL IS FOR HUMVEES. ARP PD WAS RECENTLY AWARDED A HUMVEE. THE DIGNOSTIC TOOL WILL BE USED BY OFFICERS TO DIAGNOSE ANY PROBLEMS WITH THE LESO AWARDED HUMVEE AND FIX THEM.</t>
  </si>
  <si>
    <t>2YTANX60231021</t>
  </si>
  <si>
    <t>CHISEL,BUTT,WOODWORKING</t>
  </si>
  <si>
    <t>THE CHISELS WILL BE USED BY THE ARP POLICE DEPARTMENT FOR LAW ENFORCEMENT PURPOSES ONLY. ARP PD IS BUILDING A WOODEN WALL IN OUR GYM TO SEPARATE THE PD GYM FROM PD EQUIPMENT. OFFICERS WILL USE THE CHISELS WHILE BUILDING THE WALLS. OFFICERS WILL BUILDING THE WALL WHILE ON DUTY.</t>
  </si>
  <si>
    <t>2YTANX60231022</t>
  </si>
  <si>
    <t>THE CHISELS WILL BE USED BY THE ARP POLICE DEPARTMENT FOR LAW ENFORCEMENT PURPOSES ONLY. ARP PD IS BUILDING A WOODEN WALL IN OUR GYM TO SEPARATE THE PD GYM FROM PD EQUIPMENT. OFFICERS WILL USE THE CHISELS WHILE BUILDING THE WALLS. OFFICERS WILL BE BUILDING THE WALL WHILE ON DUTY.</t>
  </si>
  <si>
    <t>2YTANX60231029</t>
  </si>
  <si>
    <t>THE SOCKET WILL BE USED BY THE ARP POLICE DEPARTMENT FOR LAW ENFORCEMENT PURPOSES. ARP PD HAS AN OFFICER WITH HIS 2 YEAR DEGREE IN AUTOMOTIVE MECHANICS WHO PERFORMS BASIC MAINTENANCE ON ALL PD AND LESO EQUIPMENT. RED RIVER HAS BEEN CONTACTED AND STATED THE SOCKETS REQUESTED ARE ALL DIFFERENT SIZES. THE OFFICER WILL USE THEM TO CHANGE OIL, BRAKES, BATTERIES AND OTHER REPAIRS.</t>
  </si>
  <si>
    <t>2YTANX60301407</t>
  </si>
  <si>
    <t>DSVISE000</t>
  </si>
  <si>
    <t>VISE</t>
  </si>
  <si>
    <t>THE VISE WILL BE USED BY ARP POLICE DEPARTMENT FOR LAW ENFORCEMENT PURPOSES. ARP PD HAS AN OFFICER WITH HIS 2 YEAR DEGREE IN AUTOMOTIVE MECHANICS. THE OFFICER PERFORMS BASIC MAINTENANCE ON PD VEHS, PD EQUIPMENT AND LESO EQUIP. HE PERFORMS OIL CHANGES, TIRE ROTATIONS, BRAKE CHANGES, ETC. THE 2 VISES PREVIOUSLY AWARDED ARE TOO SMALL FOR WHAT THE OFFICER NEEDS. THESE VISES ARE LARGER.</t>
  </si>
  <si>
    <t>2YTANX60301408</t>
  </si>
  <si>
    <t>THE NONPOWERED HAND TOOLS WILL BE USED BY ARP POLICE DEPARTMENT FOR LAW ENFORCEMENT PURPOSES. ARP PD HAS AN OFFICER WITH HIS 2 YEAR DEGREE IN AUTOMOTIVE MECHANICS. THE OFFICER PERFORMS BASIC MAINTENANCE ON PD VEHS, PD EQUIPMENT AND LESO EQUIP. HE PERFORMS OIL CHANGES, TIRE ROTATIONS, BRAKE CHANGES, ETC.</t>
  </si>
  <si>
    <t>2YTANX60301409</t>
  </si>
  <si>
    <t>2YTANX60301410</t>
  </si>
  <si>
    <t>2YTANX60230893</t>
  </si>
  <si>
    <t>THE HAND TOOL WILL BE USED BY THE ARP POLICE DEPARTMENT FOR LAW ENFORCEMENT PURPOSES ONLY. ARP PD HAS AN OFFICER ON STAFF WITH HIS 2 YEAR DEGREE IN AUTOMOTIVE MECHANICS. THE OFFICER PERFORMS ALL BASIC MAINTENANCE ON PD VEHICLES, PD EQUIPMENT AND LESO AWARDED EQUIPMENT. RED RIVER WAS CONTACTED AND STATED THAT THE HAND TOOL IS DIFFERENT THAN THE OTHER REQUESTED HAND TOOLS.</t>
  </si>
  <si>
    <t>2YTANX60230894</t>
  </si>
  <si>
    <t>THE SOCKET WILL BE USED BY THE ARP POLICE DEPARTMENT FOR LAW ENFORCEMENT PURPOSES ONLY. ARP PD HAS AN OFFICER ON STAFF WITH HIS 2 YEAR DEGREE IN AUTOMOTIVE MECHANICS. THE OFFICER PERFORMS ALL BASIC MAINTENANCE ON PD VEHICLES, PD EQUIPMENT AND LESO AWARDED EQUIPMENT. RED RIVER WAS CONTACTED AND STATED THAT THE SOCKET IS A DIFFERENT SIZE THAN THE OTHER REQUESTED SOCKET.</t>
  </si>
  <si>
    <t>2YTANX60230895</t>
  </si>
  <si>
    <t>2YTANX60230896</t>
  </si>
  <si>
    <t>2YTANX60583887</t>
  </si>
  <si>
    <t>THE PLIERS WILL BE USED BY THE ARP POLICE DEPARTMENT FOR LAW ENFORCEMENT PURPOSES ONLY. OFFICERS WILL USE THE PLIERS FOR BASIC MAINTENANCE ON PD VEHICLES, PD EQUIPMENT AND LESO EQUIPMENT. PLIERS WILL ALSO BE USED TO MAKE REPAIRS TO THE PD RANGE TARGETS. THE PLIERS IN THIS LOT ARE ALL DIFFERENT SIZES AND TYPES.</t>
  </si>
  <si>
    <t>2YTANX60583888</t>
  </si>
  <si>
    <t>DSSCREWDR</t>
  </si>
  <si>
    <t>SCREWDRIVER</t>
  </si>
  <si>
    <t>THE SCREWDRIVERS WILL BE USED BY THE ARP POLICE DEPARTMENT FOR LAW ENFORCEMENT PURPOSES ONLY. OFFICERS WILL USE THE SCREWDRIVERS FOR BASIC MAINTENANCE ON PD VEHICLES, PD EQUIPMENT AND LESO EQUIPMENT. THE SCREWDRIVERS IN THIS LOT ARE ALL DIFFERENT SIZES AND TYPES.</t>
  </si>
  <si>
    <t>2YTANX60513008</t>
  </si>
  <si>
    <t>THE SOCKET WRENCHES WILL BE USED BY THE ARP POLICE DEPARTMENT FOR LAW ENFORCEMENT PURPOSES ONLY. OFFICERS WILL UTILIZE THE WRENCHES TO MAINTAIN PD AND LESO AWARDED EQUIPMENT. OFFICERS WILL USE THE WRECHES TO CHANGE OIL, BRAKES, CHANGE BATTERIES AND OTHER BASIC MAINTENANCE REQUIRED.</t>
  </si>
  <si>
    <t>2YTANX60230847</t>
  </si>
  <si>
    <t>THE WRENCH WILL BE USED BY THE ARP POLICE DEPARTMENT FOR LAW ENFORCEMENT PURPOSES ONLY. ARP PD HAS AN OFFICER ON STAFF WITH HIS 2 YEAR DEGREE IN AUTOMOTIVE MECHANICS. THE OFFICER PERFORMS BASIC MAINTENANCE ON PD VEHICLES, PD EQUIPMENT AND LESO AWARDED EQUIPMENT. I CONTACTED RED RIVER AND WAS TOLD THE WRENCHES REQUESTED ARE DIFFERENT SIZES.</t>
  </si>
  <si>
    <t>2YTANX60230851</t>
  </si>
  <si>
    <t>THE PLIERS WILL BE USED BY THE ARP POLICE DEPARTMENT FOR LAW ENFORCEMENT PURPOSES ONLY. ARP PD HAS AN OFFICER ON STAFF WITH HIS 2 YEAR DEGREE IN AUTOMOTIVE MECHANICS. THE OFFICER PERFORMS BASIC MAINTENANCE ON PD VEHICLES, PD EQUIPMENT AND LESO AWARDED EQUIPMENT.</t>
  </si>
  <si>
    <t>2YTANX60230852</t>
  </si>
  <si>
    <t>2YTANX60230857</t>
  </si>
  <si>
    <t>THE SOCKETS WILL BE USED BY THE ARP POLICE DEPARTMENT FOR LAW ENFORCEMENT PURPOSES ONLY. ARP PD HAS AN OFFICER ON STAFF WITH HIS 2 YEAR DEGREE IN AUTOMOTIVE MECHANICS. THE OFFICER PERFORMS BASIC MAINTENANCE ON PD VEHICLES, PD EQUIPMENT AND LESO AWARDED EQUIPMENT. I CONTACTED RED RIVER AND WAS TOLD THE HAND TOOLS REQUESTED ARE DIFFERENT.</t>
  </si>
  <si>
    <t>2YTANX60230897</t>
  </si>
  <si>
    <t>2YTANX60230898</t>
  </si>
  <si>
    <t>2YTANX60230899</t>
  </si>
  <si>
    <t>2YTANX60230900</t>
  </si>
  <si>
    <t>2YTANX60230901</t>
  </si>
  <si>
    <t>THE SLIP JOINT PLIERS WILL BE USED BY THE ARP POLICE DEPARTMENT FOR LAW ENFORCEMENT PURPOSES ONLY. ARP PD HAS AN OFFICER ON STAFF WITH HIS 2 YEAR DEGREE IN AUTOMOTIVE MECHANICS. THE OFFICER PERFORMS ALL BASIC MAINTENANCE ON PD VEHICLES, PD EQUIPMENT AND LESO AWARDED EQUIPMENT.</t>
  </si>
  <si>
    <t>2YTANX60230902</t>
  </si>
  <si>
    <t>THE WRENCH WILL BE USED BY THE ARP POLICE DEPARTMENT FOR LAW ENFORCEMENT PURPOSES ONLY. ARP PD HAS AN OFFICER ON STAFF WITH HIS 2 YEAR DEGREE IN AUTOMOTIVE MECHANICS. THE OFFICER PERFORMS ALL BASIC MAINTENANCE ON PD VEHICLES, PD EQUIPMENT AND LESO AWARDED EQUIPMENT.</t>
  </si>
  <si>
    <t>2YTANX60230858</t>
  </si>
  <si>
    <t>THE HAND TOOLS WILL BE USED BY THE ARP POLICE DEPARTMENT FOR LAW ENFORCEMENT PURPOSES ONLY. ARP PD HAS AN OFFICER ON STAFF WITH HIS 2 YEAR DEGREE IN AUTOMOTIVE MECHANICS. THE OFFICER PERFORMS BASIC MAINTENANCE ON PD VEHICLES, PD EQUIPMENT AND LESO AWARDED EQUIPMENT. I CONTACTED RED RIVER AND WAS TOLD THE HAND TOOLS REQUESTED ARE DIFFERENT.</t>
  </si>
  <si>
    <t>2YTANX60230859</t>
  </si>
  <si>
    <t>WRENCH,PIPE</t>
  </si>
  <si>
    <t>THE PIPE WRENCH WILL BE USED BY THE ARP POLICE DEPARTMENT FOR LAW ENFORCEMENT PURPOSES ONLY. ARP PD HAS AN OFFICER ON STAFF WITH HIS 2 YEAR DEGREE IN AUTOMOTIVE MECHANICS. THE OFFICER PERFORMS BASIC MAINTENANCE ON PD VEHICLES, PD EQUIPMENT AND LESO AWARDED EQUIPMENT.</t>
  </si>
  <si>
    <t>2YTANX60230860</t>
  </si>
  <si>
    <t>2YTANX60230861</t>
  </si>
  <si>
    <t>WRENCH,OPEN END BOX</t>
  </si>
  <si>
    <t>2YTANX60230866</t>
  </si>
  <si>
    <t>2YTANX60230867</t>
  </si>
  <si>
    <t>2YTANX60230868</t>
  </si>
  <si>
    <t>HANDLE,SOCKET WRENCH</t>
  </si>
  <si>
    <t>THE SOCKET HANDLE WILL BE USED BY THE ARP POLICE DEPARTMENT FOR LAW ENFORCEMENT PURPOSES ONLY. ARP PD HAS AN OFFICER ON STAFF WITH HIS 2 YEAR DEGREE IN AUTOMOTIVE MECHANICS. THE OFFICER PERFORMS BASIC MAINTENANCE ON PD VEHICLES, PD EQUIPMENT AND LESO AWARDED EQUIPMENT.</t>
  </si>
  <si>
    <t>2YTANX60230871</t>
  </si>
  <si>
    <t>THE PLIERS WILL BE USED BY THE ARP POLICE DEPARTMENT FOR LAW ENFORCEMENT PURPOSES ONLY. ARP PD HAS AN OFFICER ON STAFF WITH HIS 2 YEAR DEGREE IN AUTOMOTIVE MECHANICS. THE OFFICER PERFORMS BASIC MAINTENANCE ON PD VEHICLES, PD EQUIPMENT AND LESO AWARDED EQUIPMENT. I CONTACTED RED RIVER AND WAS TOLD THE PLIERS REQUESTED ARE DIFFERENT SIZES.</t>
  </si>
  <si>
    <t>2YTANX60230872</t>
  </si>
  <si>
    <t>HANDLE,SOCKET WRENC</t>
  </si>
  <si>
    <t>2YTANX53529524</t>
  </si>
  <si>
    <t>THE VISE WILL BE USED BY THE ARP POLICE DEPARTMENT FOR LAW ENFORCEMENT PURPOSES ONLY. ARP PD HAS AN OFFICER WHO HAS HIS 2 YEAR DEGREE IN AUTOMOTIVE MECHANICS. THE OFFICERS PERFORMS ALL BASIC MAINTENANCE ON PD OWNED VEHICLES AND LESO EQUIPMENT. THE OFFICER WILL USE THE VISES WHILE WORKING ON THE VEHICLES AND EQUIPMENT.</t>
  </si>
  <si>
    <t>2YTANX53529525</t>
  </si>
  <si>
    <t>THE PLIERS WILL BE USED BY THE ARP POLICE DEPARTMENT FOR LAW ENFORCEMENT PURPOSES ONLY. ARP PD HAS AN OFFICER WHO HAS HIS 2 YEAR DEGREE IN AUTOMOTIVE MECHANICS. THE OFFICERS PERFORMS ALL BASIC MAINTENANCE ON PD OWNED VEHICLES AND LESO EQUIPMENT. THE OFFICER WILL USE THE PLIERS ON THE VEHICLES AND EQUIPMENT.</t>
  </si>
  <si>
    <t>2YTANX60230856</t>
  </si>
  <si>
    <t>2YTANX60230796</t>
  </si>
  <si>
    <t>THE SOCKETS WILL BE USED BY THE ARP POLICE DEPARTMENT FOR LAW ENFORCEMENT PURPOSES ONLY. ARP PD HAS AN OFFICER ON STAFF WITH HIS 2 YEAR DEGREE IN AUTOMOTIVE MECHANICS. THE OFFICER PERFORMS BASIC MAINTENANCE ON PD VEHICLES, PD EQUIPMENT AND LESO AWARDED EQUIPMENT. I CONTACTED RED RIVER AND WAS TOLD THE SOCKETS REQUESTED ARE DIFFERENT SIZES.</t>
  </si>
  <si>
    <t>2YTANX60230798</t>
  </si>
  <si>
    <t>2YTANX60230800</t>
  </si>
  <si>
    <t>2YTANX60230804</t>
  </si>
  <si>
    <t>THE WRENCHES WILL BE USED BY THE ARP POLICE DEPARTMENT FOR LAW ENFORCEMENT PURPOSES ONLY. ARP PD HAS AN OFFICER ON STAFF WITH HIS 2 YEAR DEGREE IN AUTOMOTIVE MECHANICS. THE OFFICER PERFORMS BASIC MAINTENANCE ON PD VEHICLES, PD EQUIPMENT AND LESO AWARDED EQUIPMENT. I CONTACTED RED RIVER AND WAS TOLD THE WRENCHES REQUESTED ARE DIFFERENT SIZES.</t>
  </si>
  <si>
    <t>2YTANX60230807</t>
  </si>
  <si>
    <t>2YTANX60230808</t>
  </si>
  <si>
    <t>2YTANX60230809</t>
  </si>
  <si>
    <t>2YTANX60230812</t>
  </si>
  <si>
    <t>2YTANX60230815</t>
  </si>
  <si>
    <t>2YTANX60230817</t>
  </si>
  <si>
    <t>WRENCH,BOX</t>
  </si>
  <si>
    <t>2YTANX60230820</t>
  </si>
  <si>
    <t>2YTANX60230824</t>
  </si>
  <si>
    <t>2YTANX60230828</t>
  </si>
  <si>
    <t>2YTANX60230829</t>
  </si>
  <si>
    <t>2YTANX60029631</t>
  </si>
  <si>
    <t>THE HAMMERS WILL BE USED BY THE ARP POLICE DEPARTMENT FOR LAW ENFORCEMENT PURPOSES ONLY. ARP PD HAS AN OFFICER WITH HIS 2 YEAR AUTOMOTIVE MECHANIC DEGREE. THE OFFICER PERFORMS ALL BASIC MAINTENANCE ON PD VEHS AND LESO AWARDED EQUIPMENT. THE OFFICER WILL USE THE HAMMERS WHILE ON DUTY ONLY. OFFICERS WILL ALSO BE BUILDING A WALL IN THE GYM TO SEPARATE THE PD GYM FROM OTHER ACTIVITIES.</t>
  </si>
  <si>
    <t>2YTANX60029636</t>
  </si>
  <si>
    <t>THE WRENCHES WILL BE USED BY THE ARP POLICE DEPARTMENT FOR LAW ENFORCEMENT PURPOSES ONLY. ARP PD HAS AN OFFICER WITH HIS 2 YEAR AUTOMOTIVE MECHANIC DEGREE. THE OFFICER PERFORMS ALL BASIC MAINTENANCE ON PD VEHS AND LESO AWARDED EQUIPMENT. THE OFFICER WILL USE THE WRENCHES WHILE ON DUTY ONLY.</t>
  </si>
  <si>
    <t>2YTANX60231026</t>
  </si>
  <si>
    <t>THE SOCKETS WILL BE USED BY THE ARP POLICE DEPARTMENT FOR LAW ENFORCEMENT PURPOSES ONLY. ARP POLICE DEPARTMENT HAS AN OFFICER ON STAFF WITH HIS 2 YEAR DEGREE IN AUTOMOTIVE MECHANICS. THE OFFICER PERFORMS ALL BASIC MAITENANCE ON PD VEHICLES, PD EQUIPMENT AND LESO AWARDED EQUIPMENT. RED RIVER STATES THAT THESE SOCKETS ARE OF DIFFERENT SIZES. THE OFFICER NEEDS A COMPLETE SET FOR CHANGING BRAKES, BATTERIES, OIL, SHOCKS, AIR FILTERS, TIRES, ETC.</t>
  </si>
  <si>
    <t>2YTANX60029639</t>
  </si>
  <si>
    <t>THE POWER DRIVEN HAND TOOLS WILL BE USED BY THE ARP POLICE DEPARTMENT FOR LAW ENFORCEMENT PURPOSES ONLY. ARP PD HAS AN OFFICER WITH HIS 2 YEAR AUTOMOTIVE MECHANIC DEGREE. THE OFFICER PERFORMS ALL BASIC MAINTENANCE ON PD VEHS AND LESO AWARDED EQUIPMENT. THE OFFICER WILL USE THE TOOLS WHILE ON DUTY ONLY.</t>
  </si>
  <si>
    <t>2YTANX60230833</t>
  </si>
  <si>
    <t>HE HAND TOOLS WILL BE USED BY THE ARP POLICE DEPARTMENT FOR LAW ENFORCEMENT PURPOSES ONLY. ARP PD HAS AN OFFICER ON STAFF WITH HIS 2 YEAR DEGREE IN AUTOMOTIVE MECHANICS. THE OFFICER PERFORMS BASIC MAINTENANCE ON PD VEHICLES, PD EQUIPMENT AND LESO AWARDED EQUIPMENT. I CONTACTED RED RIVER AND WAS TOLD THE HAND TOOLS REQUESTED ARE DIFFERENT.</t>
  </si>
  <si>
    <t>2YTANX60301796</t>
  </si>
  <si>
    <t>DSGRINDE1</t>
  </si>
  <si>
    <t>GRINDER, POWER</t>
  </si>
  <si>
    <t>THE POWER GRINDER WILL BE USED BY THE ARP POLICE DEPARTMENT FOR LAW ENFORCEMENT PURPOSES ONLY. ARP PD HAS AN OFFICER WITH HIS 2 YEAR DEGREE IN AUTOMOTIVE MECHANICS. HE PERFORMS BASIC MAINTENANCE ON ALL PD VEHICLES, PD EQUIPMENT AND LESO AWARDED EQUIPMENT. THE POWER GRINDER WILL BE USED TO REMOVE NUTS AND BOLTS THAT CANNOT BE REMOVED WITH STANDARD TOOLS SO REPAIRS CAN BE MADE.</t>
  </si>
  <si>
    <t>2YTANX60029637</t>
  </si>
  <si>
    <t>THE HAND TOOLS WILL BE USED BY THE ARP POLICE DEPARTMENT FOR LAW ENFORCEMENT PURPOSES ONLY. ARP PD HAS AN OFFICER WITH HIS 2 YEAR AUTOMOTIVE MECHANIC DEGREE. THE OFFICER PERFORMS ALL BASIC MAINTENANCE ON PD VEHS AND LESO AWARDED EQUIPMENT. THE OFFICER WILL USE THE TOOLS WHILE ON DUTY ONLY.</t>
  </si>
  <si>
    <t>2YTANX60584022</t>
  </si>
  <si>
    <t>THE POWER WRENCH WILL BE USED BY THE ARP POLICE DEPARTMENT FOR LAW ENFORCEMENT PURPOSES ONLY. OFFICERS WILL USE THE POWER WRENCH FOR BASIC VEHICLE AND EQUIPMENT MAINTENANCE SUCH AS OIL CHANGES, BRAKES, BATTERY EXCHANGES, ETC.</t>
  </si>
  <si>
    <t>2YTANX60584110</t>
  </si>
  <si>
    <t>THE POWER SANDER WILL BE USED BY THE ARP POLICE DEPARTMENT FOR LAW ENFORCEMENT PURPOSES ONLY. OFFICERS ARE BUILDING SHOOTING BENCHES AT THE PD RANGE FOR SHOOTING OUT TO 200 YARDS. THE SANDER WILL BE USED TO SAND THE BENCHES.</t>
  </si>
  <si>
    <t>2YTANX60029633</t>
  </si>
  <si>
    <t>THE POWER WRENCH WILL BE USED BY THE ARP POLICE DEPARTMENT FOR LAW ENFORCEMENT PURPOSES ONLY. ARP PD HAS AN OFFICER WITH HIS 2 YEAR AUTOMOTIVE MECHANIC DEGREE. THE OFFICER PERFORMS ALL BASIC MAINTENANCE ON PD VEHS AND LESO AWARDED EQUIPMENT. THE OFFICER WILL USE THE POWER WRENCHES WHILE ON DUTY ONLY.</t>
  </si>
  <si>
    <t>2YTANX60583547</t>
  </si>
  <si>
    <t>THE POWER SAW WILL BE USED BY THE ARP POLICE DEPARTMENT FOR LAW ENFORCEMENT PURPOSES ONLY. OFFICERS WILL USE THE POWER SAW TO BUILD TARGET POINTS ON THE PD RANGE. THE SAWS WERE VIEWED DURING OUR RECENT LESO PICKUP AND ARE BRAND NEW IN THE WRAPPER.</t>
  </si>
  <si>
    <t>2YTANX60583548</t>
  </si>
  <si>
    <t>THE POWER TOOLS WILL BE USED BY THE ARP POLICE DEPARTMENT FOR LAW ENFORCEMENT PURPOSES ONLY. OFFICERS WILL USE THE POWER TOOLS TO AID IN PERFORMING BASIC MAINTENANCE ON PATROL UNITS AND LESO AWARDED EQUIPMENT SUCH AS OIL CHANGES, BRAKE CHANGES, ETC. THIS ITEM WAS VIEWED DURING OUR RECENT LESO PICKUP AND IS IN LIKE NEW CONDITION.</t>
  </si>
  <si>
    <t>2YTANX60583760</t>
  </si>
  <si>
    <t>THE POWER DRIVEN HAND TOOL WILL BE USED BY THE ARP POLICE DEPARTMENT FOR LAW ENFORCEMENT PURPOSES ONLY. THE POWER DRIVEN HAND TOOL IS A HAND SAW THAT WAS VIEWED DURING OUR LAST LESO PICKUP. THE HAND SAW IS BRAND NEW. OFFICERS WILL USE THE HAND SAWS TO BUILD WOODEN TARGET POINTS AT THE PD FIREARMS RANGE.</t>
  </si>
  <si>
    <t>2YTANX60583890</t>
  </si>
  <si>
    <t>THE POWER SANDER WILL BE USED BY THE ARP POLICE DEPARTMENT FOR LAW ENFORCEMENT PURPOSES ONLY. OFFICERS WILL USE THE SANDERS TO CLEAN RUST OFF OF PD EQUIPMENT AND LESO EQUIPMENT TO PROTECT THE EQUIPMENT FROM FURTHER DAMAGE. THE AREAS WILL THEN BE SPRAYED WITH RUSTOLEUM PAINT.</t>
  </si>
  <si>
    <t>2YTANX60583545</t>
  </si>
  <si>
    <t>DSIMPACT0</t>
  </si>
  <si>
    <t>IMPACT DRILL, POWER</t>
  </si>
  <si>
    <t>THE POWER IMPACT DRILL WILL BE USED BY THE ARP POLICE DEPARTMENT FOR LAW ENFORCEMENT PURPOSES ONLY. OFFICERS WILL USE THE IMPACT DRILL TO REMOVE AND CHANGE TIRES ON PATROL UNITS AND LESO AWARDED EQUIPMENT. THE IMPACT DRILLS WERE VIEWED DURING OUR RECENT LESO PICKUP AND ARE IN LIKE NEW CONDITION.</t>
  </si>
  <si>
    <t>2YTANX60230831</t>
  </si>
  <si>
    <t>2YTANX53529522</t>
  </si>
  <si>
    <t>THE PRESSING TOOL WILL BE USED BY THE ARP POLICE DEPARTMENT FOR LAW ENFORCEMENT PURPOSES ONLY. ARP PD HAS AN OFFICER WHO HAS HIS 2 YEAR DEGREE IN AUTOMOTIVE MECHANICS. THE OFFICERS PERFORMS ALL BASIC MAINTENANCE ON PD OWNED VEHICLES AND LESO EQUIPMENT. THE OFFICER WILL USE THE PRESSING TOOL ON THE VEHICLES AND EQUIPMENT.</t>
  </si>
  <si>
    <t>2YTANX60795786</t>
  </si>
  <si>
    <t>THE PAINT GUN WILL BE USED BY THE ARP POLICE DEPARTMENT FOR LAW ENFORCEMENT PURPOSES ONLY. THE PAINT SPRAYER WILL BE USED BY OFFICERS TO PAINT METAL TARGETS AT THE PD RANGE. OFFICERS WILL ALSO USE THE SPRAYER TO SEAL WOOD BENCHES, TARGET STANDS AND SHOOTING PLATFORMS.</t>
  </si>
  <si>
    <t>2YTANX60230873</t>
  </si>
  <si>
    <t>THE GRINDER WILL BE USED BY THE ARP POLICE DEPARTMENT FOR LAW ENFORCEMENT PURPOSES ONLY. ARP PD HAS AN OFFICER ON STAFF WITH HIS 2 YEAR DEGREE IN AUTOMOTIVE MECHANICS. THE OFFICER PERFORMS BASIC MAINTENANCE ON PD VEHICLES, PD EQUIPMENT AND LESO AWARDED EQUIPMENT.</t>
  </si>
  <si>
    <t>2YTANX60372366</t>
  </si>
  <si>
    <t>THE THREAD REPAIR TOOLS WILL BE USED BY THE ARP POLICE DEPARTMENT FOR LAW ENFORCEMENT PURPOSES ONLY. ARP PD HAS AN OFFICER WITH HIS 2 YEAR DEGREE IN AUTOMOTIVE MECHANICS. THE OFFICER PERFORMS BASIC MAINTENANCE ON PD VEHICLES, PD EQUIPMENT AND LESO AWARDED EQUIPMENT. THE THREAD REPAIR TOOLS WILL BE USED TO REPAIR DAMAGED THREADS DURING BRAKE REPAIRS AND OTHER REPAIRS TO EQUIPMENT.</t>
  </si>
  <si>
    <t>2YTANX60372368</t>
  </si>
  <si>
    <t>THE POWER METAL SNIPS WILL BE USED BY THE ARP POLICE DEPARTMENT FOR LAW ENFORCEMENT PURPOSES ONLY. OFFICERS WILL USE THE METAL SNIPS TO MAKE REPAIRS TO PD EQUIPMENT AND LESO AWARDED EQUIPMENT. OFFICERS WILL ALSO BE ABLE TO UTILIZE THE POWER METAL SNIPS TO GAIN ACCESS TO VEHICLE HIDDEN COMPARTMENTS AND LOCKED SAFES WHILE CONDUCTING SEARCH WARRANTS.</t>
  </si>
  <si>
    <t>2YTANX60301411</t>
  </si>
  <si>
    <t>THE POWER DRIVEN HAND TOOLS WILL BE USED BY ARP POLICE DEPARTMENT FOR LAW ENFORCEMENT PURPOSES. ARP PD HAS AN OFFICER WITH HIS 2 YEAR DEGREE IN AUTOMOTIVE MECHANICS. THE OFFICER PERFORMS BASIC MAINTENANCE ON PD VEHS, PD EQUIPMENT AND LESO EQUIP. HE PERFORMS OIL CHANGES, TIRE ROTATIONS, BRAKE CHANGES, ETC.</t>
  </si>
  <si>
    <t>2YTANX60231024</t>
  </si>
  <si>
    <t>BIT,SPADE,WOOD BORING</t>
  </si>
  <si>
    <t>THE WOOD BORING BIT WILL BE USED BY THE ARP POLICE DEPARTMENT FOR LAW ENFORCEMENT PURPOSES ONLY. ARP PD IS BUILDING A WOODEN WALL IN OUR GYM TO SEPARATE THE PD GYM FROM PD EQUIPMENT. OFFICERS WILL USE THE WOOD BORING BIT WHILE BUILDING THE WALLS. OFFICERS WILL BE BUILDING THE WALL WHILE ON DUTY. THE WOOD BORING BITS WILL BE USED TO DRILL HOLES IN THE WOOD 2X6S TO RUN WIRE FOR PLUGS AND LIGHTS.</t>
  </si>
  <si>
    <t>2YTANX60231025</t>
  </si>
  <si>
    <t>2YTANX60231023</t>
  </si>
  <si>
    <t>2YTANX60230870</t>
  </si>
  <si>
    <t>THE DRILL BITS WILL BE USED BY THE ARP POLICE DEPARTMENT FOR LAW ENFORCEMENT PURPOSES ONLY. ARP PD HAS AN OFFICER ON STAFF WITH HIS 2 YEAR DEGREE IN AUTOMOTIVE MECHANICS. THE OFFICER PERFORMS BASIC MAINTENANCE ON PD VEHICLES, PD EQUIPMENT AND LESO AWARDED EQUIPMENT.</t>
  </si>
  <si>
    <t>2YTANX60230836</t>
  </si>
  <si>
    <t>DRILL,TWIST</t>
  </si>
  <si>
    <t>THE TWIST DRILL WILL BE USED BY THE ARP POLICE DEPARTMENT FOR LAW ENFORCEMENT PURPOSES ONLY. ARP PD HAS AN OFFICER ON STAFF WITH HIS 2 YEAR DEGREE IN AUTOMOTIVE MECHANICS. THE OFFICER PERFORMS BASIC MAINTENANCE ON PD VEHICLES, PD EQUIPMENT AND LESO AWARDED EQUIPMENT.</t>
  </si>
  <si>
    <t>2YTANX60029627</t>
  </si>
  <si>
    <t>DRILL SET,TWIST</t>
  </si>
  <si>
    <t>THE DRILL BITS WILL BE USED BY THE ARP POLICE DEPARTMENT FOR LAW ENFORCEMENT PURPOSES ONLY. ARP PD HAS AN OFFICER WITH HIS 2 YEAR AUTOMOTIVE MECHANIC DEGREE. THE OFFICER PERFORMS ALL BASIC MAINTENANCE ON PD VEHS AND LESO AWARDED EQUIPMENT. THE OFFICER WILL USE THE DRILL BITS WHILE ON DUTY ONLY.</t>
  </si>
  <si>
    <t>2YTANX60231625</t>
  </si>
  <si>
    <t>DSCABINE0</t>
  </si>
  <si>
    <t>CABINET, TOOL</t>
  </si>
  <si>
    <t>THE TOOL CABINETS WILL BE USED BY THE ARP POLICE DEPARTMENT FOR LAW ENFORCEMENT PURPOSES ONLY. ARP PD WILL UTILIZE THE TOOL CABINETS TO SECURELY STORE PD TOOLS AND LESO AWARDED TOOLS. WE ARE REQUESTING 2 CABINETS TO KEEP PD AND LESO AWARDED TOOLS SEPARATE FOR ACCOUNTABILITY. THE CABINETS WILL ONLY BE USED WHILE OFFICERS ARE ON DUTY AND FOR BASIC MAINTENANCE OF PD AND LESO VEHS AND EQUIPMENT.</t>
  </si>
  <si>
    <t>2YTANX60029603</t>
  </si>
  <si>
    <t>2YTANX53539510</t>
  </si>
  <si>
    <t>THE CARPENTERS TOOLS WILL BE USED BY THE ARP POLICE DEPARTMENT FOR LAW ENFORCEMENT PURPOSES ONLY. ARP PD IS BUILDING A WALL IN THE GYM SEPARATING THE GYM FROM OTHER EQUIPMENT TO PROTECT GYM EQUIPMENT FROM DIRT AND DUST. OFFICERS WILL USE THE CARPENTER TOOLS TO ASSIST IN BUILDING THE WALL. THE LAST CARPENTER TOOL KIT THAT ARP PD WAS AWARDED WAS MISSING THE MAJORITY OF THE TOOLS.</t>
  </si>
  <si>
    <t>2YTANX60029621</t>
  </si>
  <si>
    <t>THE MECHANIC TOOLS WILL BE USED BY THE ARP POLICE DEPARTMENT FOR LAW ENFORCEMENT PURPOSES ONLY. ARP PD HAS AN OFFICER WITH HIS 2 YEAR AUTOMOTIVE MECHANIC DEGREE. THE OFFICER PERFORMS ALL BASIC MAINTENANCE ON PD VEHS AND LESO AWARDED EQUIPMENT. THE OFFICER WILL USE THE TOOLS WHILE ON DUTY ONLY. THE LAST 2 MECHANICS TOOL KITS ARP PD WAS AWARDED WERE MISSING A SIGNIFICANT AMOUNT OF TOOLS.</t>
  </si>
  <si>
    <t>2YTANX60230874</t>
  </si>
  <si>
    <t>TOOL KIT,DIESEL ENGINE</t>
  </si>
  <si>
    <t>THE DIESEL TOOLS WILL BE USED BY THE ARP POLICE DEPARTMENT FOR LAW ENFORCEMENT PURPOSES ONLY. ARP PD HAS AN OFFICER ON STAFF WITH HIS 2 YEAR DEGREE IN AUTOMOTIVE MECHANICS. THE OFFICER PERFORMS BASIC MAINTENANCE ON PD VEHICLES, PD EQUIPMENT AND LESO AWARDED EQUIPMENT.</t>
  </si>
  <si>
    <t>2YTANX60161038</t>
  </si>
  <si>
    <t>THE ELECTRICIANS TOOLS WILL BE USED BY THE ARP POLICE DEPARTMENT FOR LAW ENFORCEMENT PURPOSES ONLY. ARP PD IS IN THE PROCESS OF BUILDING A WALL IN THE PD GYM THAT SEPARATES THE GYM FROM PD EQUIPMENT. THE WALL WILL HAVE WIRING FOR ELECTRICAL PLUGS AND LIGHTS. THE ELECTRICAL TOOLS WILL BE USED BY OFFICERS TO INSTALL ELECTRICAL PLUGS AND LIGHTS WITHIN THE WALL.</t>
  </si>
  <si>
    <t>2YTANX60725816</t>
  </si>
  <si>
    <t>THE TOOLS WILL BE USED BY THE ARP POLICE DEPARTMENT FOR LAW ENFORCEMENT PURPOSES ONLY. ARP PD HAS AN OFFICER WILL HIS 2 YEAR DEGREE IN AUTOMOTIVE MECHANICS. THE OFFICER HAS RECENTLY CHANGED AN ALTERNATOR AND FRONT BRAKES WITH ROTORS ON A UNIT SAVING OVER 1000 DOLLARS. ARP PD IS STILL TRYING TO GET A COMPLETE SET OF TOOLS. WE WILL NOT RECEIVE THESE IF THEY DO NOT HAVE TO TOOLS WE NEED. THE TWO KITS THAT WERE APPROVED THIS WEEK WERE Y9 CODED TODAY.</t>
  </si>
  <si>
    <t>2YTANX60443408</t>
  </si>
  <si>
    <t>THE GENERATOR WILL BE USED BY THE ARP POLICE DEPARTMENT FOR LAW ENFORCEMENT PURPOSES. OFFICERS WILL USE THE GENERATORS TO CHARGE HANDHELD RADIOS, COMPUTERS, LAPTOPS AND BODY CAMERAS DURING A LOSE OF ELECTRICITY. ARP PD WAS JUST AWARDED 2 OF THESE GENERATORS. WE ARE UNABLE TO GET 1 OF THEM STARTED AFTER CHANGING THE SPARK PLUG AND FLUIDS.</t>
  </si>
  <si>
    <t>2YTANX60029827</t>
  </si>
  <si>
    <t>CASE,POWER GENERATO</t>
  </si>
  <si>
    <t>THE INVERTER GENERATOR WILL BE USED BY THE ARP POLICE DEPARTMENT FOR LAW ENFORCEMENT PURPOSES ONLY. OFFICERS WILL USE THE GENERATOR TO PROVIDE POWER TO THE POLICE DEPARTMENT AND WARMING SHELTER WHEN THERE IS NO POWER. OFFICERS WILL USE THE GENERATOR TO RECHARGE PD ISSUED CELLPHONES, PD ISSUED LAPTOPS AND PD ISSUED HANDHELD RADIOS.</t>
  </si>
  <si>
    <t>2YTANX60029826</t>
  </si>
  <si>
    <t>2YTANX60029825</t>
  </si>
  <si>
    <t>THE PORTABLE LIGHTING EQUIPMENT WILL BE USED BY THE ARP POLICE DEPARTMENT FOR LAW ENFORCEMENT PURPOSES ONLY. OFFICERS WILL USE THE PORTABLE LIGHTING EQUIPMENT TO LIGHT UP CRIME SCENES DURING LOW LIGHT HOURS. THE LIGHTING EQUIPMENT WILL ALSO BE USED WHEN POWER IS LOST TO THE POLICE DEPARTMENT AND WARMING SHELTER.</t>
  </si>
  <si>
    <t>2YTANX60090221</t>
  </si>
  <si>
    <t>THE PORTABLE HAND LIGHTING WILL BE USED BY THE ARP POLICE DEPARTMENT FOR LAW ENFORCEMENT PURPOSES ONLY. OFFICERS WILL USE THE PORTABLE HAND LIGHTING DURING LOW LIGHT TIMES OF THE DAY ON CRIME SCENES AND IN BUILDINGS WHERE THERE IS ZERO TO NO LIGHTING.</t>
  </si>
  <si>
    <t>2YTANX60776396</t>
  </si>
  <si>
    <t>DSGUNCABI</t>
  </si>
  <si>
    <t>GUN CABINET/SAFE</t>
  </si>
  <si>
    <t>THE GUN SAFE WILL BE USED BY THE ARP POLICE DEPARTMENT FOR LAW ENFORCEMENT PURPOSES ONLY. THE ARP PD EVIDENCE AND PROPERTY TECHNICIAN WILL UTILIZE THE GUN SAFE TO SECURE LESO FIREARMS, PD FIREARMS AND FIREARMS SEIZED FOR EVIDENCE.</t>
  </si>
  <si>
    <t>2YTANX53538842</t>
  </si>
  <si>
    <t>SET,ARMY COMBAT FITNESS EQUIPMENT</t>
  </si>
  <si>
    <t>THE GYM EQUIPMENT WILL BE USED BY THE ARP POLICE DEPARTMENT FOR LAW ENFORCEMENT PURPOSES ONLY. ARP PD HAS AN OFFICER WELLNESS POLICY THAT ALLOWS OFFICERS TO WORKOUT ON DUTY. OFFICERS WILL USE THE GYM EQUIPMENT IN THE PD GYM WHILE ON DUTY.</t>
  </si>
  <si>
    <t>2YTANX60655526</t>
  </si>
  <si>
    <t>CLEANER,VACUUM,ELECTRIC</t>
  </si>
  <si>
    <t>THE VACUUM CLEANERS WILL BE USED BY THE ARP POLICE DEPARTMENT FOR LAW ENFORCEMENT PURPOSES ONLY. OFFICERS WILL USE ONE OF THE VACUUM CLEANERS TO VACUUM THE POLICE DEPARTMENT AND THE OTHER TO VACUUM THE GYM.</t>
  </si>
  <si>
    <t>2YTANX60029618</t>
  </si>
  <si>
    <t>THE SHIPPING CONTAINER WILL BE USED BY THE ARP POLICE DEPARTMENT FOR LAW ENFORCEMENT PURPOSES ONLY. ARP PD WILL USE THE SHIPPING CONTAINER TO STORE PD OWNED AND LESO AWARDED EQUIPMENT IN AN ORGANIZED AND SECURE MANNER.</t>
  </si>
  <si>
    <t>2YTANX60442993</t>
  </si>
  <si>
    <t>DSTENT000</t>
  </si>
  <si>
    <t>THE CANOPY TENTS WILL BE USED BY THE ARP POLICE DEPARTMENT FOR LAW ENFORCEMENT PURPOSES ONLY. THE CANOPY TENTS WERE VIEWED DURING OUR LAST PICKUP. OFFICERS WILL USE THE CANOPY TENTS TO PROTECT THEMSELVES FROM THE ELEMENTS WHILE WORKING EXTENDED CRIME SCENES. THE CANOPY TENT WILL ALSO BE USED TO PROTECT OUTDOOR CRIME SCENES FROM THE ELEMENTS. ARP PD HAS NOT BEEN AWARDED CANOPY TENTS IN THE PAST.</t>
  </si>
  <si>
    <t>2YTANX60029625</t>
  </si>
  <si>
    <t>TENT, MODULAR COMMAND POST,TAN,COMPLETE</t>
  </si>
  <si>
    <t>THE COMMAND POST TENT WILL BE USED BY THE ARP POLICE DEPARTMENT FOR LAW ENFORCEMENT PURPOSES ONLY. ARP PD WILL USE THE COMMAND POST TENT DURING EXTENDED CRITICAL INCIDENTS SUCH AS ACTIVE SHOOTERS AND INCIDENTS THAT REQUIRE A PROLONGED POLICE PRESENCE.</t>
  </si>
  <si>
    <t>2YTANX60029620</t>
  </si>
  <si>
    <t>THE MECHANICS COVERALLS WILL BE USED BY THE ARP POLICE DEPARTMENT FOR LAW ENFORCEMENT PURPOSES ONLY. OFFICERS WILL WEAR THE COVERALLS WHILE PERFORMING VEHICLE MAINTENANCE AND CONDUCTING RANGE MAINTENANCE ON THE PD OWNED FIREARMS RANGE. THE COVERALLS WILL PREVENT THE OFFICERS FROM RUINING THEIR UNIFORMS.</t>
  </si>
  <si>
    <t>BALCONES HEIGHTS POLICE DEPT (2YTAUL)</t>
  </si>
  <si>
    <t>2YTAUL60513372</t>
  </si>
  <si>
    <t>PRINTER,AUTOMATIC DATA PROCESSING</t>
  </si>
  <si>
    <t>THIS EQUIPMENT WILL ONLY BE USED FOR THE BALCONES HEIGHTS POLICES DEPARTMENT FOR LAW ENFORCEMENT PURPOSES.
THEY WILL BE ISSUED TO THE CRIMINAL INVESTIGATIVE DIVISION.</t>
  </si>
  <si>
    <t>BASTROP CSO (2YTN6A)</t>
  </si>
  <si>
    <t>2YTN6A60655374</t>
  </si>
  <si>
    <t>GOGGLES,BALLISTIC</t>
  </si>
  <si>
    <t>FOR USE BY THE BASTROP COUNTY SHERIFF'S OFFICE FOR EYE PROTECTION ON THE FIRING RANGE.</t>
  </si>
  <si>
    <t>2YTN6A60725373</t>
  </si>
  <si>
    <t>FOR USE BY THE BASTROP COUNTY SHERIFF'S OFFICE FOR BACK UP POWER TO THE FIRING RANGE AND OTHER OUTDOOR FACILITIES.</t>
  </si>
  <si>
    <t>2YTN6A60796841</t>
  </si>
  <si>
    <t>FLASHLIGHT</t>
  </si>
  <si>
    <t>FOR USE BY THE BASTROP COUNTY SHERIFF'S OFFICE FOR EMERGENCY LIGHTING AND BACK UP SEARCH LIGHTS.</t>
  </si>
  <si>
    <t>2YTN6A60796842</t>
  </si>
  <si>
    <t>FOR USE BY THE BASTROP COUNTY SHERIFF'S OFFICE FOR EMERGENCY BACK UP LIGHTING.</t>
  </si>
  <si>
    <t>2YTN6A60796840</t>
  </si>
  <si>
    <t>FOR USE BY THE BASTROP COUNTY SHERIFF'S OFFICE FOR EMERGENCY FIRST AID IN FIELD AND RANGE CONDITIONS.</t>
  </si>
  <si>
    <t>BROWNWOOD POLICE DEPT (2YTBMB)</t>
  </si>
  <si>
    <t>2YTBMB60725424</t>
  </si>
  <si>
    <t>THESE UNITS WILL SUPPLEMENT NIGHT TIME OPERATIONS FOR THE BROWNWOOD SWAT TEAM, ENHANCING OFFICER SAFETY. THESE UNITS HAVE BEEN CONFIRMED TO BE WORKING AND OPERATIONAL.</t>
  </si>
  <si>
    <t>CAMP CSO (2YTBWR)</t>
  </si>
  <si>
    <t>2YTBWR60654184</t>
  </si>
  <si>
    <t>CAMP COUNTY SHERIFFS OFFICE IS REQUESTING THIS ITEM TO ASSIST WITH SEARCH AND RESCUE AND LAW ENFORCEMENT OPERATIONS FOR OUR DEPARTMENT.  DUE TO THE GEOGRAPHICAL MAKEUP OF THIS COUNTY, WOODED, SWAMPS, LAKE FRONT, A ATV IS REQUIRED TO ACCESS THESE AREAS AS REGULAR LEO VEHICLES CANNOT.  THIS IS A MUST HAVE FOR THIS DEPARTMENT AND WITH LIMITED FUNDING RTD IS THE ONLY AVENUE AVAILABLE TO US. PRIORITY REQUEST.</t>
  </si>
  <si>
    <t>ERATH CSO (2YTDTW)</t>
  </si>
  <si>
    <t>2YTDTW53397961</t>
  </si>
  <si>
    <t>ITEM WILL BE USED BY ERATH COUNTY SHERIFF OFFICE FOR LAW ENFORCEMENT USE ONLY. ITEM WILL BE USED AT THE SHOOTING RANGE WE ARE BUILDING. ITEM WILL STORE TARGETS, REPAIR EQUIPMENT, AIR COMPRESSOR, AND OTHER ITEMS THAT NEED TO BE OUT OF THE WEATHER. ITEM WILL KEEP OUR EQUIPMENT SAFE, SECURE, AND LONG TIME USE.</t>
  </si>
  <si>
    <t>FALLS CSO (2YTDYY)</t>
  </si>
  <si>
    <t>2YTDYY53609067</t>
  </si>
  <si>
    <t>RESPECTFULLY REQUEST THIS UNIT FOR USE WITH SRT OPERATIONS.</t>
  </si>
  <si>
    <t>2YTDYY60090731</t>
  </si>
  <si>
    <t>RESPECTFULLY REQUEST ONE SMALL ARMS TOOL TO TO BE ISSUED TO FCSO MAINTENANCE-ARMORER OFFICER TO PERFORM LAW ENFORCEMENT DUTIES.  THE TOOL KIT WILL BE FOR THE SOLE USE OF THE FCSO PERFORMING LAW ENFORCEMENT DUTIES.</t>
  </si>
  <si>
    <t>2YTDYY60090728</t>
  </si>
  <si>
    <t>RESPECTFULLY REQUEST TWO MES COMBAT MEDIC KIT TO SOLELY BE USED BY THE FCSO DURING MASS CAUSALITY EVENTS LIKE SCHOOL OR CHURCH SHOOTINGS.  WE CURRENTLY DO NOT HAVE THIS CAPABILITY.</t>
  </si>
  <si>
    <t>2YTDYY60160730</t>
  </si>
  <si>
    <t>CHEST,AMMUNITION</t>
  </si>
  <si>
    <t>RESPECTFULLY REQUEST 50 AMMUNITION CHESTS TO ISSUE TO FCSO DEPUTIES FOR LAW ENFORCEMENT PURPOSES, REQUEST REFLECTS ISSUING 2-3 PER DEPUTY FOR STORING RIFLE, PISTOL AND SHOTGUN AMMO.  THE AMMO CANS WILL BE USED TO CLEAN AND ORGANIZE PATROL CARS AS WELL AS AMMO STORAGE LOCKERS.</t>
  </si>
  <si>
    <t>GRANITE SHOALS POLICE DEPT (2YTERJ)</t>
  </si>
  <si>
    <t>2YTERJ60372305</t>
  </si>
  <si>
    <t>THIS EQUIPMENT WILL BE USED FOR LAW ENFORCEMENT PURPOSES ONLY. GRANITE SHOALS POLICE DEPARTMENT CONDUCTS SEARCH AND RESCUE OPERATIONS VIA LAKE PATROL DURING PEAK AND THROUGH OUT THE BOATING SEASON. THESE ENGINES WILL PROVIDE MORE POWER AND IMPROVE RESPONSE TIMES TO CRITICAL INCIDENTS FOR OUR WATERCRAFT. OUR CURRENT ENGINE IS SHOWING AGE AND MAINTENANCE. A PREVIOUS REQUISITION WAS SUBMITTED FOR A SIMILAR ITEM BUT THAT ITEM IS ON HOLD I REQUEST THAT IT BE CANCELED IN FAVOR OF THIS REQUISITION.</t>
  </si>
  <si>
    <t>2YTERJ60372307</t>
  </si>
  <si>
    <t>2YTERJ60372308</t>
  </si>
  <si>
    <t>2YTERJ60372309</t>
  </si>
  <si>
    <t>2YTERJ60302011</t>
  </si>
  <si>
    <t>THIS EQUIPMENT WILL BE USED FOR LAW ENFORCEMENT PURPOSES ONLY. GRANITE SHOALS POLICE DEPARTMENT CONDUCTS SEARCH AND RESCUE OPERATIONS VIA LAKE PATROL DURING PEAK AND THROUGH OUT THE BOATING SEASON. THESE FLOATING BUOYS WILL ENHANCE OUR ABILITY TO MARK SPECIFIC LOCATIONS ON THE WATER OR GIVE WARNING OF UNSAFE LANES OR SITUATIONS AS NEEDED. THE ABILITY TO ENSURE BOATING SAFETY AND INVESTIGATIONS WILL ENHANCE OUR WATER BASED OPERATIONS.</t>
  </si>
  <si>
    <t>2YTERJ60302010</t>
  </si>
  <si>
    <t>THIS EQUIPMENT WILL BE USED FOR LAW ENFORCEMENT PURPOSES ONLY. GRANITE SHOALS POLICE DEPARTMENT OPERATES A FLEET OF PATROL VEHICLES, OUR INVENTORY INCLUDES WATERCRAFT, CIVILIAN EQUIPPED VEHICLES, AND OTHER SMALL ENGINE ASSETS. DUE TO THE COMPLEX NATURE OF OUR MAINTENANCE REQUIREMENTS WE ARE OFTEN RESPONSIBLE FOR SOURCING AND CONDUCTING OUR OWN REPAIR OR SERVICES. THIS TOOL BOX WILL ASSIST IN ENSURING THAT OUR SHOP WILL REMAIN ORGANIZED AND EFFICIENT.</t>
  </si>
  <si>
    <t>2YTERJ60302332</t>
  </si>
  <si>
    <t>THIS EQUIPMENT WILL BE USED FOR LAW ENFORCEMENT PURPOSES ONLY. GRANITE SHOALS POLICE DEPARTMENT IS EQUIPPED WITH A NUMBER OF SENSITIVE EQUIPMENT WHICH REQUIRES SPECIAL CONSIDERATION AND CARE WHEN OR IF ITS TRANSPORTED FOR ANY REASON. THIS CASE WILL ENSURE THAT EQUIPMENT ARRIVES SAFELY AND UNDAMAGED, AVAILABLE FOR IMMEDIATE DEPLOYMENT AND USE.</t>
  </si>
  <si>
    <t>2YTERJ60301872</t>
  </si>
  <si>
    <t>THIS EQUIPMENT WILL BE USED FOR LAW ENFORCEMENT PURPOSES ONLY. OFFICERS FROM THE GRANITE SHOALS POLICE DEPARTMENT CARRY A QUANTITY OF ESSENTIAL EQUIPMENT AND SUPPLIES NECESSARY TO EFFECTIVELY RESPOND TO CRITICAL INCIDENTS. THE ABILITY TO PROPERLY CONSOLIDATE AND QUICKLY ACCESS THESE VITAL ITEMS WILL ENHANCE AND EXPEDITE THE RESPONSE TO POTENTIALLY LIFE SAVING CALLS FOR SERVICE.</t>
  </si>
  <si>
    <t>2YTERJ60221871</t>
  </si>
  <si>
    <t>CARRIER,HYDRATION</t>
  </si>
  <si>
    <t>THIS EQUIPMENT WILL BE USED FOR LAW ENFORCEMENT PURPOSES ONLY. THE AMBIENT TEMPERATURE IN THE CITY OF GRANITE SHOALS OFTEN REACHES A HEAT INDEX OF ABOVE 90 DEGREES AND INTO THE LOW TRIPLE DIGITS. PROPER HYDRATION EQUIPMENT WILL MITIGATE RISK OF HEAT EXHAUSTION AND HEAT INJURIES SUSTAINED BY OFFICERS DURING PEAK SUMMER AND AT ALL TIMES.</t>
  </si>
  <si>
    <t>HOUSTON POLICE DEPT (2YTFKH)</t>
  </si>
  <si>
    <t>2YTFKH60231416</t>
  </si>
  <si>
    <t>NUT DRIVERS WILL BE USED BY HOUSTON POLICE OFFICERS IN THE HIGH WATER RESCUE UNIT TO REPAIR AND MAINTAIN HOUSTON POLICE HIGH WATER RESCUE TRUCKS FOR DEPLOYMENT TO RESCUES DURING ENVIRONMENTAL DISASTERS IN THE CITY.</t>
  </si>
  <si>
    <t>2YTFKH60372847</t>
  </si>
  <si>
    <t>FLOOR MATS WILL BE USED BY HOUSTON POLICE OFFICERS IN THE HIGH WATER RESCUE UNIT TO PROVIDE NO SLIP SURFACES WHEN REPAIRING AND REBUILDING PARTS FOR HOUSTON POLICE HIGH WATER RESCUE TRUCKS</t>
  </si>
  <si>
    <t>2YTFKH60724990</t>
  </si>
  <si>
    <t>REFRIGERATOR-FREEZE</t>
  </si>
  <si>
    <t>REFRIGERATOR WILL BE USED BY HOUSTON POLICE OFFICERS IN THE HOUSTON POLICE PROPERTY ROOM TO STORE ORGANIC AND PERISHABLE EVIDENCE USED IN PROSECUTION OF OFFENDERS</t>
  </si>
  <si>
    <t>2YTFKH53519348</t>
  </si>
  <si>
    <t>ICE MAKING MACHINE,</t>
  </si>
  <si>
    <t>HOUSTON POLICE DEPARTMENT WILL USE THIS ICE MACHINE FOR LAW ENFORCEMENT PURPOSES ONLY, IN ORDER TO KEEP DRINKS COLD ON EVENTS.</t>
  </si>
  <si>
    <t>2YTFKH53609780</t>
  </si>
  <si>
    <t>DSHEATER0</t>
  </si>
  <si>
    <t>SPACE AND WATER HEATING EQUIPMENT</t>
  </si>
  <si>
    <t>SPACE HEATERS WILL BE USED BY HOUSTON POLICE OFFICERS IN THE HIGH WATER RESCUE UNIT TO PROVIDE WARMTH DURING ENVIRONMENTAL DISASTERS AT SHIFT CHANGE LOCATIONS AND BETWEEN DEPLOYMENTS TO KEEP OFFICERS READY AND EFFECTIVE</t>
  </si>
  <si>
    <t>2YTFKH60584706</t>
  </si>
  <si>
    <t>HOSE,NONMETALLIC</t>
  </si>
  <si>
    <t>HOSES WILL BE USED BY HOUSTON POLICE OFFICERS IN THE HIGH WATER RESCUE UNIT TO BYPASS HEATER CORES ON HOUSTON POLICE HIGH WATER RESCUE TRUCKS TO REMOVE POSSIBLE COOLANT LEAK AND OVERHEATING WHILE PERFORMING RESCUES IN THE CITY DURING ENVIRONMENTAL DISASTERS</t>
  </si>
  <si>
    <t>2YTFKH60231011</t>
  </si>
  <si>
    <t>TERMINAL CRIMPERS WILL BE USED BY HOUSTON POLICE OFFICERS IN THE HIGH WATER RESCUE UNIT TO REPAIR HOUSTON POLICE HIGH WATER RESCUE TRUCKS TO MAINTAIN MISSION READINESS AND EFFECTIVENESS DURING DEPLOYMENTS IN ENVIRONMENTAL DISASTERS IN THE CITY.</t>
  </si>
  <si>
    <t>2YTFKH60796032</t>
  </si>
  <si>
    <t>ENGINE ROTATING GEAR WILL BE USED BY HOUSTON POLICE OFFICERS IN THE HIGH WATER RESCUE UNIT TO MANUALLY CRANK FLYWHEELS ON HOUSTON POLICE HIGH WATER RESCUE TRUCKS FOR REPAIRS AND TIMING TO MAINTAIN MISSION READINESS AND EFFECTIVENESS FOR DEPLOYMENT DURING ENVIRONMENTAL DISASTERS IN THE CITY</t>
  </si>
  <si>
    <t>2YTFKH60796034</t>
  </si>
  <si>
    <t>GEAR PULLER WILL BE USED BY HOUSTON POLICE OFFICERS IN THE HIGH WATER RESCUE UNIT TO REPAIR AND MAINTAIN HOUSTON POLICE HIGH WATER TRUCKS. THIS ENSURES MISSION READINESS AND EFFECTIVENESS FOR DEPLOYMENT DURING ENVIRONMENTAL DISASTERS IN THE CITY.</t>
  </si>
  <si>
    <t>2YTFKH60442846</t>
  </si>
  <si>
    <t>BORESCOPE KIT</t>
  </si>
  <si>
    <t>BORESCOPE WILL BE USED BY HOUSTON POLICE OFFICERS IN THE HIGH WATER RESCUE UNIT TO REPLACE INOPERABLE BORESCOPE USED TO EXAMINE INTERIOR PORTIONS OF ENGINES USED IN HOUSTON POLICE HIGH WATER RESCUE UNIT TO REPAIR AND MAINTAIN READINESS FOR ENVIRONMENTAL DISASTERS IN THE CITY</t>
  </si>
  <si>
    <t>2YTFKH60231602</t>
  </si>
  <si>
    <t>THERMOSTAT,FLOW CON</t>
  </si>
  <si>
    <t>THERMOSTATS WILL BE USED BY HOUSTON POLICE OFFICERS IN THE HIGH WATER RESCUE UNIT TO REPLACE DAMAGED AND INOPERABLE THERMOSTATS ON HOUSTON POLICE HIGH WATER RESCUE TRUCKS TO MAINTAIN MISSION READINESS AND EFFECTIVENESS FOR RESCUE DEPLOYMENT IN ENVIRONMENTAL DISASTERS IN THE CITY.</t>
  </si>
  <si>
    <t>2YTFKH60161078</t>
  </si>
  <si>
    <t>HOUSTON POLICE DEPARTMENT THIS RECEIVER FOR LAW ENFORCEMENT PURPOSES ONLY, IN ORDER TO HAVE SOUND IN OUR AUDIO VIDEO PRESENTATIONS.</t>
  </si>
  <si>
    <t>2YTFKH60080662</t>
  </si>
  <si>
    <t>CASES WILL BE USED BY HOUSTON POLICE OFFICERS IN THE HIGH WATER RESCUE UNIT TO STORE ITEMS ON HOUSTON POLICE HIGH WATER RESCUE TRUCKS THAT ARE NEEDED TO PERFORM RESCUES DURING DEPLOYMENTS IN ENVIRONMENTAL DISASTERS IN THE CITY</t>
  </si>
  <si>
    <t>2YTFKH60724917</t>
  </si>
  <si>
    <t>CONTAINER WILL BE USED BY HOUSTON POLICE OFFICERS IN THE ATV UNIT TO STORE DEPARTMENT OWNED ATVS USED FOR RAPID POLICE RESPONSE DURING LARGE EVENTS IN THE CITY</t>
  </si>
  <si>
    <t>2YTFKH60724919</t>
  </si>
  <si>
    <t>2YTFKH60080663</t>
  </si>
  <si>
    <t>RUCKSACKS WILL BE USED BY HOUSTON POLICE OFFICERS IN THE HIGH WATER RESCUE UNIT TO PROVIDE A DRY PLACE TO STORE THEIR ADDITIONAL DRY CLOTHING AND EQUIPMENT WHEN DEPLOYED DURING ENVIRONMENTAL DISASTERS IN THE CITY.</t>
  </si>
  <si>
    <t>2YTFKH60302425</t>
  </si>
  <si>
    <t>DUFFEL BAGS WILL BE USED BY HOUSTON POLICE OFFICERS IN THE HIGH WATER RESCUE UNIT FOR DRIVERS TO KEEP CHANGES OF CLOTHES AND EQUIPMENT THAT THEY KEEP WITH THEM DURING DEPLOYMENTS IN ENVIRONMENTAL DISASTERS</t>
  </si>
  <si>
    <t>KATY POLICE DEPT (2YTF3T)</t>
  </si>
  <si>
    <t>2YTF3T53539252</t>
  </si>
  <si>
    <t>PUBLIC ADDRESS SET</t>
  </si>
  <si>
    <t>THE KATY POLICE DEPARTMENT WILL USE THIS LONG RANGE ACOUSTIC DEVICE IN THE OFFICIAL DISCHARGE OF DEPARTMENT DUTIES RELATED TO PUBLIC SAFETY ADDRESS DURING EMERGENCY OPERATIONS.  THESE OPERATIONS MAY BE RELATED TO WARRANT SERVICES, SEARCH AND RESCUE OPERATIONS, ASSISTING OTHER AGENCIES IN CRITICAL SITUATIONS,  AND NEGOTIATIONS WITH WANTED SUSPECTS OR PERSONS IN VARIOUS STATES OF MENTAL CRISIS.</t>
  </si>
  <si>
    <t>MAGNOLIA POLICE DEPT (2YTG6G)</t>
  </si>
  <si>
    <t>2YTG6G60231572</t>
  </si>
  <si>
    <t>TO PROVIDE OFFICERS OF THE MAGNOLIA POLICE DEPARTMENT TACTICAL TEAM WITH LONG RANGE ENGAGEMENT OPTIONS IN HIGH-RISK SCENARIOS. THEY WOULD ONLY BE USED BY SWORN OFFICERS FOR OFFICIAL REASONS.</t>
  </si>
  <si>
    <t>2YTG6G60442730</t>
  </si>
  <si>
    <t>TO ALLOW THE MAGNOLIA POLICE DEPARTMENT TO TRANSPORT OFFROAD VEHICLES FOR USE IN SEARCH AND RESCUE MISSION. IT WOULD ONLY BE USED BY SWORN OFFICERS FOR OFFICIAL PURPOSES.</t>
  </si>
  <si>
    <t>2YTG6G60513971</t>
  </si>
  <si>
    <t>TO PROVIDE AN ADDITIONAL TRAILER FOR THE MAGNOLIA POLICE DEPARTMENTS OFF ROAD VEHICLES. THEY WOULD ONLY BE USED BY SWORN OFFICERS FOR OFFICIAL REASONS.</t>
  </si>
  <si>
    <t>2YTG6G60160657</t>
  </si>
  <si>
    <t>TO PROVIDE SITUATIONAL AWARENESS AND OFFICER SAFETY DURING DYNAMIC ENCOUNTERS SUCH AS HOSTAGE RESCUE AND BARRICADED SUSPECTS, WITHOUT THE NEED TO EXPOSE OFFICERS. IT WOULD ONLY BE USED BYBSWORN PERSONELL OF THE MAGNOLIA POLICE DEPARTMENT FOR OFFICIAL REASONS.</t>
  </si>
  <si>
    <t>2YTG6G60442733</t>
  </si>
  <si>
    <t>TO PROVIDE A BATTERY CHARGER FOR UNMANNED GROUND VEHICLES ACQUIRED FROM THE LESO PROGRAM, IT WOULD ONLY BE USED BY SWORN OFFICERS OF THE MAGNOLIA POLICE DEPARTMENT FOR OFFICAL REASONS.</t>
  </si>
  <si>
    <t>2YTG6G60655486</t>
  </si>
  <si>
    <t>MEDICAL EQUIPMENT S</t>
  </si>
  <si>
    <t>TO PROVIDE MEDICAL EQUIPMENT FOR THE OFFICERS OF THE MAGNOLIA POLICE DEPARTMENT, IT WOULD ONLY BE USED BY SWORN OFFICERS FOR OFFICIAL REASONS.</t>
  </si>
  <si>
    <t>2YTG6G60090658</t>
  </si>
  <si>
    <t>TO ASSIST OFFICERS OF THE MAGNOLIA POLICE DEPARTMENT IN COMBAT CASUALTY CARE TRAINING. IT WOULD ONLY BE USED BY SWORN OFFICERS FOR OFFICIAL REASONS.</t>
  </si>
  <si>
    <t>PARKS AND WILDLIFE DEPT (2YTL26)</t>
  </si>
  <si>
    <t>2YTL2660654367</t>
  </si>
  <si>
    <t>THE TEXAS PARKS AND WILDLIFE DEPARTMENT LAW ENFORCEMENT DIVISION, REGION 6, REQUESTS ATVS TO SUPPORT GAME WARDENS IN RURAL PATROL OPERATIONS. THESE VEHICLES WILL ENHANCE MOBILITY AND RESPONSE CAPABILITIES FOR SEARCH AND RESCUE MISSIONS, DISASTER RESPONSE, AND OTHER AUTHORIZED LAW ENFORCEMENT ACTIVITIES WITHIN THE DISTRICT.</t>
  </si>
  <si>
    <t>2YTL2660371988</t>
  </si>
  <si>
    <t>OUTBOARD MOTOR,GASOLINE</t>
  </si>
  <si>
    <t>THE TEXAS PARKS AND WILDLIFE DEPARTMENT LAW ENFORCEMENT DIVISION REQUESTS BOAT MOTORS FOR PATROL VESSELS OPERATING IN FRESHWATER AND SALTWATER STATEWIDE. OFFICERS RESPOND TO MARINE INCIDENTS UNDER DIVERSE CONDITIONS AND CONDUCT SEARCH, RESCUE, AND RECOVERY OPERATIONS. THE MOTORS WILL REPLACE UNITS THAT ARE NO LONGER SERVICEABLE OR COST-EFFECTIVE TO REPAIR.</t>
  </si>
  <si>
    <t>2YTL2660371990</t>
  </si>
  <si>
    <t>2YTL2660371991</t>
  </si>
  <si>
    <t>2YTL2660371992</t>
  </si>
  <si>
    <t>2YTL2660371986</t>
  </si>
  <si>
    <t>2YTL2660371987</t>
  </si>
  <si>
    <t>2YTL2660372006</t>
  </si>
  <si>
    <t>2YTL2660372005</t>
  </si>
  <si>
    <t>2YTL2660372004</t>
  </si>
  <si>
    <t>2YTL2660372003</t>
  </si>
  <si>
    <t>2YTL2660371996</t>
  </si>
  <si>
    <t>2YTL2660371998</t>
  </si>
  <si>
    <t>2YTL2660371999</t>
  </si>
  <si>
    <t>2YTL2660372000</t>
  </si>
  <si>
    <t>2YTL2660724905</t>
  </si>
  <si>
    <t>TPWD LE DIVISION REQUEST THE STORAGE CONTAINERS TO BE USED TO STORE VARIOUS EQUIPMENT AT VARIOUS LOCATIONS ACROSS THE STATE.</t>
  </si>
  <si>
    <t>PRIMERA POLICE DEPARTMENT (2YTJXJ)</t>
  </si>
  <si>
    <t>2YTJXJ60029952</t>
  </si>
  <si>
    <t>WILL BE USED FOR LAW ENFORCEMENT BY LAW ENFORCEMENT.  WILL BE USED TO POWER TRAFFIC CONTROL DEVICES OR LIGHTS DURING AN EMERGENCY WHEN POWER IS OUT.</t>
  </si>
  <si>
    <t>2YTJXJ60020054</t>
  </si>
  <si>
    <t>WILL BE USED BY LAW ENFORCEMENT FOR LAW ENFORCEMENT. TO POWER POLICE ACTIVITYS SUCH AS NATIONAL NIGHT OUT, OR TRAFFIC CONTROLL DEVICE WHEN POWER IS LOST DURING A WEATHER EVENT</t>
  </si>
  <si>
    <t>2YTJXJ60020053</t>
  </si>
  <si>
    <t>2YTJXJ60029949</t>
  </si>
  <si>
    <t>MEDIC SET</t>
  </si>
  <si>
    <t>ITEM WILL BE USED FOR LAW ENFORCEMENT BY LAW ENFORCEMENT.  EACH OFFICER WILL BE ISSUED ONE TO HAVE ON DUTY, IN CASE NEEDED FOR MEDICAL EMERGENCY.</t>
  </si>
  <si>
    <t>ROBSTOWN PD (2YTKB2)</t>
  </si>
  <si>
    <t>2YTKB260029977</t>
  </si>
  <si>
    <t>THIS VEHICLE WILL BE USED BY ROBSTOWN POLICE DEPARTMENT PERSONNEL IN SUPPORT OF THE ORGANIZED CRIMES UNIT. THIS WILL ENSURE THAT OUR OFFICERS CAN SAFELY AND EFFICIENTLY CONDUCT THEIR INVESTIGATIONS WHILE BLENDING IN WITH THE GENERAL PUBLIC. ALL USES WILL FALL UNDER LAW ENFORCEMENT USE ONLY.</t>
  </si>
  <si>
    <t>2YTKB260020082</t>
  </si>
  <si>
    <t>THIS VAN WILL BE USED BY THE ROBSTOWN POLICE DEPARTMENTS TACTICAL TEAM AS A PERSONNEL TRANSPORT VEHICLE. IT WILL BE FOR THE EXCLUSIVE USE OF THE POLICE DEPARTMENTS TACTICAL TEAM TO TRANSPORT PERSONNEL TO AND FROM SCENES AND WILL BE USED FOR OFFICIAL POLICE BUSINESS ONLY.</t>
  </si>
  <si>
    <t>SAN MARCOS POLICE DEPT (2YTKPP)</t>
  </si>
  <si>
    <t>2YTKPP60725202</t>
  </si>
  <si>
    <t>TO BE STORED AT THE SAN MARCOS POLICE DEPARTMENT AND UTILIZED FOR GENERAL REPAIRS OF DEPARTMENT EQUIPMENT.</t>
  </si>
  <si>
    <t>SMITHVILLE POLICE DEPARTMENT (2YTK5T)</t>
  </si>
  <si>
    <t>2YTK5T60231109</t>
  </si>
  <si>
    <t>THIS EQUIPMENT WILL BE USED ONLY FOR LAW ENFORCEMENT PURPOSES BY OFFICERS OF THE SMITHVILLE POLICE DEPARTMENT TO MOUNT NIGHT VISION DEVICES TO TACTICAL HELMETS FOR NIGHT-TIME OPERATIONS TO INCLUDE FUGITIVE APPREHENSION, SEARCH AND RESCUE, AND OTHER SITUATIONS IN WHICH NIGHT VISION DEVICES PROVIDE OFFICERS WITH ENHANCED CAPABILITIES.</t>
  </si>
  <si>
    <t>2YTK5T60231113</t>
  </si>
  <si>
    <t>ADAPTER,HEADSET</t>
  </si>
  <si>
    <t>SWEETWATER PD (2YTLN1)</t>
  </si>
  <si>
    <t>2YTLN160583724</t>
  </si>
  <si>
    <t>THIS EQUIPMENT WILL BE USED FOR LAW ENFORCEMENT PURPOSES ONLY BY THE SWEETWATER POLICE DEPARTMENT TO AID IN VARIOUS OPERATIONS, SUCH AS SURVEILLANCE, AND SEARCH AND RESCUE.</t>
  </si>
  <si>
    <t>2YTLN160443325</t>
  </si>
  <si>
    <t>GENERATORS WILL BE USED BY THE SWEETWATER POLICE DEPARTMENT FOR LAW ENFORCEMENT PURPOSES ONLY TO SUPPORT RADIO OPERATIONS DURING POWER OUTAGES AT THE REPEATER SITE.</t>
  </si>
  <si>
    <t>TROUP POLICE DEPT (2YTLY3)</t>
  </si>
  <si>
    <t>2YTLY360725119</t>
  </si>
  <si>
    <t>TRAILER,BASIC UTILITY</t>
  </si>
  <si>
    <t>TROUP PD WOULD LIKE TO ACQUIRE THIS ITEM FOR THE USE OF TRANSPORTING HEAVY EQUIPMENT. THE TRAILERS PREVIOUSLY OBTAINED THROUGH LESO HAVE HAD NUMEROUS PROBLEMS AND HAVE BEEN UNUSABLE. THIS ITEM WILL HELP US IN BEING ABLE TO OBTAIN LARGER EQUIPMENT, RELIEVING US FROM HAVING TO PAY FOR A TRANSPORT SERVICE, COSTING OUR DEPARTMENT.</t>
  </si>
  <si>
    <t>2YTLY360302022</t>
  </si>
  <si>
    <t>TROUP PD WOULD LIKE TO ACQUIRE THIS ITEM FOR THE USE TRANSPORTING EQUIPMENT, MATERIALS, AND OTHER ITEMS AT THE POLICE DEPARTMENT AND TRAINING FACILITY. PREVIOUS UTILITY VEHICLES OBTAINED THROUGH LESO HAVE BEEN NONOPERATIONAL AND DISPOSED OF.</t>
  </si>
  <si>
    <t>2YTLY360433415</t>
  </si>
  <si>
    <t>PARTS KIT,DIESEL EN</t>
  </si>
  <si>
    <t>TROUP PD WOULD LIKE TO ACQUIRE THESE ITEMS FOR THE MAINTENANCE, AND UPKEEP OF THE PREVIOUS GENERATORS OBTAINED BY THE LESO PROGRAM.</t>
  </si>
  <si>
    <t>2YTLY360231054</t>
  </si>
  <si>
    <t>SHOP EQUIPMENT,WELDING</t>
  </si>
  <si>
    <t>TROUP PD WOULD LIKE TO ACQUIRE THIS ITEM FOR THE USE OF MAINTENANCE ON PATROL VEHICLES, AND OUR TRAINING FACILITY. PREVIOUS WELDING EQUIPMENT OBTAINED THROUGH LESO PROGRAM HAS BEEN UN-REPAIRABLE.</t>
  </si>
  <si>
    <t>2YTLY360029880</t>
  </si>
  <si>
    <t>DSTRIMMER</t>
  </si>
  <si>
    <t>TRIMMER</t>
  </si>
  <si>
    <t>TROUP PD WOULD LIKE TO ACQUIRE THESE ITEMS FOR THE USE OF MAINTAINING THE GROUNDS AT THE POLICE DEPARTMENT AND THE TRAINING FACILITY.</t>
  </si>
  <si>
    <t>2YTLY360372472</t>
  </si>
  <si>
    <t>TROUP PD WOULD LIKE TO ACQUIRE THIS ITEM FOR USE OF MAINTAINING THE GROUNDS AT THE TROUP PD AND THE TRAINING FACILITY.</t>
  </si>
  <si>
    <t>2YTLY360372473</t>
  </si>
  <si>
    <t>TROUP PD WOULD LIKE TO ACQUIRE THESE ITEMS FOR THE USE OF LOADING AND UNLOADING EQUIPMENT AND VEHICLES SEIZED AND OBTAINED BY THE TROUP POLICE DEPARTMENT.</t>
  </si>
  <si>
    <t>2YTLY360372478</t>
  </si>
  <si>
    <t>TROUP PD WOULD LIKE TO ACQUIRE THESE ITEMS FOR THE USE OF MAINTENANCE ON OUR PATROL VEHICLES, BUILDINGS, TRAINING FACILITY, AND EQUIPMENT.</t>
  </si>
  <si>
    <t>2YTLY360372477</t>
  </si>
  <si>
    <t>TROUP PD WOULD LIKE TO ACQUIRE THESE ITEMS FOR THE USE OF MAINTENANCE ON OUR BUILDINGS AND TRAINING FACILITY.</t>
  </si>
  <si>
    <t>2YTLY360029878</t>
  </si>
  <si>
    <t>TROUP PD WOULD LIKE TO ACQUIRE THIS ITEM FOR THE USE OF STANDBY POWER FOR HAZARDOUS WEATHER OR EMERGENCY SITUATIONS.</t>
  </si>
  <si>
    <t>2YTLY360725365</t>
  </si>
  <si>
    <t>TROUP PD IS SEEKING TO ACQUIRE THESE ITEMS TO ENSURE RELIABLE BACKUP POWER DURING HAZARDOUS WEATHER EVENTS AND EMERGENCY SITUATIONS THAT MAY DISRUPT NORMAL OPERATIONS. THEY WILL SUPPORT RURAL COMMAND POSTS DURING SEARCH AND RESCUE OPERATIONS, WHERE DEPENDABLE POWER IS CRITICAL FOR COMMUNICATIONS, LIGHTING, AND OPERATIONAL COORDINATION. IN THE PAST, GENERATORS RECEIVED THROUGH THE LESO PROGRAM WERE FOUND TO BE UNUSABLE DUE TO MISSING COMPONENTS, LOCKED MOTORS, UNFORESEEN MECHANICAL ISSUES.</t>
  </si>
  <si>
    <t>2YTLY360160586</t>
  </si>
  <si>
    <t>FIELD HAND WASH STATION, OLIVE DRAB</t>
  </si>
  <si>
    <t>TROUP PD WOULD LIKE TO ACQUIRE THIS ITEM TO BE USED AT OUR TRAINING FACILITY. THIS ITEM WOULD BE USED TO HELP THE SANITATION AND HEALTH OF OUR OFFICERS.</t>
  </si>
  <si>
    <t>WEST POLICE DEPT (2YTPJJ)</t>
  </si>
  <si>
    <t>2YTPJJ60654335</t>
  </si>
  <si>
    <t>GRADER,ROAD,MOTORIZED</t>
  </si>
  <si>
    <t>FOR LAW ENFORCEMENT USE ONLY AND AT THE STATE LESO COORDINATOR PRE-APPROVED TRAINING-FIREARMS GROUNDS LOCATED IN WEST, TEXAS. THIS TRACTOR WILL BE UTILIZED TO MAINTAIN LEVEL SURFACE AREA GROUNDS AND ASSIST TO MINIMIZE THE EROSION OF TWO 100 YARD LONG AND EIGHT FOOT TALL SAFETY BERMS AT THE FIREARMS RANGE LOCATED ON WEST POLICE DEPARTMENT'S 4-ACRE TRAINING GROUNDS.</t>
  </si>
  <si>
    <t>2YTPJJ60151207</t>
  </si>
  <si>
    <t>FOR LAW ENFORCEMENT USE ONLY. THE WEST POLICE DEPARTMENT WILL BE ABLE TO UTILIZE THIS EQUIPMENT TO ENHANCE THE ABILITIES OF OFFICERS TO CREATE WARMING AREAS DURING EMERGENCY COLD WEATHER CONDITIONS.</t>
  </si>
  <si>
    <t>2YTPJJ60584107</t>
  </si>
  <si>
    <t>FOR LAW ENFORCEMENT USE ONLY. THIS EQUIPMENT WILL BE UTILIZED BY WEST POLICE OFFICERS FOR THE MAINTENANCE AND CLEANING OF POLICE DEPARTMENT PATROL VEHICLES, POLICE SIDE BY SIDES AND FOUR-WHEELER VEHICLES WHEN THEY BECOME DIRTY AND MUDDY FROM LAW ENFORCEMENT SERVICES</t>
  </si>
  <si>
    <t>2YTPJJ60029650</t>
  </si>
  <si>
    <t>FOR LAW ENFORCEMENT USE ONLY. THE WEST POLICE DEPARTMENT AND DEPARTMENT PERSONNEL WILL UTILIZE THIS TOOL KIT TO PERFORM BASIC MAINTENANCE OR REPAIRS ON LAW ENFORCEMENT EQUIPMENT AND VEHICLES.</t>
  </si>
  <si>
    <t>2YTPJJ60090726</t>
  </si>
  <si>
    <t>FOR LAW ENFORCEMENT USE ONLY. THE WEST POLICE DEPARTMENT HAS A NEED FOR PROPERTY AND EQUIPMENT STORAGE. THIS CONTAINER WILL ALLOW THE WEST POLICE DEPARTMENT TO SAFELY STORE AND PROTECT EXCESS PROPERTY AND EQUIPMENT.</t>
  </si>
  <si>
    <t>2YTPJJ60029651</t>
  </si>
  <si>
    <t>FOR LAW ENFORCEMENT USE ONLY. THE WEST POLICE DEPARTMENT WILL UTILIZE THIS EQUIPMENT TO ALLOW OFFICERS EFFICIENT ACCESS TO MEDICAL SUPPLIES AND OTHER LAW ENFORCEMENT RELATED ITEMS THAT CAN BE SAFELY STORED WITHIN THE SET.</t>
  </si>
  <si>
    <t>VA</t>
  </si>
  <si>
    <t>DICKENSON COUNTY SHERIFFS OFFICE (2YTDCB)</t>
  </si>
  <si>
    <t>2YTDCB60230792</t>
  </si>
  <si>
    <t>DICKENSON COUNTY SHERIFF'S OFFICE IS A FULL-SERVICE LAW ENFORCEMENT AGENCY.  THIS TRAILER WILL BE USED TO TRANSPORT THE DEPARTMENT'S HEAVY EQUIPMENT FOR DISASTER RESPONSE AND RECOVERY.</t>
  </si>
  <si>
    <t>FRANKLIN POLICE DEPT (2YTEBB)</t>
  </si>
  <si>
    <t>2YTEBB60239928</t>
  </si>
  <si>
    <t>THE CITY OF FRANKLIN COVERS 8.5 SQUARE MILES WITH A POPULATION OF 8,300 CITIZENS. THE FRANKLIN POLICE DEPARTMENT HAS 29 SWORN MEMBERS AND THE PRIMARY LAW ENFORCEMENT AGENCY IN THE CITY. THE REFLEX SIGHTS WILL BE ISSUED TO ALL MEMBERS FOR THEIR PATROL RIFLES AND CARRIED IN THEIR PATROL VEHICLES.</t>
  </si>
  <si>
    <t>2YTEBB60504044</t>
  </si>
  <si>
    <t>THE CITY OF FRANKLIN COVERS 8.5 SQUARE MILES WITH A POPULATION OF 8,300 CITIZENS. THE FRANKLIN POLICE DEPARTMENT HAS 29 SWORN MEMBERS AND THE PRIMARY LAW ENFORCEMENT AGENCY IN THE CITY. THE TRUCK WILL BE USED AS AN UNDERCOVER VEHICLE FOR THE DETECTIVE BUREAU TO DO SURVEILLANCE AND NARCOTICS INVESTIGATIONS.</t>
  </si>
  <si>
    <t>2YTEBB60169991</t>
  </si>
  <si>
    <t>THE CITY OF FRANKLIN COVERS 8.5 SQUARE MILES WITH A POPULATION OF 8,300 CITIZENS. THE FRANKLIN POLICE DEPARTMENT HAS 29 SWORN MEMBERS AND THE PRIMARY LAW ENFORCEMENT AGENCY IN THE CITY. THE UNMANNED VEHICLE WILL BE USED BY THE SWAT TEAM TO CLEAR BUILDINGS AND NOT EXPOSE MEMBERS TO UNNECESSARY RISK DURING AN ACTIVE SHOOTER OR CRITICAL INCIDENT POTENTIALLY SAVING LIVES.</t>
  </si>
  <si>
    <t>2YTEBB60725889</t>
  </si>
  <si>
    <t>THE CITY OF FRANKLIN COVERS 8.5 SQUARE MILES WITH A POPULATION OF 8,300 CITIZENS. THE FRANKLIN POLICE DEPARTMENT HAS 29 SWORN MEMBERS AND THE PRIMARY LAW ENFORCEMENT AGENCY IN THE CITY. THE CAMERAS WILL BE UTILIZED BY THE DETECTIVES AND THE CRIME SCENE TECHNICIANS TO DOCUMENT CRIME SCENES AND ACCIDENTS.</t>
  </si>
  <si>
    <t>2YTEBB60725888</t>
  </si>
  <si>
    <t>THE CITY OF FRANKLIN COVERS 8.5 SQUARE MILES WITH A POPULATION OF 8,300 CITIZENS. THE FRANKLIN POLICE DEPARTMENT HAS 29 SWORN MEMBERS AND THE PRIMARY LAW ENFORCEMENT AGENCY IN THE CITY. THE CAMERAS WILL BE UTILIZED BY THE DETECTIVES AND THE CRIME SCENE TECHNICIANS TO DOCUMENT CRIME SCENES AND ACCIDENT SCENES.</t>
  </si>
  <si>
    <t>PRINCE GEORGE POLICE DEPARTMENT (2YTJXL)</t>
  </si>
  <si>
    <t>2YTJXL60513235</t>
  </si>
  <si>
    <t>IMAGE INTENSIFIER,N</t>
  </si>
  <si>
    <t>ITEMS WOULD BE UTILIZED BY SWORN PERSONNEL FOR PRINCE GEORGE COUNTY POLICE VIRGINIA. ITEMS WOULD BE UTILIZED FRO LOW LIGHT NO LIGHT SEARCHES OF MISSING INDIVIDUALS AS WELL AS USED BY OUR SPECIAL RESPONSE TEAMS FOR HIGH RISK MAN HUNTS ETC.</t>
  </si>
  <si>
    <t>RUSSELL COUNTY SHERIFF OFFICE (2YTKH1)</t>
  </si>
  <si>
    <t>2YTKH160513212</t>
  </si>
  <si>
    <t>TO BE USED BY DEPUTIES WITH RUSSELL COUNTY SHERIFF'S OFFICE TO ASSIST IN DISASTER CLEARING ACTIVITIES AS WELL AS MAINTAINING LARGE OWNED BY THE SHERIFF'S OFFICE.</t>
  </si>
  <si>
    <t>2YTKH160584542</t>
  </si>
  <si>
    <t>TO BE USED BY DEPUTIES WITH RUSSELL COUNTY SHERIFF'S OFFICE TO ILLUMINATE INDOOR AND OUTDOOR AREAS AS WELL AS POINT TO AREAS THAT ARE FAR AWAY FROM DEPUTIES.</t>
  </si>
  <si>
    <t>STATE POLICE (2YTMXW)</t>
  </si>
  <si>
    <t>2YTMXW60583732</t>
  </si>
  <si>
    <t>THE VIRGINIA STATE POLICE REQUESTS THESE HANDCARTS TO BE UTILIZED BY SWORN PERSONNEL IN THE WAREHOUSE FOR MOVING LAW ENFORCEMENT EQUIPMENT AND SUPPLIES.</t>
  </si>
  <si>
    <t>2YTMXW60583921</t>
  </si>
  <si>
    <t>THE VIRGINIA STATE POLICE REQUESTS THIS REFRIGERATOR TO BE UTILIZED BY SWORN PERSONNEL DURING TRAINING SESSIONS AT THE WEAPONS FIRING RANGE.</t>
  </si>
  <si>
    <t>2YTMXW60584055</t>
  </si>
  <si>
    <t>THE VIRGINIA STATE POLICE REQUESTS THESE TOOLS TO BE UTILIZED BY SWORN PERSONNEL DURING DISASTER EVENTS.</t>
  </si>
  <si>
    <t>2YTMXW60584057</t>
  </si>
  <si>
    <t>THE VIRGINIA STATE POLICE REQUESTS THESE SHOVELS TO BE UTILIZED BY SWORN PERSONNEL DURING DISASTER EVENTS.</t>
  </si>
  <si>
    <t>2YTMXW60584058</t>
  </si>
  <si>
    <t>2YTMXW60584059</t>
  </si>
  <si>
    <t>2YTMXW60584052</t>
  </si>
  <si>
    <t>THE VIRGINIA STATE POLICE REQUESTS THESE TOOLS TO BE UTILIZED BY SWORN PERSONNEL FOR USE DURING DISASTER EVENTS.</t>
  </si>
  <si>
    <t>2YTMXW60584053</t>
  </si>
  <si>
    <t>2YTMXW60584050</t>
  </si>
  <si>
    <t>THE VIRGINIA STATE POLICE REQUESTS THESE TOOLS TO BE UTILIZED BY SWORN PERSONNEL FOR DISASTER RECOVERY EFFORTS.</t>
  </si>
  <si>
    <t>2YTMXW60584054</t>
  </si>
  <si>
    <t>2YTMXW60584051</t>
  </si>
  <si>
    <t>2YTMXW60584463</t>
  </si>
  <si>
    <t>THE VIRGINIA STATE POLICE REQUESTS THESE TOOLS TO BE UTILIZED BY THE AVIATION DIVISION FOR MAINTENANCE AND REPAIR TO THE DEPARTMENT'S AVIATION FLEET.</t>
  </si>
  <si>
    <t>2YTMXW60583919</t>
  </si>
  <si>
    <t>THE VIRGINIA STATE POLICE REQUESTS THESE TARPS TO BE UTILIZED BY SWORN PERSONNEL TO PROTECT LAW ENFORCEMENT EQUIPMENT AND SUPPLIES FROM WET WEATHER EVENTS.</t>
  </si>
  <si>
    <t>2YTMXW60583920</t>
  </si>
  <si>
    <t>THE VIRGINIA STATE POLICE REQUESTS THESE TARPS TO BE UTILIZED BY SWORN PERSONNEL TO PROTECT LAW ENFORCEMENT EQUIPMENT FROM WET WEATHER.</t>
  </si>
  <si>
    <t>2YTMXW60583755</t>
  </si>
  <si>
    <t>THE VIRGINIA STATE POLICE REQUESTS THESE BAGS TO BE UTILIZED BY SWORN PERSONNEL FOR TRANSPORTING LAW ENFORCEMENT EQUIPMENT AND SUPPLIES.</t>
  </si>
  <si>
    <t>2YTMXW60583757</t>
  </si>
  <si>
    <t>2YTMXW60583758</t>
  </si>
  <si>
    <t>2YTMXW60583743</t>
  </si>
  <si>
    <t>THE VIRGINIA STATE POLICE REQUESTS THESE BAGS TO BE UTILIZED BY SWORN PERSONNEL FOR TRANSPORTING LAW ENFORCEMENT EQUIPMENT</t>
  </si>
  <si>
    <t>2YTMXW60583747</t>
  </si>
  <si>
    <t>2YTMXW60584060</t>
  </si>
  <si>
    <t>THE VIRGINIA STATE POLICE REQUESTS THESE CARRIERS TO BE UTILIZED BY SWORN PERSONNEL IN CONJUNCTION WITH THE TOOL.</t>
  </si>
  <si>
    <t>2YTMXW60584061</t>
  </si>
  <si>
    <t>2YTMXW60584062</t>
  </si>
  <si>
    <t>2YTMXW60584063</t>
  </si>
  <si>
    <t>2YTMXW60513470</t>
  </si>
  <si>
    <t>2YTMXW60513471</t>
  </si>
  <si>
    <t>2YTMXW60513472</t>
  </si>
  <si>
    <t>2YTMXW60513473</t>
  </si>
  <si>
    <t>2YTMXW60513474</t>
  </si>
  <si>
    <t>2YTMXW60513475</t>
  </si>
  <si>
    <t>2YTMXW60513476</t>
  </si>
  <si>
    <t>2YTMXW60513478</t>
  </si>
  <si>
    <t>2YTMXW60513479</t>
  </si>
  <si>
    <t>2YTMXW60513480</t>
  </si>
  <si>
    <t>2YTMXW60513481</t>
  </si>
  <si>
    <t>THE VIRGINIA STATE POLICE REQUESTS THESE BAGS TO BE UTILIZED BY SWORN PERSONNEL FOR TRANSPORTING LAW ENFORCEMENT EQUIPMENT AN SUPPLIES.</t>
  </si>
  <si>
    <t>2YTMXW60513482</t>
  </si>
  <si>
    <t>2YTMXW60513483</t>
  </si>
  <si>
    <t>2YTMXW60513484</t>
  </si>
  <si>
    <t>2YTMXW60513485</t>
  </si>
  <si>
    <t>2YTMXW60583749</t>
  </si>
  <si>
    <t>2YTMXW60583750</t>
  </si>
  <si>
    <t>2YTMXW60583751</t>
  </si>
  <si>
    <t>2YTMXW60583753</t>
  </si>
  <si>
    <t>TAZEWELL COUNTY SHERIFF OFFICE (2YTLQT)</t>
  </si>
  <si>
    <t>2YTLQT60231711</t>
  </si>
  <si>
    <t>THIS LAW ENFORCEMENT AGENCY WOULD UTILIZE THESE ITEMS DURING TRAINING EVENTS AND ALSO DURING RESPONSE TO CRITICAL INCIDENTS. THEY WOULD BE USED BY SWORN LAW ENFORCEMENT OFFICERS.  THANK YOU FOR YOUR CONSIDERATION.</t>
  </si>
  <si>
    <t>WASHINGTON COUNTY SHERIFF DEPT (2YTM9Q)</t>
  </si>
  <si>
    <t>2YTM9Q60795599</t>
  </si>
  <si>
    <t>DSPASSMOT</t>
  </si>
  <si>
    <t>PASSENGER MOTOR VEHICLES</t>
  </si>
  <si>
    <t>WASHINGTON COUNTY SHERIFF'S OFFICE IS A LAW ENFORCEMENT AGENCY  IN THE STATE OF VIRGINIA. OUR AGENCY COULD USE THIS FORD ESCAPE FOR PATROLING AND PRISONER TRANSPORTS. THIS VEHICLE WILL BE USE BY LAW ENFORCEMENT PERSONNEL.</t>
  </si>
  <si>
    <t>2YTM9Q60371983</t>
  </si>
  <si>
    <t>WASHINGTON COUNTY SHERIFF'S OFFICE IS A LAW ENFORCEMENT AGENCY IN THE STATE OF VIRGINIA. OUR AGENCY COULD USE THIS POLICE CAR FOR PATROLING AND TRANSPORTING PRISIONERS. THIS VEHICLE WILL BE USE BY LAW ENFORCEMENT PERSONNEL.</t>
  </si>
  <si>
    <t>2YTM9Q60795602</t>
  </si>
  <si>
    <t>WASHINGTON COUNTY SHERIFF'S OFFICE IS A LAW ENFORCEMENT AGENCY IN THE STATE OF VIRGINIA. OUR AGENCY COULD USE THESES TWO VEHICLES FOR PATROLING AND PRISONER TRANSPORTS. THESE VEHICLES WILL BE USE BY LAW ENFORCEMENT PERSONNEL.</t>
  </si>
  <si>
    <t>2YTM9Q60795600</t>
  </si>
  <si>
    <t>WASHINGTON COUNTY SHERIFF'S OFFICE IS A LAW ENFORCEMENT AGENCY IN THE STATE OF VIRGINIA. OUR AGENCY COULD USE THIS OLD AMBULANCE FOR CRIME SCENE INVESTIGATIONS. THIS VEHICLE WOULD BE USE BY LAW ENFORCEMENT PERSONNEL.</t>
  </si>
  <si>
    <t>2YTM9Q60796193</t>
  </si>
  <si>
    <t>WASHINGTON COUNTY SHERIFF'S OFFICE IS A LAW ENFORCEMENT AGENCY IN THE STATE OF VIRGINIA. OUR AGENCY COULD USE THIS DUMP TRUCK FOR HAULING GRAVEL AND DIRT TO OUT SHOOTING RANGE TO MAINTAIN THE ROAD. THIS VEHICLE WILL BE USED BY LAW ENFORCEMENT PERSONNEL.</t>
  </si>
  <si>
    <t>2YTM9Q60371995</t>
  </si>
  <si>
    <t>WASHINGTON COUNTY SHERIFF'S OFFICE IS A LAW ENFORCEMENT AGENCY IN THE STATE OF VIRGINIA. OUR AGENCY USE THIS PICK-UP TRUCK FOR PATROLING AND PRISIONER TRANSPORTS. THIS VEHICLE WILL BE USE BY LAW ENFORCEMENT PERSONNEL.</t>
  </si>
  <si>
    <t>2YTM9Q60654530</t>
  </si>
  <si>
    <t>TO BE USED FOR LAW ENFORCEMENT PURPOSES ONLY. USED TO TRANSPORT NEEDED EQUIPMENT TO VARIOUS LAW ENFORCEMENT CALLS FOR SERVICE.</t>
  </si>
  <si>
    <t>2YTM9Q53397949</t>
  </si>
  <si>
    <t>WASHINGTON COUNTY SHERIFF'S OFFICE IS A LAW ENFORCEMENT AGENCY IN THE STATE OF VIRGINIA. OUR AGENCY COULD USE THIS TRUCK FOR CRIME SCENE INVESTIGATIONS. THIS VEHICLE WILL BE USE BY LAW ENFORCEMENT PERSONNEL.</t>
  </si>
  <si>
    <t>2YTM9Q60796198</t>
  </si>
  <si>
    <t>WASHINGTON COUNTY SHERIFF'S OFFICE IS A LAW ENFORCEMENT AGENCY IN THE STATE OF VIRGINIA. OUR AGENCY COULD USE THIS CHEVROLET HHR SEDAN FOR PATROLING AND PRISONER TRANSPORTS. THIS VEHICLE WILL BE USED BY LAW ENFORCEMENT PERSONNEL.</t>
  </si>
  <si>
    <t>2YTM9Q60725684</t>
  </si>
  <si>
    <t>WASHINGTON COUNTY SHERIFF'S OFFICE IS A LAW ENFORCEMENT AGENCY IN THE STATE OF VIRGINIA. OUR AGENCY COULD USE THIS LIFT IN OUR WAREHOUSE TO PUT ITEMS IN STORAGE. THIS LIFT WILL BE USED BY LAW ENFORCEMENT PERSONNEL.</t>
  </si>
  <si>
    <t>2YTM9Q60231030</t>
  </si>
  <si>
    <t>TO BE USED FOR LAW ENFORCEMENT PURPOSES ONLY. USED BY OFFICERS TO REPAIR FACILITIES, AND OBSERVATION PLATFORM DURING INCIDENTS.</t>
  </si>
  <si>
    <t>2YTM9Q60725735</t>
  </si>
  <si>
    <t>USED FOR LAW ENFORCEMENT PURPOSES ONLY. USED FOR RESCUE TOOLS ON VARIOUS CALLS OF SERVICE.</t>
  </si>
  <si>
    <t>2YTM9Q60372381</t>
  </si>
  <si>
    <t>USED FOR LAW ENFORCEMENT PURPOSES ONLY. USED TO CONSTRUCT SHOOT HOUSE, TRAINING ITEMS, FIREARMS COURSE, AND RESPONSE TO DISASTERS.</t>
  </si>
  <si>
    <t>2YTM9Q60372380</t>
  </si>
  <si>
    <t>USED FOR LAW ENFORCEMENT PURPOSES ONLY. USED TO CONSTRUCT SHOOT HOUSE, TRAINING ITEMS, FIREARMS COURSE, AND OTHER INCIDENTS.</t>
  </si>
  <si>
    <t>2YTM9Q60372379</t>
  </si>
  <si>
    <t>2YTM9Q60372522</t>
  </si>
  <si>
    <t>FOR LAW ENFORCEMENT PURPOSES ONLY. USED BY LAW ENFORCEMENT TO CONSTRUCT A SHOOT HOUSE AND OTHER TRAINING AIDS.</t>
  </si>
  <si>
    <t>2YTM9Q60372521</t>
  </si>
  <si>
    <t>2YTM9Q60725726</t>
  </si>
  <si>
    <t>TO BE USED FOR LAW ENFORCEMENT PURPOSES ONLY. USED TO PROVIDE SUPPLEMENTAL POWER TO INCIDENTS.</t>
  </si>
  <si>
    <t>2YTM9Q60160588</t>
  </si>
  <si>
    <t>FOR LAW ENFORCEMENT USE ONLY. USED FOR LOCAL DISASTERS AND INCIDENTS TO SUPPORT LAW ENFORCEMENT ACTIVITIES.</t>
  </si>
  <si>
    <t>2YTM9Q60725732</t>
  </si>
  <si>
    <t>TO BE USED FOR LAW ENFORCEMENT PURPOSES ONLY. USED TO ADMINISTER FIRST AID ON VARIOUS CALLS OF SERVICE.</t>
  </si>
  <si>
    <t>2YTM9Q60372517</t>
  </si>
  <si>
    <t>FOR LAW ENFORCEMENT PURPOSES ONLY. USED IN LAW ENFORCEMENT  VEHICLES TO ADMINISTER FIRST AID AT INCIDENTS.</t>
  </si>
  <si>
    <t>2YTM9Q60372516</t>
  </si>
  <si>
    <t>2YTM9Q60442740</t>
  </si>
  <si>
    <t>FOR LAW ENFORCEMENT PURPOSES ONLY. USED TO TRANSPORT AND STORE POLICE RELATED EQUIPMENT.</t>
  </si>
  <si>
    <t>2YTM9Q60725734</t>
  </si>
  <si>
    <t>TO BE USED FOR LAW ENFORCEMENT PURPOSES ONLY. USED TO STORE VARIOUS LAW ENFORCEMENT EQUIPMENT.</t>
  </si>
  <si>
    <t>2YTM9Q60725720</t>
  </si>
  <si>
    <t>MEDIC SET (8 EXT MOD PKT)</t>
  </si>
  <si>
    <t>TO BE USED FOR LAW ENFORCEMENT PURPOSES ONLY. USED TO ADMINISTER FIRST AID ON VARIOUS CALLS FOR SERVICE.</t>
  </si>
  <si>
    <t>WA</t>
  </si>
  <si>
    <t>KING COUNTY SHERIFF'S OFFICE (2YTF7N)</t>
  </si>
  <si>
    <t>2YTF7N60583664</t>
  </si>
  <si>
    <t>PORTABLE GENERATOR FOR USE BY SHERIFF'S OFFICE TO PROVIDE AC POWER IN REMOTE LOCATIONS.</t>
  </si>
  <si>
    <t>2YTF7N60231780</t>
  </si>
  <si>
    <t>MAINTENANCE KIT</t>
  </si>
  <si>
    <t>TOOL KITS, WILL BE USED BY SHERIFF'S DEPUTIES TO PERFORM REPAIRS AND MAINTENANCE ON VEHICLES AND EQUIPMENT.</t>
  </si>
  <si>
    <t>2YTF7N60583549</t>
  </si>
  <si>
    <t>TOOL KITS TO BE USED BY SHERIFF'S OFFICE DEPUTIES FOR PERFORMING LIGHT MAINTENANCE TO EQUIPMENT.</t>
  </si>
  <si>
    <t>2YTF7N60583550</t>
  </si>
  <si>
    <t>2YTF7N60866838</t>
  </si>
  <si>
    <t>REMOTE CONTROL RADI</t>
  </si>
  <si>
    <t>VHF MOBILE RADIO, FOR USE BY SHERIFF'S DEPUTIES ASSIGNED TO SEARCH AND RESCUE OR MARINE DUTIES WHERE VHF IS STILL USED.</t>
  </si>
  <si>
    <t>2YTF7N60514130</t>
  </si>
  <si>
    <t>DEFIBRILLATOR/MONITOR-RECORDER SYSTEM</t>
  </si>
  <si>
    <t>LIFEPAK 15 DEFIBRILLATORS.  TO BE USED BY SHERIFF'S OFFICE SEARCH AND RESCUE CREWS TO AID IN RESCUE OF INJURED PERSONS.</t>
  </si>
  <si>
    <t>2YTF7N60725760</t>
  </si>
  <si>
    <t>BLANKET,SURVIVAL</t>
  </si>
  <si>
    <t>SELF HEATING BLANKETS.  TO BE USED BY SHERIFF'S OFFICE DEPUTIES WHEN DEALING WITH PERSONS WITH HYPOTHERMIA.  WILL SUPPORT SEARCH AND RESCUE OPERATIONS.</t>
  </si>
  <si>
    <t>2YTF7N60795894</t>
  </si>
  <si>
    <t>SET,OSCILLOSCOPE</t>
  </si>
  <si>
    <t>ELECTRONIC TEST EQUIPMENT.   TO BE USED BY SHERIFF'S OFFICE DEPUTIES FOR REPAIR AND TRAINING ON ELECTRONICS.  WILL AID BOMB TECHNICIANS IN LEARNING ELECTRONIC CIRCUITS.</t>
  </si>
  <si>
    <t>2YTF7N60513446</t>
  </si>
  <si>
    <t>TREADMILL, TO BE USED BY SHERIFF'S OFFICE PERSONNEL FOR PHYSICAL FITNESS.</t>
  </si>
  <si>
    <t>2YTF7N60493665</t>
  </si>
  <si>
    <t>KIT,MECHANICAL BREA</t>
  </si>
  <si>
    <t>TOOL KITS CONTAINING BOLT CUTTERS, SLEDGE HAMMERS, PRY TOOLS AND SIMILAR.  FOR USE BY DEPUTIES TO AID IN ENTERING BUILDINGS AND STRUCTURES.</t>
  </si>
  <si>
    <t>MILTON POLICE DEPT (2YTHST)</t>
  </si>
  <si>
    <t>2YTHST60029853</t>
  </si>
  <si>
    <t>FOR USE BY THE MILTON POLICE DEPARTMENT SWAT TEAM TO BE ABLE TO USE NIGHT VISION ON SWAT MISSIONS AND OPERATE IN THE DARK SAFELY AND ENHANCE THE SAFETY OF OPERATORS.. CONFIRMED STATUS AND CONDITION WITH SUSQUEHANNA. WE ACCEPT STATUS AND CONDITION.</t>
  </si>
  <si>
    <t>MONROE POLICE DEPT (2YTHXG)</t>
  </si>
  <si>
    <t>2YTHXG60513451</t>
  </si>
  <si>
    <t>THIS RESCUE EQUIPMENT WOULD ENABLE OFFICERS TO RESPOND TO EMERGENCIES WITH THE PROPER TOOLS AND EQUIPMENT NECESSARY TO GAIN ENTRY TO DOORS, WINDOWS AND OTHER ENTRY SPACES WHICH WITHOUT THE TOOLS COULD BE DELAYED OR UNAVAILABLE.</t>
  </si>
  <si>
    <t>MONTESANO POLICE DEPT (2YTHYA)</t>
  </si>
  <si>
    <t>2YTHYA60584579</t>
  </si>
  <si>
    <t>OUR AGENCY NEEDS THIS EQUIPMENT.  WILL BE USED BY REQUESTING AGENCY FOR LAW ENFORCEMENT PURPOSES ONLY.  WILL BE ISSUED TO POLICE OFFICERS - SWAT MEMBERS FOR DUTY USE DURING TRAINING AND POLICE OPERATIONS FOR EYE PROTECTION.</t>
  </si>
  <si>
    <t>2YTHYA53397921</t>
  </si>
  <si>
    <t>SCREWDRIVER,TORQUE</t>
  </si>
  <si>
    <t>OUR AGENCY NEEDS THIS EQUIPMENT.  WILL BE USED BY REQUESTING AGENCY FOR LAW ENFORCEMENT PURPOSES ONLY.  WILL BE ISSUED TO POLICE OFFICERS AND FIREARMS UNIT FOR MAINTENANCE ON AGENCY OWNED RIFLES.</t>
  </si>
  <si>
    <t>2YTHYA60230879</t>
  </si>
  <si>
    <t>OUR AGENCY NEEDS THIS EQUIPMENT.  WILL BE USED BY REQUESTING AGENCY FOR LAW ENFORCEMENT PURPOSES ONLY.  WILL BE ISSUED TO POLICE OFFICERS AND DEPARTMENT OFFICE STAFF FOR DAILY FACILITY MAINTENANCE AND VEHICLE MAINTENANCE.</t>
  </si>
  <si>
    <t>2YTHYA60584578</t>
  </si>
  <si>
    <t>OUR AGENCY NEEDS THIS EQUIPMENT.  WILL BE USED BY REQUESTING AGENCY FOR LAW ENFORCEMENT PURPOSES ONLY.  WILL BE ISSUED TO POLICE FIREARMS INSTRUCTORS FOR REPAIR AND MAINTENANCE OF DEPARTMENT FIREARMS.</t>
  </si>
  <si>
    <t>2YTHYA60584581</t>
  </si>
  <si>
    <t>OUR AGENCY NEEDS THIS EQUIPMENT.  WILL BE USED BY REQUESTING AGENCY FOR LAW ENFORCEMENT PURPOSES ONLY.  WILL BE ISSUED TO POLICE OFFICERS - SWAT MEMBERS FOR DUTY USE WHILE OPERATING IN DARK ENVIRONMENTS.</t>
  </si>
  <si>
    <t>2YTHYA53538733</t>
  </si>
  <si>
    <t>OUR AGENCY NEEDS THIS EQUIPMENT.  WILL BE USED BY REQUESTING AGENCY FOR LAW ENFORCEMENT PURPOSES ONLY.  WILL BE ISSUED TO POLICE OFFICERS AND SWAT MEMBERS FOR SUPPLEMENTING FIRST AID KITS AND TACTICAL FIRST AID TRAINING.</t>
  </si>
  <si>
    <t>2YTHYA53538729</t>
  </si>
  <si>
    <t>BANDAGE KIT,ELASTIC</t>
  </si>
  <si>
    <t>2YTHYA53538728</t>
  </si>
  <si>
    <t>DRESSING,CHEST SEAL WOUND</t>
  </si>
  <si>
    <t>OUR AGENCY NEEDS THIS EQUIPMENT.  WILL BE USED BY REQUESTING AGENCY FOR LAW ENFORCEMENT PURPOSES ONLY.  WILL BE ISSUED TO POLICE OFFICERS AND SWAT MEMBERS TO SUPPLEMENT FIRST AID KITS AND FOR TACTICAL FIRST AID TRAINING.</t>
  </si>
  <si>
    <t>2YTHYA53538730</t>
  </si>
  <si>
    <t>BANDAGE,GAUZE</t>
  </si>
  <si>
    <t>2YTHYA53538731</t>
  </si>
  <si>
    <t>HYPOTHERMIA MANAGEMENT KIT</t>
  </si>
  <si>
    <t>2YTHYA53538732</t>
  </si>
  <si>
    <t>2YTHYA53609744</t>
  </si>
  <si>
    <t>2YTHYA53397920</t>
  </si>
  <si>
    <t>MARKER ASSORTMENT,TUBE TYPE</t>
  </si>
  <si>
    <t>OUR AGENCY NEEDS THIS EQUIPMENT.  WILL BE USED BY REQUESTING AGENCY FOR LAW ENFORCEMENT PURPOSES ONLY.  WILL BE ISSUED TO POLICE OFFICERS AND DEPARTMENT OFFICE STAFF FOR DAILY WRITING TASKS.</t>
  </si>
  <si>
    <t>2YTHYA60302068</t>
  </si>
  <si>
    <t>OUR AGENCY NEEDS THIS EQUIPMENT.  WILL BE USED BY REQUESTING AGENCY FOR LAW ENFORCEMENT PURPOSES ONLY.  WILL BE ISSUED TO POLICE OFFICERS AND DEPARTMENT OFFICE STAFF FOR DAILY WRITING TASKS AND DOCUMENTING INFORMATION.</t>
  </si>
  <si>
    <t>2YTHYA60584582</t>
  </si>
  <si>
    <t>BROOM,PUSH</t>
  </si>
  <si>
    <t>OUR AGENCY NEEDS THIS EQUIPMENT.  WILL BE USED BY REQUESTING AGENCY FOR LAW ENFORCEMENT PURPOSES ONLY.  WILL BE ISSUED TO POLICE OFFICERS AND DEPARTMENT OFFICE STAFF FOR DAILY FACILITY CLEANING.</t>
  </si>
  <si>
    <t>PIERCE COUNTY SHERIFF DEPT (2YTJMP)</t>
  </si>
  <si>
    <t>2YTJMP60221826</t>
  </si>
  <si>
    <t>FOR USE AT PCSO FIREARMS TRAINING FACILITY FOR RIFLE STORAGE.</t>
  </si>
  <si>
    <t>2YTJMP60161219</t>
  </si>
  <si>
    <t>FOR USE ON PCSO PATROL RIFLES BY PCSO FIREARMS INSTRUCTOR CADRE.
ITEMS HAVE BEEN VIEWED IN PERSON, CONDITION ACCEPTED.</t>
  </si>
  <si>
    <t>2YTJMP60654628</t>
  </si>
  <si>
    <t>FOR USE PIERCE COUNTY SHERIFF OFFICE SEARCH AND RESCUE OPERATIONS TO RECOVER VICTIMS OF INCIDENTS.</t>
  </si>
  <si>
    <t>2YTJMP60372672</t>
  </si>
  <si>
    <t>FOR USE BY PCSO FIREARMS INSTRUCTOR CADRE FOR WEAPONS MAINTENANCE.
INCOMPLETE CONDITION ACCEPTABLE.</t>
  </si>
  <si>
    <t>WI</t>
  </si>
  <si>
    <t>ASHLAND COUNTY SHERIFF DEPT (2YTA0M)</t>
  </si>
  <si>
    <t>2YTA0M60584315</t>
  </si>
  <si>
    <t>THIS LIGHTING SYSTEM WILL SUPPORT THE ASHLAND COUNTY SHERIFF'S OFFICE DEPUTIES AND STAFF DURING EMERGENCY RESPONSES WITHIN OUR COMMUNITY.</t>
  </si>
  <si>
    <t>COLUMBUS POLICE DEPARTMENT (2YTCPL)</t>
  </si>
  <si>
    <t>2YTCPL60583740</t>
  </si>
  <si>
    <t>CONVERSION KIT,5.56 MILLIMETER RIFLE</t>
  </si>
  <si>
    <t>THE COLUMBUS POLICE DEPARTMENT WILL USE THESE CONVERSION KITS TO TRAIN OFFICERS IN LIVE FIRE TRAINING FOR RESPONSE TO ACTIVE THREAT SITUATIONS.</t>
  </si>
  <si>
    <t>2YTCPL53539083</t>
  </si>
  <si>
    <t>KIT,CONVERSION,M16-</t>
  </si>
  <si>
    <t>THE COLUMBUS POLICE DEPARTMENT WILL USE THESE CONVERSION KITS TO ADAPT RIFLES FOR TRAINING OFFICERS ON RESPONSE TO CRITICAL INCIDENTS AND FOR FORCE-ON-FORCE TRAINING</t>
  </si>
  <si>
    <t>2YTCPL60654202</t>
  </si>
  <si>
    <t>TRUCK,RESCUE</t>
  </si>
  <si>
    <t>THE COLUMBUS POLICE DEPARTMENT WILL USE THIS VEHICLE TO STORE AND PREP EQUIPMENT FOR RESPONSE TO CRITICAL INCIDENTS AND NATURAL DISASTERS AS IT WILL ALLOW EQUIPMENT TO BE PREPPED AND READY TO DEPLOY UPON ARRIVAL.</t>
  </si>
  <si>
    <t>2YTCPL60654197</t>
  </si>
  <si>
    <t>THE COLUMBUS POLICE DEPARTMENT WILL USE THIS TRAILER AS A COMMAND POST WHEN RESPONDING TO NATURAL DISASTERS AND ACTIVE THREATS AND TO PROVIDE SHELTER TO FIRST RESPONDERS DURING POOR WEATHER CONDITIONS AT THESE CALLS FOR SERVICE.</t>
  </si>
  <si>
    <t>2YTCPL60160677</t>
  </si>
  <si>
    <t>THE COLUMBUS POLICE DEPARTMENT WILL USE THESE IFAK'S TO EQUIP AND TRAIN OFFICERS IN THE RESPONSE TO ACTIVE THREATS AND NATURAL DISASTERS.</t>
  </si>
  <si>
    <t>DOJ/DEA WEST MILWAUKEE (2YTRTP)</t>
  </si>
  <si>
    <t>2YTRTP60583877</t>
  </si>
  <si>
    <t>THIS EQUIPMENT IS NEEDED FOR OPERATIONAL USE IN CONJUNCTION WITH NIGHT VISION APPARATUS'S
DURING THE APPREHENSION OF HIGH VALUE TARGET. LEA TO CONFIRM AND ACCEPTE CONDITION OF DEVICE, LEA HAS CONFIRMED THE SITE HAS BEEN CONTACTED AND ACCEPTED CONDITION OF PROPERTY</t>
  </si>
  <si>
    <t>FRANKLIN POLICE DEPARTMENT (2YTEBF)</t>
  </si>
  <si>
    <t>2YTEBF60160913</t>
  </si>
  <si>
    <t>LITTER,FOLDING,RIGI</t>
  </si>
  <si>
    <t>THE FRANKLIN POLICE DEPARTMENT WILL USE THIS LITTER TO EFFECTUATE SUBJECT RESCUES DUE TO INJURY OR SUBJECT INABILITY TO MOVE.</t>
  </si>
  <si>
    <t>SAINT CROIX COUNTY SHERIFFS OFFICE (2YTKKS)</t>
  </si>
  <si>
    <t>2YTKKS60372651</t>
  </si>
  <si>
    <t>WE ARE OUTFITTING OUR EMERGENCY RESPONSE TEAM WITH THE PEQ15S, AND WE HAVE ADDED MEMBERS, AND WE HAVE A COUPLE THAT ARE STARTING TO FAIL.</t>
  </si>
  <si>
    <t>TAYLOR COUNTY SHERIFF DEPT (2YTLQG)</t>
  </si>
  <si>
    <t>2YTLQG60302284</t>
  </si>
  <si>
    <t>LAW ENFORCEMENT AND EMERGENCY SERVICES NEED A TRAILER-MOUNTED GENERATOR TO PROVIDE RELIABLE POWER DURING EMERGENCIES AND DISASTERS. IT SUPPORTS CRITICAL COMMUNICATIONS, SCENE LIGHTING, MEDICAL EQUIPMENT, AND INCIDENT COMMAND OPERATIONS WHEN COMMERCIAL POWER IS UNAVAILABLE. ITS MOBILITY ALLOWS RAPID DEPLOYMENT TO CRASH SCENES, SEARCH AND RESCUE MISSIONS, AND SEVERE WEATHER INCIDENTS, IMPROVING RESPONDER SAFETY, OPERATIONAL EFFICIENCY, AND CONTINUITY OF ESSENTIAL PUBLIC SAFETY SERVICES.</t>
  </si>
  <si>
    <t>RTD HQ RESUBMISSION DUE WMS ADMINISTRATIVE ERROR, ORIGINAL JUSTIFICATION IS NOT AVAILABLE</t>
  </si>
  <si>
    <t>THIS UNIT WILL BE USED BY THE ZILWAUKEE POLICE DEPARTMENT TO CLEAN AND MAINTAIN OUR CITY SURVEILLANCE CAMERAS LOCATED HIGH ON TELEPHONE POLES.</t>
  </si>
  <si>
    <t xml:space="preserve">
Sales Order #: 2281517425
RTD Screening Code: DOD
Reason for Rejection: Y9</t>
  </si>
  <si>
    <t>2YTN1560230880</t>
  </si>
  <si>
    <t>ZILWAUKEE CITY POLICE DEPT (2YTN15)</t>
  </si>
  <si>
    <t>SYSTEM</t>
  </si>
  <si>
    <t>THIS UNIT WILL BE USED BY THE ZILWAUKEE POLICE DEPARTMENT FOR CROW ISLAND STATE GAME AREA FOR SEARCH AND RESCUE EFFORTS DURING THE WINTER MONTHS.  ATV USUALLY GETS STUCK WHERE SNOW MACHINES CAN BE ADVANCED FOR THE RESCUE</t>
  </si>
  <si>
    <t xml:space="preserve">
Sales Order #: 2281517423
RTD Screening Code: DOD
Reason for Rejection: YG</t>
  </si>
  <si>
    <t>SNOWMOBILE</t>
  </si>
  <si>
    <t>DSSNOWMOB</t>
  </si>
  <si>
    <t>2YTN1560160884</t>
  </si>
  <si>
    <t xml:space="preserve">
Sales Order #: 2281517431
RTD Screening Code: DOD
Reason for Rejection: Y9</t>
  </si>
  <si>
    <t>2YTN1560160883</t>
  </si>
  <si>
    <t>THIS UNIT WILL BE USED BY THE ZILWAUKEE POLICE DEPARTMENT IN CLEANING OUR CAMERA SYSTEM THAT IS HUNG ON OUR TELEPHONE POLES.  THIS UNIT WILL HELP REACH ALL OF OUR CAMERA SYSTEM TO CLEAN AND RUN MAINTENANCE.</t>
  </si>
  <si>
    <t xml:space="preserve">
Sales Order #: 2268966257
RTD Screening Code: DOD
Reason for Rejection: Y9</t>
  </si>
  <si>
    <t>2YTN1560020058</t>
  </si>
  <si>
    <t>EQUIPMENT TO BE USED BY SWORN LAW ENFORCEMENT PERSONNEL AND CIVILIAN EMPLOYEES FOR MAINTENANCE OF PUBLIC SAFETY TRAINING AREA, OBSTACLE COURSE AND POLICE FIREARMS TRAINING RANGES.</t>
  </si>
  <si>
    <t xml:space="preserve">
Sales Order #: 2286298950
RTD Screening Code: DOD
Reason for Rejection: Y9</t>
  </si>
  <si>
    <t>2YTN1M60936998</t>
  </si>
  <si>
    <t>VEHICLE TO BE USED BY SWORN LAW ENFORCEMENT PERSONNEL FOR FACILITY MAINTENANCE, CHANGE LIGHTING AND TO INSTALL LICENSE PLATE READERS AND SURVEILLANCE CAMERAS FOR HOT SPOT POLICING.</t>
  </si>
  <si>
    <t xml:space="preserve">
Sales Order #: 2285383639
RTD Screening Code: GSA
Reason for Rejection: Y9</t>
  </si>
  <si>
    <t>TRUCK,SERVICING PLATFORM</t>
  </si>
  <si>
    <t>2YTN1M60795625</t>
  </si>
  <si>
    <t>THE YUMA POLICE DEPARTMENT IS REQUESTING THESE UNITS FOR SECURE STORAGE OF MATERIALS AND SUPPLIES USED FOR TRAINING OF OFFICERS, MAINTENANCE OF FACILITIES, AND REMOTE WORKSTATIONS AT OUR REGIONAL TRAINING LOCATIONS.</t>
  </si>
  <si>
    <t xml:space="preserve">
Sales Order #: 2285179925
RTD Screening Code: DOD
Reason for Rejection: Y9</t>
  </si>
  <si>
    <t>2YTN1M60725296</t>
  </si>
  <si>
    <t xml:space="preserve">
Sales Order #: 2285152393
RTD Screening Code: DOD
Reason for Rejection: Y9</t>
  </si>
  <si>
    <t>2YTN1M60725295</t>
  </si>
  <si>
    <t xml:space="preserve">
Sales Order #: 2285178175
RTD Screening Code: DOD
Reason for Rejection: Y9</t>
  </si>
  <si>
    <t>2YTN1M60725294</t>
  </si>
  <si>
    <t xml:space="preserve">
Sales Order #: 2285176981
RTD Screening Code: DOD
Reason for Rejection: Y9</t>
  </si>
  <si>
    <t>2YTN1M60725293</t>
  </si>
  <si>
    <t>TRAILER TO BE USED BY CERTIFIED LAW ENFORCEMENT EOD AND DROVE PERSONNEL AS A MOBILE BASE STATION FOR ROBOTS, EOD EQUIPMENT AND DRONES AT LARGE CIVIC EVENTS OR MAJOR CRIME SCENES.</t>
  </si>
  <si>
    <t xml:space="preserve">
Sales Order #: 2283626502
Reason for Rejection: YH</t>
  </si>
  <si>
    <t>MOBILE BATTLE COMMAND</t>
  </si>
  <si>
    <t>2YTN1M60513297</t>
  </si>
  <si>
    <t>VEHICLE TO BE USED BY SWORN LAW ENFORCEMENT OFFICERS AND DETECTIVES AS A MOBILE COMMAND AND INVESTIGATIONS UNIT AT MAJOR CRIME SCENES.</t>
  </si>
  <si>
    <t>Requested DTID is no longer in the inventory.</t>
  </si>
  <si>
    <t>TRUCKS AND TRUCK TRACTORS, DEMIL C</t>
  </si>
  <si>
    <t>DSTRUCKDC</t>
  </si>
  <si>
    <t>2YTN1M60442639</t>
  </si>
  <si>
    <t>EQUIPMENT TO BE USED BY SWORN LAW ENFORCEMENT EOD BOMB TECH PERSONNEL WHILE WORKING WITH IMPROVISED EXPLOSIVE DEVICES, KNOWN EXPLOSIVES AND DAMAGED OR TAMPERED MUNITIONS.</t>
  </si>
  <si>
    <t xml:space="preserve">
Sales Order #: 2280803872
RTD Screening Code: DOD
Reason for Rejection: YG</t>
  </si>
  <si>
    <t>2YTN1M60309911</t>
  </si>
  <si>
    <t>MEMBERS OF THE YONKERS POLICE DEPARTMENT WILL USE THESE LIGHTS ON DEPARTMENT ISSUED WEAPONS TO HELP SEE IN NO LIGHT OR LOW SITUATIONS</t>
  </si>
  <si>
    <t>2YTNZL61004974</t>
  </si>
  <si>
    <t>MEMBERS OF THE YONKERS POLICE DEPARTMENT WILL USE THESE GRINDERS TO REPAIR DEPARTMENT EQUIPMENT AND VEHICLES.  OFFICER WILL ALSO USE THESE GRINDERS AT THE SCENE OF EMERGENCIES TO CUT LOCK AND OTHER METAL ITEMS</t>
  </si>
  <si>
    <t xml:space="preserve">
Sales Order #: 2286618464
RTD Screening Code: DOD
Reason for Rejection: Y9</t>
  </si>
  <si>
    <t>GRINDER,ELECTRIC,PORTABLE</t>
  </si>
  <si>
    <t>2YTNZL60937391</t>
  </si>
  <si>
    <t>MEMBERS OF THE YONKERS POLICE DEPARTMENT WILL USE THIS TOOL BOX TO ORGANIZE AND HOLD TOOLS THAT WILL REPAIR DEPARTMENT EQUIPMENT AND VEHICLES</t>
  </si>
  <si>
    <t xml:space="preserve">
Sales Order #: 2286298944
RTD Screening Code: DOD
Reason for Rejection: Y9</t>
  </si>
  <si>
    <t>2YTNZL60936997</t>
  </si>
  <si>
    <t>MEMBERS OF THE YONKERS POLICE DEPARTMENT WILL USE THESE EYE PROTECTION DURING TRAINING TO PROTECT OFFICERS EYES FROM SIMULATIONS BULLETS</t>
  </si>
  <si>
    <t xml:space="preserve">
Sales Order #: 2286347644
RTD Screening Code: DOD
Reason for Rejection: Y9</t>
  </si>
  <si>
    <t>2YTNZL60936913</t>
  </si>
  <si>
    <t>MEMBERS OF THE YONKERS POLICE DEPARTMENT WILL USE THIS PELICAN CASE TO STORE EQUIPMENT AND SUPPLIES IN FOR EMERGENCIES IT WILL MAKE IT EASIER AND QUICKER TO ACCESS SUPPLIES.</t>
  </si>
  <si>
    <t xml:space="preserve">
Sales Order #: 2286317840
RTD Screening Code: DOD
Reason for Rejection: Y9</t>
  </si>
  <si>
    <t>CASE, PELICAN, LARGE, &gt;500 SQ IN</t>
  </si>
  <si>
    <t>DSPELCNLG</t>
  </si>
  <si>
    <t>2YTNZL60866999</t>
  </si>
  <si>
    <t>MEMBERS OF THE YONKERS POLICE DEPARTMENT WILL USE THIS ATV TO TRANSPORT OFFICERS TO EMERGENCY SCENES THAT ARE OFF PAVED ROADS AND THAT ARE HARD TO ACCESS WITH A REGULAR VEHICLE</t>
  </si>
  <si>
    <t xml:space="preserve">
Sales Order #: 2285864838
RTD Screening Code: DOD
Reason for Rejection: Y9</t>
  </si>
  <si>
    <t>2YTNZL60866309</t>
  </si>
  <si>
    <t xml:space="preserve">
Sales Order #: 2285872627
RTD Screening Code: DOD
Reason for Rejection: Y9</t>
  </si>
  <si>
    <t>2YTNZL60866308</t>
  </si>
  <si>
    <t>MEMBERS OF THE YONKERS POLICE DEPARTMENT WILL USE THESE SAFETY GLASS TO PROTECT OFFICERS EYES WHILE TRAINING AND DURING EMERGENCIES SCENES</t>
  </si>
  <si>
    <t xml:space="preserve">
Sales Order #: 2285761808
RTD Screening Code: DOD
Reason for Rejection: Y9</t>
  </si>
  <si>
    <t>2YTNZL60866304</t>
  </si>
  <si>
    <t>Requisition Canceled.</t>
  </si>
  <si>
    <t>SAFETY GLASSES,REVI</t>
  </si>
  <si>
    <t>2YTNZL60866301</t>
  </si>
  <si>
    <t>MEMBERS OF THE YONKERS POLICE DEPARTMENT WILL USE THIS TRAILER TO MOVE AROUND EQUIPMENT AND SUPPLIES DURING EMERGENCIES</t>
  </si>
  <si>
    <t xml:space="preserve">
Sales Order #: 2285872674
RTD Screening Code: DOD
Reason for Rejection: Y9</t>
  </si>
  <si>
    <t>2YTNZL60866299</t>
  </si>
  <si>
    <t>MEMBERS OF THE YONKERS POLICE DEPARTMENT WILL USE THESE STORAGE BINS TO STORAGE FIRST AID SUPPLIES AND OTHER EMERGENCY SUPPLIES IN</t>
  </si>
  <si>
    <t>2YTNZL60726066</t>
  </si>
  <si>
    <t>MEMBERS OF THE YONKERS POLICE DEPARTMENT SWAT TEAM WILL USE INFRARED FLASHLIGHTS WHILE USING NIGHT VISION DURING LOW LIGHT AND NO LIGHT SITUATIONS</t>
  </si>
  <si>
    <t xml:space="preserve">
Sales Order #: 2285177780
RTD Screening Code: DOD
Reason for Rejection: Y9</t>
  </si>
  <si>
    <t>FLASHLIGHTS INFRARED CAPABLE</t>
  </si>
  <si>
    <t>DSFLASHLD</t>
  </si>
  <si>
    <t>2YTNZL60725291</t>
  </si>
  <si>
    <t>MEMBERS OF THE YONKERS POLICE WILL USE THIS ATV AT OUR TRAINING FACILITY TO MOVE EQUIPMENT AND SUPPLIES AND TRANSPORT PERSONNEL AROUND.</t>
  </si>
  <si>
    <t xml:space="preserve">
Sales Order #: 2283434780
RTD Screening Code: DOD
Reason for Rejection: Y9</t>
  </si>
  <si>
    <t>2YTNZL60725264</t>
  </si>
  <si>
    <t>MEMBERS OF THE YONKERS POLICE DEPARTMENT WILL USE THESE ILLUMINATOR ON DEPARTMENT ISSUED WEAPONS TO HELP SEE IN NO LIGHT OR LOW SITUATIONS</t>
  </si>
  <si>
    <t>2YTNZL60724973</t>
  </si>
  <si>
    <t>MEMBERS OF THE YONKERS POLICE DEPARTMENT WILL USE THESE RANGE FINDERS TO GET AN ACCURATE DISTANCE ON OBJECTS DURING A TACTICAL OR HAZMAT SITUATION</t>
  </si>
  <si>
    <t xml:space="preserve">
Sales Order #: 2285178156
RTD Screening Code: DOD
Reason for Rejection: Y9</t>
  </si>
  <si>
    <t>2YTNZL60724972</t>
  </si>
  <si>
    <t>MEMBERS OF THE YONKERS POLICE DEPARTMENT WILL USE THESE RANGE FINDER TO HELP DURING EMERGENCIES TO GET A ACCURATE DISTANCE ON AN OBJECT</t>
  </si>
  <si>
    <t xml:space="preserve">
Sales Order #: 2285179430
RTD Screening Code: DOD
Reason for Rejection: Y9</t>
  </si>
  <si>
    <t>RANGE FINDER,LASER</t>
  </si>
  <si>
    <t>2YTNZL60724852</t>
  </si>
  <si>
    <t>MEMBERS OF THE YONKERS POLICE DEPARTMENT WILL USE THESE SIGHT ON OUR DEPARTMENT ISSUE WEAPONS TO HELP IMPROVE SHOOTING ABILITIES,</t>
  </si>
  <si>
    <t>2YTNZL60724648</t>
  </si>
  <si>
    <t>MEMBERS OF THE YONKERS POLICE DEPARTMENT WILL USE THESE SIGHTS ON THE PATROL RIFLE TO ENHANCE THE DEPARTMENT'S SHOOTING CAPABILITIES</t>
  </si>
  <si>
    <t>2YTNZL60724370</t>
  </si>
  <si>
    <t>MEMBERS OF THE YONKERS POLICE DEPARTMENT WILL USE THESE SIGHTS ON THEIR ISSUE WEAPONS TO HELP IMPROVE THEIR SHOOTING CAPABILITIES</t>
  </si>
  <si>
    <t xml:space="preserve">
Sales Order #: 2283623333
RTD Screening Code: DOD
Reason for Rejection: Y9</t>
  </si>
  <si>
    <t>2YTNZL60723049</t>
  </si>
  <si>
    <t>MEMBERS OF THE YONKERS POLICE DEPARTMENT WILL USE THESE BAGS TO HOLD EQUIPMENT.</t>
  </si>
  <si>
    <t xml:space="preserve">
Sales Order #: 2283434808
RTD Screening Code: GSA
Reason for Rejection: YF</t>
  </si>
  <si>
    <t>2YTNZL60655279</t>
  </si>
  <si>
    <t>MEMBERS OF THE YONKERS POLICE DEPARTMENT  THAT ARE TRAINED PARAMEDICS AND EMTS WILL USE THIS MONITOR TO CHECK THE VITALS SIGNS OF OFFICERS DURING EMERGENCIES</t>
  </si>
  <si>
    <t xml:space="preserve">
Sales Order #: 2285178137
RTD Screening Code: DOD
Reason for Rejection: Y9</t>
  </si>
  <si>
    <t>MEDICAL MONITOR</t>
  </si>
  <si>
    <t>DSMONIT03</t>
  </si>
  <si>
    <t>2YTNZL60655273</t>
  </si>
  <si>
    <t>MEMBERS OF THE YONKERS POLICE DEPARTMENT WILL USE THESE ILLUMINATORS TO HELP DURING TACTICAL SITUATIONS AT NIGHT TIME OR LIGHT SITUATIONS IMPROVING OFFICERS SAFETY</t>
  </si>
  <si>
    <t xml:space="preserve">
Sales Order #: 2285179967
RTD Screening Code: DOD
Reason for Rejection: Y9</t>
  </si>
  <si>
    <t>2YTNZL60654857</t>
  </si>
  <si>
    <t xml:space="preserve">
Sales Order #: 2285180177
RTD Screening Code: DOD
Reason for Rejection: Y9</t>
  </si>
  <si>
    <t>2YTNZL60654853</t>
  </si>
  <si>
    <t>MEMBERS OF THE YONKERS POLICE DEPARTMENT SWAT TEAM WILL USE THE NIGHT VISION TO HELP DURING TACTICAL AND RESCUE SITUATIONS TO ENHANCE OUR NIGHT TIME CAPABILITIES</t>
  </si>
  <si>
    <t>2YTNZL60654371</t>
  </si>
  <si>
    <t>MEMBERS OF THE YONKERS POLICE DEPARTMENT WILL USE THESE CARRIERS TO HOLD FOLDING SHOVELS THAT THE DEPARTMENT HAS</t>
  </si>
  <si>
    <t xml:space="preserve">
Sales Order #: 2283314690
RTD Screening Code: DOD
Reason for Rejection: Y9</t>
  </si>
  <si>
    <t>2YTNZL60442538</t>
  </si>
  <si>
    <t>MEMBERS OF THE YONKERS POLICE DEPARTMENT WILL USE THESE HEARING PROTECTION WHILE USING TOOLS , MACHINES, AND WHILE ON THE RANGE SHOOTING</t>
  </si>
  <si>
    <t xml:space="preserve">
Sales Order #: 2283315024
RTD Screening Code: DOD
Reason for Rejection: Y9</t>
  </si>
  <si>
    <t>2YTNZL60372540</t>
  </si>
  <si>
    <t>MEMBERS OF THE YONKERS POLICE DEPARTMENT WILL USE THESE BATTERY CHARGER ON POLICE VEHICLES DURING COLD WEATHER TO MAKE SURE THE VEHICLE STARTS WHEN WE NEED IT TO.</t>
  </si>
  <si>
    <t xml:space="preserve">
Sales Order #: 2281224006
RTD Screening Code: DOD
Reason for Rejection: Y9</t>
  </si>
  <si>
    <t>2YTNZL60372320</t>
  </si>
  <si>
    <t xml:space="preserve">
Sales Order #: 2281583170
RTD Screening Code: DOD
Reason for Rejection: Y9</t>
  </si>
  <si>
    <t>2YTNZL60372319</t>
  </si>
  <si>
    <t>MEMBERS OF THE YONKERS POLICE DEPARTMENT WILL USE THESE PAINT ROLLERS TO PAINT EQUIPMENT, TRAINING AIDS, AND OTHER ITEMS</t>
  </si>
  <si>
    <t xml:space="preserve">
Sales Order #: 2281899501
RTD Screening Code: DOD
Reason for Rejection: Y9</t>
  </si>
  <si>
    <t>2YTNZL60372245</t>
  </si>
  <si>
    <t>MEMBERS OF THE YONKERS POLICE DEPARTMENT WILL PUT THESE BATTERY CHARGERS ON POLICE VEHICLES DURING THE WINTER TO MAKE SURE THE BATTERIES STAY CHARGED IN THE COLD</t>
  </si>
  <si>
    <t xml:space="preserve">
Sales Order #: 2282174135
RTD Screening Code: DOD
Reason for Rejection: Y9</t>
  </si>
  <si>
    <t>2YTNZL60372242</t>
  </si>
  <si>
    <t xml:space="preserve">
Sales Order #: 2282768919
RTD Screening Code: DOD
Reason for Rejection: Y9</t>
  </si>
  <si>
    <t>2YTNZL60372239</t>
  </si>
  <si>
    <t xml:space="preserve">
Sales Order #: 2282174140
RTD Screening Code: DOD
Reason for Rejection: Y9</t>
  </si>
  <si>
    <t>2YTNZL60372237</t>
  </si>
  <si>
    <t xml:space="preserve">
Sales Order #: 2281899480
RTD Screening Code: DOD
Reason for Rejection: Y9</t>
  </si>
  <si>
    <t>2YTNZL60372235</t>
  </si>
  <si>
    <t>MEMBERS OF THE YONKERS POLICE DEPARTMENT WILL WEAR THESE SHIRTS WHEN LAME RESISTANT CLOTHING  IS REQUIRED</t>
  </si>
  <si>
    <t xml:space="preserve">
Sales Order #: 2282174142
RTD Screening Code: DOD
Reason for Rejection: Y9</t>
  </si>
  <si>
    <t>2YTNZL60372225</t>
  </si>
  <si>
    <t>MEMBERS OF THE YONKERS POLICE DEPARTMENT WILL USE THESE TOOLS TO REPAIR DEPARTMENTAL EQUIPMENT</t>
  </si>
  <si>
    <t xml:space="preserve">
Sales Order #: 2281899496
RTD Screening Code: DOD
Reason for Rejection: Y9</t>
  </si>
  <si>
    <t>2YTNZL60372224</t>
  </si>
  <si>
    <t>MEMBERS OF THE YONKERS WILL USE THESE LIGHTS DURING EMERGENCIES TO PROVIDE LIGHTING</t>
  </si>
  <si>
    <t xml:space="preserve">
Sales Order #: 2281899486
RTD Screening Code: DOD
Reason for Rejection: Y9</t>
  </si>
  <si>
    <t>FLOODLIGHT,ELECTRIC</t>
  </si>
  <si>
    <t>2YTNZL60372223</t>
  </si>
  <si>
    <t>MEMBERS OF THE YONKERS POLICE DEPARTMENT WILL USE THESE LIFE VEST WHILE OPERATING ON THE HUDSON RIVER. THESE WILL KEEP THE OFFICERS SAFE WHILE ON THE WATER</t>
  </si>
  <si>
    <t xml:space="preserve">
Sales Order #: 2282566511
RTD Screening Code: DOD
Reason for Rejection: Y9</t>
  </si>
  <si>
    <t>2YTNZL60372032</t>
  </si>
  <si>
    <t>MEMBERS OF THE YONKERS POLICE DEPARTMENT WILL USE THESE HEATERS TO HEAT TEMPORARY EMERGENCY SHELTERS TO BE USED TO NATURAL DISASTERS AND OTHER EMERGENCY</t>
  </si>
  <si>
    <t xml:space="preserve">
Sales Order #: 2283007734
RTD Screening Code: RTD2
Reason for Rejection: Y9</t>
  </si>
  <si>
    <t>2YTNZL60302462</t>
  </si>
  <si>
    <t>MEMBERS OF THE YONKERS POLICE DEPARTMENT WILL USE THESE PADLOCK TO SECURE DEPARTMENT EQUIPMENT, DOORS AND LOCKERS.</t>
  </si>
  <si>
    <t xml:space="preserve">
Sales Order #: 2282934354
RTD Screening Code: RTD2
Reason for Rejection: Z2</t>
  </si>
  <si>
    <t>PADLOCK SET</t>
  </si>
  <si>
    <t>2YTNZL60292414</t>
  </si>
  <si>
    <t>MEMBERS OF THE YONKERS POLICE DEPARTMENT WILL USE THIS CABINET TO SECURE OUR FIREARMS DURING TRAINING DAYS.</t>
  </si>
  <si>
    <t xml:space="preserve">
Sales Order #: 2267430803
RTD Screening Code: DOD
Reason for Rejection: Y9</t>
  </si>
  <si>
    <t>2YTNZL60160548</t>
  </si>
  <si>
    <t>THIS WILL BE ISSUED TO LAW ENFORCEMENT TO BE USED AT CRIME SCENES, NATURAL DISASTERS, AND LARGE EVENTS FOR STORAGE AND MOBILE COMMAND.</t>
  </si>
  <si>
    <t xml:space="preserve">
Sales Order #: 2285908494
RTD Screening Code: DOD
Reason for Rejection: Y9</t>
  </si>
  <si>
    <t>2YTNUS60866703</t>
  </si>
  <si>
    <t>WISE COUNTY SHERIFF OFFICE (2YTNUS)</t>
  </si>
  <si>
    <t>THIS WILL BE ISSUED TO LAW ENFORCEMENT DEPUTIES FOR PATROLS AND LAW ENFORCEMENT DUTIES.</t>
  </si>
  <si>
    <t xml:space="preserve">
Sales Order #: 2285876715
RTD Screening Code: DOD
Reason for Rejection: Y9</t>
  </si>
  <si>
    <t>2YTNUS60866696</t>
  </si>
  <si>
    <t xml:space="preserve">
Sales Order #: 2285908493
RTD Screening Code: DOD
Reason for Rejection: Y9</t>
  </si>
  <si>
    <t>2YTNUS60866695</t>
  </si>
  <si>
    <t>THIS WILL BE ISSUED TO LAW ENFORCEMENT FOR USE AT OUR FIRING RANGE TO HAUL SUPPLIES AND FOR USE BY EVIDENCE TECHNICIAN TO HAUL EVIDENCE FOR DESTRUCTION.</t>
  </si>
  <si>
    <t xml:space="preserve">
Sales Order #: 2285950620
RTD Screening Code: GSA
Reason for Rejection: Y9</t>
  </si>
  <si>
    <t>2YTNUS60796708</t>
  </si>
  <si>
    <t xml:space="preserve">
Sales Order #: 2285876717
RTD Screening Code: GSA
Reason for Rejection: Y9</t>
  </si>
  <si>
    <t>2YTNUS60796700</t>
  </si>
  <si>
    <t xml:space="preserve">
Sales Order #: 2285908491
RTD Screening Code: GSA
Reason for Rejection: Y9</t>
  </si>
  <si>
    <t>2YTNUS60796698</t>
  </si>
  <si>
    <t xml:space="preserve">
Sales Order #: 2285876705
RTD Screening Code: GSA
Reason for Rejection: Y9</t>
  </si>
  <si>
    <t>2YTNUS60796697</t>
  </si>
  <si>
    <t>THIS VEHICLE WILL BE USED TO STORE AND TRANSPORT SPECIALIZED EQUIPMENT AND LAW ENFORCEMENT OFFICERS ASSIGNED TO OUR SPECIAL RESPONSE TEAM.  THIS TEAM EXECUTES HIGH RISK SEARCH AND ARREST WARRANTS.</t>
  </si>
  <si>
    <t xml:space="preserve">
Sales Order #: 2285178942
RTD Screening Code: DOD
Reason for Rejection: Y9</t>
  </si>
  <si>
    <t>2YTNUS60654779</t>
  </si>
  <si>
    <t>THIS VEHICLE WILL BE USED TO STORE AND TRANSPORT SPECIALIZED EQUIPMENT AND LAW ENFORCEMENT OFFICERS ASSIGNED TO OUR CRISIS NEGOTIATION TEAM.  THIS TEAM RESPONDS TO BARRICADE AND HOSTAGE SITUATION REGION WIDE.</t>
  </si>
  <si>
    <t>TRUCK,EMERGENCY RES</t>
  </si>
  <si>
    <t>2YTNUS60584780</t>
  </si>
  <si>
    <t>THIS WILL BE USED TO STORE AND TRANSPORT LAW ENFORCEMENT EQUIPMENT AND PERSONAL ASSIGNED TO OUR SPECIAL RESPONSE TEAM.  THIS TEAM EXECUTES HIGH RISK ARRESTS AND SEARCH WARRANTS.  THEY HAVE SPECIAL EQUIPMENT SUCH AS ROBOTS AND BREACHING TOOLS THAT WILL BE STORED ON THIS VEHICLE.</t>
  </si>
  <si>
    <t>2YTNUS60303929</t>
  </si>
  <si>
    <t>THIS WILL BE USED IN THE FITNESS ROOM FOR LAW ENFORCEMENT OFFICERS TO IMPROVE HEALTH AND WELLNESS.</t>
  </si>
  <si>
    <t>2YTNUS60231099</t>
  </si>
  <si>
    <t>THIS WILL BE USED BY LAW ENFORCEMENT INVESTIGATORS FOR UNDERCOVER OPERATIONS.</t>
  </si>
  <si>
    <t xml:space="preserve">
Sales Order #: 2281763834
RTD Screening Code: DOD
Reason for Rejection: YG</t>
  </si>
  <si>
    <t>2YTNUS60161097</t>
  </si>
  <si>
    <t>THE WINTER GARDEN POLICE DEPARTMENT IS REQUESTING THESE ITEMS FOR LAW ENFORCEMENT PURPOSES EXCLUSIVELY. OUR USE WOULD BE TO PAIR WITH NIGHT VISION DEVICES FOR LOW LIGHT TACTICAL OPERATIONS WITH THE CENTRAL FLORIDA METRO SWAT TEAM, A METRO TACTICAL TEAM OF WHICH WGPD IS A PARTICIPATING MEMBER. THESE AIMING DEVICES ARE ESSENTIAL FOR ANY SUCCESSFUL TACTICAL OPERATIONS WHEN UNDER NIGHT VISION.</t>
  </si>
  <si>
    <t xml:space="preserve">
Sales Order #: 2285179942
RTD Screening Code: DOD
Reason for Rejection: Y9</t>
  </si>
  <si>
    <t>2YTNT960725013</t>
  </si>
  <si>
    <t>WINTER GARDEN POLICE DEPT (2YTNT9)</t>
  </si>
  <si>
    <t>RECENTLY PARTNERED WITH NAVSEC FOR NVG LEASE FOR AGENCY SWAT TEAM AND NOW NEED AIMING DEVICE FOR TACTICAL OPERATIONS WHEN UTILIZING NIGHT VISION.</t>
  </si>
  <si>
    <t>2YTNT960301806</t>
  </si>
  <si>
    <t>FOR USE WITH THE AGENCY'S SWAT TEAM. WE RECENTLY PARTNERED WITH THE NSWC CRANE'S NVG LEASE PROGRAM TO OBTAIN NIGHT VISION BUT NOW NEED THE ABILITY TO AIM WITH THAT NIGHT VISION.</t>
  </si>
  <si>
    <t>2YTNT960231138</t>
  </si>
  <si>
    <t>WILSON'S MILLS NEEDS THIS EQUIPMENT FOR COUNTER-DRUG, COUNTER-TERRORISM OPERATIONS.  THE HYDRATION KITS WILL BE USED TO KEEP OFFICERS HYDRATED DURING OPERATIONS.</t>
  </si>
  <si>
    <t>CARRIER HYDRATION S</t>
  </si>
  <si>
    <t>2YTQT260211686</t>
  </si>
  <si>
    <t>THIS IS FOR ASSIGNMENT TO THE WILSON COUNTY SHERIFF'S OFFICE SPECIAL RESPONSE TEAM WHICH IS TASKED WITH RESPONDING TO LIFE SAFETY EMERGENCIES IN A VARIETY OF ENVIRONMENTS TO INCLUDE NO LIGHT AND LOW LIGHT SCENARIOS.  I HAVE SPOKEN WITH GERALD ON SITE WHO SAID THAT ALTHOUGH THEY ARE CONDITION CODE F AND THERE IS NO GUARANTEE, HE BELIEVES THEM TO LIKELY BE OPERATIONAL.</t>
  </si>
  <si>
    <t>2YTNRP60867249</t>
  </si>
  <si>
    <t>WILSON COUNTY SHERIFF'S OFFICE (2YTNRP)</t>
  </si>
  <si>
    <t>THIS IS FOR ASSIGNMENT TO THE WILSON COUNTY SHERIFF'S OFFICE SPECIAL RESPONSE TEAM WHICH IS TASKED WITH RESPONDING TO LIFE SAFETY EMERGENCIES IN A VARIETY OF ENVIRONMENTS TO INCLUDE NO LIGHT AND LOW LIGHT SCENARIOS. I HAVE SPOKEN WITH THE SITE WHO ADVISED THAT ALTHOUGH THEY ARE CONDITION CODE H AND THERE IS NO GUARANTEE, THEY BELIEVES THEM TO LIKELY BE OPERATIONAL WITH INTACT GLASS.</t>
  </si>
  <si>
    <t xml:space="preserve">
Sales Order #: 2286425667
RTD Screening Code: DOD
Reason for Rejection: Y9</t>
  </si>
  <si>
    <t>2YTNRP60867246</t>
  </si>
  <si>
    <t xml:space="preserve">
Sales Order #: 2282071339
RTD Screening Code: DOD
Reason for Rejection: Z2</t>
  </si>
  <si>
    <t>2YTNPQ60301522</t>
  </si>
  <si>
    <t xml:space="preserve">
Sales Order #: 2282071331
RTD Screening Code: DOD
Reason for Rejection: Z2</t>
  </si>
  <si>
    <t>2YTNPQ60301521</t>
  </si>
  <si>
    <t xml:space="preserve">
Sales Order #: 2282071313
RTD Screening Code: DOD
Reason for Rejection: Z2</t>
  </si>
  <si>
    <t>2YTNPQ60301520</t>
  </si>
  <si>
    <t>THE WILLACOOCHEE POLICE DEPARTMENT IS IN NEED OF THIS RACK OFFICE TO BE ABLE TO MAINTAIN OUR POLICE RECORDS THAT WE HAVE TO MAINTAIN.. THIS RACK WILL HELP US ORGANIZE OUR DEPARTMENT AND OPEN MORE SPACE TO OUR STORAGE UNITS .</t>
  </si>
  <si>
    <t xml:space="preserve">
Sales Order #: 2281763833
RTD Screening Code: DOD
Reason for Rejection: Y9</t>
  </si>
  <si>
    <t>RACK, OFFICE</t>
  </si>
  <si>
    <t>DSRACK001</t>
  </si>
  <si>
    <t>2YTNPQ60231112</t>
  </si>
  <si>
    <t xml:space="preserve">
Sales Order #: 2281766798
RTD Screening Code: DOD
Reason for Rejection: Y9</t>
  </si>
  <si>
    <t>2YTNPQ60231111</t>
  </si>
  <si>
    <t xml:space="preserve">
Sales Order #: 2281766808
RTD Screening Code: DOD
Reason for Rejection: Y9</t>
  </si>
  <si>
    <t>2YTNPQ60231110</t>
  </si>
  <si>
    <t>THE WILLACOOCHEE POLICE DEPARTMENT URGENTLY REQUIRES AN AIR COMPRESSOR TO ENHANCE THE MAINTENANCE OF OUR POLICE VEHICLES, ENSURING THEY REMAIN IN OPTIMAL CONDITION TO SERVE AND PROTECT OUR COMMUNITY EFFECTIVELY.</t>
  </si>
  <si>
    <t xml:space="preserve">
Sales Order #: 2280301197
RTD Screening Code: DOD
Reason for Rejection: YH</t>
  </si>
  <si>
    <t>2YTNPQ60160403</t>
  </si>
  <si>
    <t>WILLACOOCHEE POLICE DEPARTMENT IS IN NEED OF A FORKLIFT TO BE ABLE TO MOVE PROPERTY AROUND THE POLICE SHOP.</t>
  </si>
  <si>
    <t xml:space="preserve">
Sales Order #: 2280301196
RTD Screening Code: DOD
Reason for Rejection: Y9</t>
  </si>
  <si>
    <t>2YTNPQ60160401</t>
  </si>
  <si>
    <t>THE WILKESBORO POLICE DEPARTMENT REQUESTS THESE ITEMS TO BE USED BY SWORN OFFICERS IN COUNTERDRUG OPERATIONS AND SEARCH AND RESCUE OPERATIONS. THE ITEMS WILL BE USED DURING NIGHTTIME SEARCH WARRANT DUTIES AS WELL AS NIGHTTIME SEARCH AND RESCUE OPERATIONS.</t>
  </si>
  <si>
    <t>2YTNPG60867281</t>
  </si>
  <si>
    <t>THE WILKESBORO POLICE DEPARTMENT REQUEST THESE ITEMS TO BE USED BY SWORN LAW ENFORCEMENT OFFICERS FOR COUNTER DRUG OPERATIONS. THE ITEMS WILL BE ATTACHED TO DEPARTMENT OWNED AND ISSUED WEAPONS FOR USE IN SEARCH WARRANTS.</t>
  </si>
  <si>
    <t xml:space="preserve">
Sales Order #: 2285870176
RTD Screening Code: DOD
Reason for Rejection: Y9</t>
  </si>
  <si>
    <t>2YTNPG60866508</t>
  </si>
  <si>
    <t xml:space="preserve">
Sales Order #: 2285347997
RTD Screening Code: DOD
Reason for Rejection: Y9</t>
  </si>
  <si>
    <t>2YTNPG60725813</t>
  </si>
  <si>
    <t>THE WILKESBORO POLICE DEPARTMENT IS REQUESTING THIS ITEM FOR USE IN COUNTER-DRUG AND COUNTER-TERRORISM OPERATIONS. WE HAVE CONTACTED THE SITE AND ARE WILLING TO ACCEPT THE ITEM IN ITS CURRENT CONDITION.</t>
  </si>
  <si>
    <t xml:space="preserve">
Sales Order #: 2283693173
RTD Screening Code: DOD
Reason for Rejection: YG</t>
  </si>
  <si>
    <t>2YTNPG60653510</t>
  </si>
  <si>
    <t>THE WILKESBORO POLICE DEPARTMENT IS REQUESTING THIS ITEM FOR USE IN COUNTER-DRUG AND COUNTER-TERRORISM USE. THE WILKESBORO POLICE DEPARTMENT HAS CONTACTED THE SITE AND WILL ACCEPT THE ITEMS IN ITS CURRENT CONDITION.</t>
  </si>
  <si>
    <t xml:space="preserve">
Sales Order #: 2283693182
RTD Screening Code: DOD
Reason for Rejection: YG</t>
  </si>
  <si>
    <t>2YTNPG60653509</t>
  </si>
  <si>
    <t>THE WILKESBORO POLICE DEPARTMENT REQUEST THIS ITEM FOR USE IN COUNTER-DRUG AND SEARCH AND RESCUE OPERATIONS. THIS NIGHT VISION DEVICE WILL ALLOW OUR OFFICERS TO SEARCH FOR MISSING PERSONS IN WOODED AREAS AND FOR USE IN SEARCH WARRANT ACTIVITY. I HAVE BEEN IN CONTACT WITH THE STATION AND HAVE REVIEWED THE CONDITION AND WILL ACCEPT THIS AS IS.</t>
  </si>
  <si>
    <t xml:space="preserve">
Sales Order #: 2283314355
RTD Screening Code: DOD
Reason for Rejection: Y9</t>
  </si>
  <si>
    <t>2YTNPG60442863</t>
  </si>
  <si>
    <t xml:space="preserve">
Sales Order #: 2283314361
RTD Screening Code: DOD
Reason for Rejection: Y9</t>
  </si>
  <si>
    <t>2YTNPG60442861</t>
  </si>
  <si>
    <t xml:space="preserve">
Sales Order #: 2283314358
RTD Screening Code: DOD
Reason for Rejection: Y9</t>
  </si>
  <si>
    <t>2YTNPG60442860</t>
  </si>
  <si>
    <t xml:space="preserve">
Sales Order #: 2283314376
RTD Screening Code: DOD
Reason for Rejection: Y9</t>
  </si>
  <si>
    <t>2YTNPG60442859</t>
  </si>
  <si>
    <t>THE WILKESBORO POLICE DEPARTMENT REQUEST THESE ITEMS IN COUNTER-DRUG OPERATIONS. THESE HEADSETS WILL ALLOW OUR OFFICERS TO COMMUNICATE WITH DISPATCH DURING SEARCH WARRANT ACTIVITY.</t>
  </si>
  <si>
    <t xml:space="preserve">
Sales Order #: 2283314378
RTD Screening Code: DOD
Reason for Rejection: Y9</t>
  </si>
  <si>
    <t>2YTNPG60442855</t>
  </si>
  <si>
    <t>THE WILKESBORO POLICE DEPARTMENT NEEDS THIS EQUIPMENT FOR COUNTER-DRUG AND COUNTER-TERRORISM OPERATIONS.
WE CONTACTED THE SITE AND ACCEPT THE ITEMS IN THEIR CURRENT CONDITION.</t>
  </si>
  <si>
    <t>2YTNPG60302505</t>
  </si>
  <si>
    <t>NEEDED TO BE PLACED ON AGENCY OWNED PATROL RIFLES.</t>
  </si>
  <si>
    <t>2YTNPG60302438</t>
  </si>
  <si>
    <t>VEHICLE WILL BE ASSIGNED TO OUR SCHOOL RESOURCE OFFICER TO PROVIDE MUCH NEEDED RELIABLE TRANSPORTATION FOR PROVIDING SECURITY AT THE SCHOOL, SPECIAL EVENTS, AND OUT OF TOWN SPORTING EVENTS.</t>
  </si>
  <si>
    <t xml:space="preserve">
Sales Order #: 2285178195
RTD Screening Code: DOD
Reason for Rejection: Y9</t>
  </si>
  <si>
    <t>2YTNNY60725051</t>
  </si>
  <si>
    <t>THE WHITE COUNTY SHERIFF'S OFFICE CAN UTILIZE THIS SCOOTER FOR WORKING SECURITY AT LARGE COMMUNITY EVENTS AND THE HIGH SCHOOL RESOURCE OFFICER CAN USE IT TO TRAVEL ACROSS THE LARGE MULTI-BUILDING CAMPUS.</t>
  </si>
  <si>
    <t xml:space="preserve">
Sales Order #: 2281230542
RTD Screening Code: DOD
Reason for Rejection: Y9</t>
  </si>
  <si>
    <t>2YTNMZ60160577</t>
  </si>
  <si>
    <t>THE WHITE COUNTY SHERIFF'S OFFICE SERVES A RURAL COUNTY REQUIRING EQUIPMENT FOR EMERGENCY AND DISASTER RESPONSE. A LARGE TRACTOR WOULD BE USED TO CLEAR STORM DEBRIS, OPEN ROAD WAYS FOR EMERGENCY ACCESS, SUPPORT, SEARCH AND RESCUE OPERATIONS, AND MAINTAIN TRAINING AREAS. LESO ACQUISITIONS IMPROVE READINESS WHILE REDUCING COSTS.</t>
  </si>
  <si>
    <t xml:space="preserve">
Sales Order #: 2281230531
RTD Screening Code: DOD
Reason for Rejection: YH</t>
  </si>
  <si>
    <t>2YTNMZ60160576</t>
  </si>
  <si>
    <t>THE WHITE COUNTY SHERIFF'S OFFICE SORT TEAM CAN USE THESE TO STAY HYDRATED ON CALL OUTS AND MISSIONS .</t>
  </si>
  <si>
    <t xml:space="preserve">
Sales Order #: 2268966265
RTD Screening Code: DOD
Reason for Rejection: Y9</t>
  </si>
  <si>
    <t>2YTNMZ60029899</t>
  </si>
  <si>
    <t>FOR USE BY THIS LEA ONLY.  FOR USE BY THIS LEAS LEOS TO USE FOR FILING AND STORING OF PERSONNEL FILES AND ITEMS STORED IN THE EVIDENCE VAULT.</t>
  </si>
  <si>
    <t>2YTNJX60594799</t>
  </si>
  <si>
    <t>FOR USE BY THIS LEA ONLY.  FOR USE BY THIS LEAS LEOS TO USE IN THE LEAS FITNESS GYM TO PROMOTE PHYSICAL FITNESS AND RESILIENCE AMONGST THE LEOS.</t>
  </si>
  <si>
    <t>BUMPER PLATE,WEIGHT</t>
  </si>
  <si>
    <t>2YTNJX52553400</t>
  </si>
  <si>
    <t>THE WEST SENECA POLICE DEPT WILL USE THIS VEHICLE TO SUPPORT EMERGENCY RESPONSE OPERATIONS, INCIDENT COMMAND FUNCTIONS, AND TRANSPORT OF PERSONNEL AND EQUIPMENT TO POLICE FUNCTIONS. THE VEHICLE WILL ALSO BE USED FOR INVESTIGATIVE FOLLOW-UPS AND TRAINING ACTIVITIES.</t>
  </si>
  <si>
    <t xml:space="preserve">
Sales Order #: 2285870171
RTD Screening Code: DOD
Reason for Rejection: Y9</t>
  </si>
  <si>
    <t>2YTNJC60866479</t>
  </si>
  <si>
    <t>WEST SENECA POLICE DEPT (2YTNJC)</t>
  </si>
  <si>
    <t>THE WEST SENECA POLICE WILL UTILIZE THIS VAN TO TRANSPORT OFFICERS, EQUIPMENT, AND SUPPLIES. IT WILL SUPPORT DEPLOYMENT TO CRITICAL INCIDENTS AND WEATHER EVENTS AND ASSIST WITH TOWING SMALL TRAILERS. ITS PASSENGER AND CARGO CAPACITY WILL ENHANCE OPERATIONAL READINESS AND RESPONSE CAPABILITIES ACROSS A RANGE OF PUBLIC SAFETY MISSIONS.</t>
  </si>
  <si>
    <t xml:space="preserve">
Sales Order #: 2276463046
RTD Screening Code: DOD
Reason for Rejection: YH</t>
  </si>
  <si>
    <t>2YTNJC52763833</t>
  </si>
  <si>
    <t>FOR LAW ENFORCEMENT USE ONLY. THE WEST POLICE DEPARTMENT WILL UTILIZE THIS COMPUTER PROJECTOR SCREEN TO ENHANCE LAW ENFORCEMENT TRAINING AND DEBRIEF ACTIVITIES WITHIN THE WEST POLICE DEPARTMENT.</t>
  </si>
  <si>
    <t>2YTPJJ60796562</t>
  </si>
  <si>
    <t>FOR LAW ENFORCEMENT USE ONLY. THE WEST POLICE DEPARTMENT WILL UTILIZE THIS EQUIPMENT DURING MASS GATHERING EVENTS HELD IN THE CITY OF WEST. THE EQUIPMENT WILL ENHANCE THE OVERALL MISSION TO PROVIDE PROTECTIVE SERVICES TO THE PUBLIC IN ATTENDANCE OF THE MASS GATHERING EVENTS HELD.</t>
  </si>
  <si>
    <t xml:space="preserve">
Sales Order #: 2285178936
RTD Screening Code: DOD
Reason for Rejection: Y9</t>
  </si>
  <si>
    <t>2YTPJJ60655109</t>
  </si>
  <si>
    <t>THIS TRUCK WILL BE USED FOR LAW ENFORCEMENT PURPOSES ONLY. THE CITY OF WEST IS EXPANDING AND THERE IS A NEED TO CREATE A FLEXIBLE SATELLITE OFFICE OR STATION FOR POLICE OFFICERS RESPONDING TO AND INVESTIGATING CRIMINAL ACTIVITIES WITHIN THE EXPANDED CITY LIMITS, EXPANSION AREAS WHICH WILL BE MILES FROM THE ESTABLISHED POLICE DEPARTMENT OFFICES. ADDITIONALLY, THIS UNIT CAN ALSO BE UTILIZED AS A COMMAND CENTER DURING NIMS ACTIVITIES.</t>
  </si>
  <si>
    <t>2YTPJJ60442671</t>
  </si>
  <si>
    <t>THIS TRAILER WILL BE USED FOR LAW ENFORCEMENT PURPOSES ONLY. THE WEST POLICE DEPARTMENT HAS A NEED FOR THIS TRAILER DURING EMERGENCY OPERATIONS IN THE CITY AND ALSO WHEN RESPONDING TO ASSIST OUR COUNTYWIDE LAW ENFORCEMENT PARTNERS. THE WEST POLICE DEPARTMENT CAN ALSO UTILIZE THIS AS A FIELD INCIDENT COMMAND POST FOR ANNUAL HIGH OCCUPANT ACTIVITIES WEST POLICE OFFICERS ARE TASKED TO MAINTAIN SITE SECURITY AND SAFETY.</t>
  </si>
  <si>
    <t xml:space="preserve">
Sales Order #: 2282334366
RTD Screening Code: DOD
Reason for Rejection: Y9</t>
  </si>
  <si>
    <t>2YTPJJ60371962</t>
  </si>
  <si>
    <t>FOR LAW ENFORCEMENT USE ONLY - THIS ITEM WILL BE UTILIZED BY WEST POLICE DEPARTMENT POLICE OFFICERS TO ACCURATELY AND EFFICIENTLY PROCESS CRIME SCENES AND DOCUMENT EVIDENCE THROUGH PHOTOGRAPHS</t>
  </si>
  <si>
    <t xml:space="preserve">
Sales Order #: 2282019337
RTD Screening Code: DON
Reason for Rejection: YG</t>
  </si>
  <si>
    <t>CANON EOS 20D CAMERA KIT</t>
  </si>
  <si>
    <t>2YTPJJ60301386</t>
  </si>
  <si>
    <t>FOR LAW ENFORCEMENT USE ONLY. THIS LOADER WILL BE UTILIZED TO MOVE AND POSITION WEST POLICE DEPARTMENT STORAGE CONTAINERS. THIS LOADER WILL ENHANCE PD PERSONNEL SAFETY WHEN LOADING AND MOVING THE PD STORAGE CONTAINERS AS NEEDED.</t>
  </si>
  <si>
    <t xml:space="preserve">
Sales Order #: 2282019350
RTD Screening Code: DOD
Reason for Rejection: Y9</t>
  </si>
  <si>
    <t>2YTPJJ60301384</t>
  </si>
  <si>
    <t xml:space="preserve">
Sales Order #: 2282019347
RTD Screening Code: DOD
Reason for Rejection: YG</t>
  </si>
  <si>
    <t>2YTPJJ60301383</t>
  </si>
  <si>
    <t>2YTPJJ60301382</t>
  </si>
  <si>
    <t>FOR LAW ENFORCEMENT USE ONLY. THE WEST POLICE DEPARTMENT WILL UTILIZE THIS EQUIPMENT TO ALLOW OFFICERS TO EFFICIENTLY AND SECURELY STORE LAW ENFORCEMENT RELATED EQUIPMENT OR EVIDENCE RELATED ITEMS FOR LAW ENFORCEMENT PURPOSES.</t>
  </si>
  <si>
    <t xml:space="preserve">
Sales Order #: 2279647105
RTD Screening Code: DOD
Reason for Rejection: Y9</t>
  </si>
  <si>
    <t>2YTPJJ60029655</t>
  </si>
  <si>
    <t>FOR LAW ENFORCEMENT USE ONLY. THE WEST POLICE DEPARTMENT WILL UTILIZE THE EQUIPMENT TO EFFECTIVE AND EFFICIENTLY MAINTAIN PHYSICAL POLICE RECORDS.</t>
  </si>
  <si>
    <t xml:space="preserve">
Sales Order #: 2280875164
RTD Screening Code: GSA
Reason for Rejection: YG</t>
  </si>
  <si>
    <t>2YTPJJ53609668</t>
  </si>
  <si>
    <t>TO BE USED FOR TRANSPORTING ATVS TO AND FROM SHERIFF OFFICE CALLS WHERE A ATV IS NEEDED</t>
  </si>
  <si>
    <t xml:space="preserve">
Sales Order #: 2285180176
RTD Screening Code: DOD
Reason for Rejection: Y9</t>
  </si>
  <si>
    <t>2YTNEX60725019</t>
  </si>
  <si>
    <t>WEBSTER CSO (2YTNEX)</t>
  </si>
  <si>
    <t>TO BE USED FOR MOWING AND OTHER TRACTOR APPLICATIONS AT LAW ENFORCEMENT TRAINING AREA AND FIREARMS TRAINING RANGE</t>
  </si>
  <si>
    <t xml:space="preserve">
Sales Order #: 2285179968
RTD Screening Code: DOD
Reason for Rejection: Y9</t>
  </si>
  <si>
    <t>2YTNEX60654742</t>
  </si>
  <si>
    <t>WEBB PD WILL USE THIS EQUIPMENT FOR ACTIVE SHOOTER SITUATIONS AS WELL AS WARRANT EXECUTIONS.</t>
  </si>
  <si>
    <t>2YTRL460866445</t>
  </si>
  <si>
    <t>WEBB PD WILL USE THIS AS AN ADMIN VEHICLE FOR POLICE COURT RESPONSIBILITIES, DELIVERING OF WARRANTS, AS WELL AS OUT OF TOWN TRAINING.</t>
  </si>
  <si>
    <t xml:space="preserve">
Sales Order #: 2285179871
RTD Screening Code: DOD
Reason for Rejection: Y9</t>
  </si>
  <si>
    <t>2YTRL460725069</t>
  </si>
  <si>
    <t>WEBB PD WILL USE THIS TO MAINTAIN AND REPAIR THE POLICE DEPT AND ALL POLICE-CONTROLLED BUILDINGS SUCH AS ANY BUILDINGS AT GUN RANGE.</t>
  </si>
  <si>
    <t xml:space="preserve">
Sales Order #: 2283434789
RTD Screening Code: DOD
Reason for Rejection: Y9</t>
  </si>
  <si>
    <t>BARS AND RODS</t>
  </si>
  <si>
    <t>DSBARSROD</t>
  </si>
  <si>
    <t>2YTRL460655458</t>
  </si>
  <si>
    <t xml:space="preserve">
Sales Order #: 2285117371
RTD Screening Code: DOD
Reason for Rejection: Y9</t>
  </si>
  <si>
    <t>2YTRL460655456</t>
  </si>
  <si>
    <t xml:space="preserve">
Sales Order #: 2283434779
RTD Screening Code: DOD
Reason for Rejection: Y9</t>
  </si>
  <si>
    <t>2YTRL460655455</t>
  </si>
  <si>
    <t>WEBB PD WILL USE THIS FOR A SHELTER DURING COLD WEATHER EVENTS AND NATURAL DISASTERS SUCH AS HURRICANES.</t>
  </si>
  <si>
    <t xml:space="preserve">
Sales Order #: 2283434785
RTD Screening Code: DOD
Reason for Rejection: YG</t>
  </si>
  <si>
    <t>MISCELLANEOUS PREFABRICATED STRUCTURES</t>
  </si>
  <si>
    <t>DSMSCPREF</t>
  </si>
  <si>
    <t>2YTRL460655454</t>
  </si>
  <si>
    <t>WEBB PD WILL USE FOR TRAFFIC CONTROL LIGHT REPLACEMENT AND MAINTENANCE AS WELL AS DOWNED TREE REMOVAL AFTER NATURAL DISASTERS.</t>
  </si>
  <si>
    <t>2YTRL460655068</t>
  </si>
  <si>
    <t xml:space="preserve">
Sales Order #: 2285178968
RTD Screening Code: DOD
Reason for Rejection: Y9</t>
  </si>
  <si>
    <t>2YTRL460654673</t>
  </si>
  <si>
    <t>WEBB PD WILL USE THIS EQUIPMENT TO MAINTAIN AND REPAIR THE POLICE DEPT BUILDING.</t>
  </si>
  <si>
    <t xml:space="preserve">
Sales Order #: 2285176970
RTD Screening Code: DOD
Reason for Rejection: Y9</t>
  </si>
  <si>
    <t>2YTRL460654670</t>
  </si>
  <si>
    <t>WEBB PD WILL USE THIS EQUIPMENT TO MAINTAIN POLICE DEPT GUN RANGE.</t>
  </si>
  <si>
    <t xml:space="preserve">
Sales Order #: 2285179447
RTD Screening Code: DOD
Reason for Rejection: Y9</t>
  </si>
  <si>
    <t>2YTRL460654666</t>
  </si>
  <si>
    <t>WEBB PD WILL USE THIS EQUIPMENT FOR FOOD PREPARATION DURING AND AFTER NATURAL DISASTERS.</t>
  </si>
  <si>
    <t xml:space="preserve">
Sales Order #: 2285117366
RTD Screening Code: RTD2
Reason for Rejection: Y9</t>
  </si>
  <si>
    <t>KITCHEN MODULE</t>
  </si>
  <si>
    <t>2YTRL460645453</t>
  </si>
  <si>
    <t>WEBB PD WILL USE THIS EQUIPMENT TO LOAD AND UNLOAD DELIVERIES TO AND FROM THE POLICE DEPT.</t>
  </si>
  <si>
    <t xml:space="preserve">
Sales Order #: 2285188779
Reason for Rejection: Y9</t>
  </si>
  <si>
    <t>2YTRL460574664</t>
  </si>
  <si>
    <t>THE WEAKLEY COUNTY SHERIFF'S OFFICE IS REQUESTING THIS TRAILER TO ACQUIRE AND TRANSPORT ADDITIONAL LESO AWARDED EQUIPMENT, AS WELL AS OTHER ITEMS THAT THE SHERIFF'S OFFICE NEEDS TO TRANSPORT.  I HAVE SEEN THE INCLUDED PHOTO AND AM SATISFIED WITH IT'S CONDITION.</t>
  </si>
  <si>
    <t xml:space="preserve">
Sales Order #: 2285180162
RTD Screening Code: GSA
Reason for Rejection: Y9</t>
  </si>
  <si>
    <t>2YTNED60584754</t>
  </si>
  <si>
    <t>THE WAYNE COUNTY SHERIFF'S OFFICE WOULD UTILIZE THESE AX'S FOR SMALL SHRUBBERY WE ENCOUNTER DURING STORMS THAT BLOCKS THE ROADWAYS AND PEOPLE'S HOMES.</t>
  </si>
  <si>
    <t xml:space="preserve">
Sales Order #: 2285348461
RTD Screening Code: DOD
Reason for Rejection: Y9</t>
  </si>
  <si>
    <t>2YTNDJ60795742</t>
  </si>
  <si>
    <t>WAYNE COUNTY SHERIFFS OFFICE (2YTNDJ)</t>
  </si>
  <si>
    <t>THE WAYNE COUNTY SHERIFF'S OFFICE WILL UTILIZE THESE COMPUTERS FOR PATROL OPERATIONS IN THE COUNTY. OUR LAPTOPS ARE GETTING OLDER AND WE WOULD LIKE TO HAVE ONE FOR EACH DEPUTY.</t>
  </si>
  <si>
    <t xml:space="preserve">
Sales Order #: 2284558942
RTD Screening Code: DOD
Reason for Rejection: Y9</t>
  </si>
  <si>
    <t>2YTNDJ60654588</t>
  </si>
  <si>
    <t>THE WAYNE COUNTY SHERIFF'S OFFICE WILL UTILIZE THESE NIGHT VISION DEVICES FOR NIGHT OPERATIONS ON WAYNE COUNTY. WE ARE IN GREAT NEED FOR NV BUT DO NOT HAVE THE FUNDS TO PURCHASE NEW UNITS.</t>
  </si>
  <si>
    <t xml:space="preserve">
Sales Order #: 2282522526
RTD Screening Code: DOD
Reason for Rejection: Y9</t>
  </si>
  <si>
    <t>2YTNDJ60301739</t>
  </si>
  <si>
    <t>THE WAYNE COUNTY SHERIFF'S OFFICE WILL UTILIZE THESE RIFLES FOR PATROL DUTIES IN WAYNE COUNTY. WE LIVE IN A LARGE, 720 SQUARE MILES, RURAL COUNTY WITH 2-3 DEPUTIES ON SHIFT. I CURRENTLY HAVE 2 DEPUTIES THAT HAVE PASSED A DMR COURSE THAT HAVE THEIR OWN RIFLES BUT WOULD LIKE TO ISSUE DEPARTMENT RIFLES AND CERTIFY ANOTHER DEPUTY FOR THE DMR ROLE.</t>
  </si>
  <si>
    <t>2YTNDJ60231810</t>
  </si>
  <si>
    <t>THE WAUKESHA POLICE DEPARTMENT TACTICAL UNIT WOULD LIKE THESE ITEMS TO ASSIST IN NIGHT TIME OPERATIONS. THESE OPERATIONS INCLUDE SEARCH AND RESCUE AND ANTI-TERRORISM. WE HAVE REACHED OUT TO THE SITE AND ACCEPT AND UNDERSTAND THE CONDITION.</t>
  </si>
  <si>
    <t xml:space="preserve">
Sales Order #: 2285864007
RTD Screening Code: DOD
Reason for Rejection: Y9</t>
  </si>
  <si>
    <t>2YTNCL60866617</t>
  </si>
  <si>
    <t>WAUKESHA POLICE DEPT (2YTNCL)</t>
  </si>
  <si>
    <t>THE WAUKESHA POLICE DEPARTMENT TACTICAL UNIT WOULD LIKE THESE ITEMS TO ASSIST IN NIGHT TIME OPERATIONS TO IMPROVE PUBLIC SAFETY AS WELL AS ASSIST IN ANTI TERRORISM OPERATIONS AND SEARCH AND RESCUE MISSIONS.</t>
  </si>
  <si>
    <t xml:space="preserve">
Sales Order #: 2285810350
RTD Screening Code: DOD
Reason for Rejection: Y9</t>
  </si>
  <si>
    <t>2YTNCL60866296</t>
  </si>
  <si>
    <t>THESE ITEMS WILL BE USED BY THE WAUKESHA POLICE TACTICAL UNIT IN SUPPORT OF NIGHT TIME OPERATIONS REGARDING DANGEROUS INDIVIDUALS AND TO ASSIST IN ANTI-TERRORISM OPERATIONS. THEY WILL GREATLY IMPROVE OFFICER SAFETY.</t>
  </si>
  <si>
    <t>2YTNCL60866081</t>
  </si>
  <si>
    <t>THE WAUKESHA POLICE DEPARTMENT IS REQUESTING THESE ITEMS TO ASSIST IN PUBLIC SAFETY OPERATIONS SPECIFICALLY FOR THE WAUKESHA POLICE DEPARTMENT TACTICAL UNIT. THESE ITEMS WILL ASSIST IN NIGHT TIME OPERATIONS FOR DANGEROUS INDIVIDUALS AND ANTI-TERRORISM OPERATIONS.</t>
  </si>
  <si>
    <t>2YTNCL60866079</t>
  </si>
  <si>
    <t>THE WAUKESHA POLICE TACTICAL UNIT NEEDS THESE ITEMS FOR NIGHT TIME OPERATIONS TO IMPROVE OFFICER SAFETY, ENSURE SAFETY TO THE COMMUNITY, AND ASSIST IN ANTI TERRORISM RESPONSE.</t>
  </si>
  <si>
    <t xml:space="preserve">
Sales Order #: 2285864900
Reason for Rejection: Y9</t>
  </si>
  <si>
    <t>2YTNCL60796331</t>
  </si>
  <si>
    <t>THESE SETS OF PROTECTIVE EYEWEAR WOULD BE USED FOR FIREARMS TRAINING, SIMUNITION TRAINING, FORCE ON FORCE TRAINING AND ANY OTHER APPLICABLE LAW ENFORCEMENT SCENARIO IN WHICH EYE PROTECTION IS IMPORTANT. I HAVE VIEWED THE PICTURES AND ACCEPT THEIR STATED CONDITION.</t>
  </si>
  <si>
    <t>2YTNBW60937142</t>
  </si>
  <si>
    <t>2YTNBW60937141</t>
  </si>
  <si>
    <t>I AM REQUESTING 50 OF THESE BALLISTIC EYE WEAR TO BE RE-UTILIZED IN A LAW ENFORCEMENT ROLE. THESE PROTECTIVE GLASSES WILL BE USED FOR EYE SAFETY PURPOSES DURING FIREARMS TRAINING, TACTICAL TRAINING, SIMUNTION TRAINING, OR ANY DUTY PURPOSE IN WHICH THE EYES MAY NEED PROTECTION. I HAVE LOOKED AT THE POSTED PICTURES AND ACCEPT THE LISTED CONDITION OF THESE GLASSES.</t>
  </si>
  <si>
    <t xml:space="preserve">
Sales Order #: 2285179974
RTD Screening Code: DOD
Reason for Rejection: Y9</t>
  </si>
  <si>
    <t>2YTNBW60654687</t>
  </si>
  <si>
    <t>THESE GLASSES WOULD BE USED FOR BALLISTIC EYE PROTECTION IN VARIOUS LAW ENFORCEMENT ROLES TO INCLUDE, FIREARMS TRAINING, SIMUNITION TRAINING OR ANY ROLE THAT POSES A SAFETY CONCERN TO AN OFFICER'S EYES. I HAVE REVIEWED THE ATTACHED PICTURE AND ACCEPT THE LISTED CONDITION</t>
  </si>
  <si>
    <t xml:space="preserve">
Sales Order #: 2278282469
RTD Screening Code: DOD
Reason for Rejection: Y9</t>
  </si>
  <si>
    <t>2YTNBW60372316</t>
  </si>
  <si>
    <t>THESE GLASSES WILL BE USED FOR ENHANCED PROTECTION AGAINST HIGH VELOCITY PROJECTILES DURING FIREARMS TRAINING, SIMUNITIONS TRAINING OR LAW ENFORCEMENT DUTY USE WHEN THERE IS A KNOWN THREAT OF HAZARDOUS SITUATIONS. THESE GLASSES HAVE HIGH IMPACT RATINGS MAKING THEM SUITABLE FOR A VARIETY OF USES. I HAVE INSPECTED THE ATTACHED PICTURES AND ACCEPT THEIR CURRENT CONDITION.</t>
  </si>
  <si>
    <t>2YTNBW60160679</t>
  </si>
  <si>
    <t>THE WATERLOO POLICE DEPARTMENT IS REQUESTING 5 UNITS.  THIS WILL ENHANCE THE CAPABILITIES OF THE DEPARTMENT IN MANY CRISIS SITUATIONS INVOLVING LOW LIGHT OR NO LIGHT SCENARIOS.  EACH UNIT WILL BE STORED IN A LIMITED ACCESS AREA.</t>
  </si>
  <si>
    <t>2YTNBN60867248</t>
  </si>
  <si>
    <t>WATERLOO POLICE DEPT (2YTNBN)</t>
  </si>
  <si>
    <t>IA</t>
  </si>
  <si>
    <t>THE WASHINGTON COUNTY SHERIFF'S OFFICE WOULD USE THIS VEHICLE FOR LAW ENFORCEMENT PURPOSES.</t>
  </si>
  <si>
    <t xml:space="preserve">
Sales Order #: 2286298942
RTD Screening Code: DOD
Reason for Rejection: BQ</t>
  </si>
  <si>
    <t>2YTM9S60937067</t>
  </si>
  <si>
    <t xml:space="preserve">
Sales Order #: 2286242340
RTD Screening Code: DOD
Reason for Rejection: BQ</t>
  </si>
  <si>
    <t>2YTM9S60937066</t>
  </si>
  <si>
    <t>THE WASHINGTON COUNTY SHERIFFS OFFICE WOULD USE THE PRINTERS FOR LAW ENFORCEMENT PAPERWORK</t>
  </si>
  <si>
    <t xml:space="preserve">
Sales Order #: 2285072205
RTD Screening Code: DOD
Reason for Rejection: Y9</t>
  </si>
  <si>
    <t>PRINTER</t>
  </si>
  <si>
    <t>DSPRINT05</t>
  </si>
  <si>
    <t>2YTM9S60725362</t>
  </si>
  <si>
    <t>THE WASHINGTON COUNTY SHERIFF'S OFFICE WOULD USE WOULD USE THE EQUIPMENT TO HELP BUILD OUR RANGE</t>
  </si>
  <si>
    <t xml:space="preserve">
Sales Order #: 2285178930
RTD Screening Code: DOD
Reason for Rejection: Y9</t>
  </si>
  <si>
    <t>2YTM9S60725232</t>
  </si>
  <si>
    <t>THE WASHINGTON COUNTY SHERIFF'S OFFICE WOULD USE WOULD USE THE EQUIPMENT BUILDING OUR RANGE</t>
  </si>
  <si>
    <t xml:space="preserve">
Sales Order #: 2285178178
RTD Screening Code: DOD
Reason for Rejection: Y9</t>
  </si>
  <si>
    <t>2YTM9S60725231</t>
  </si>
  <si>
    <t>THE WASHINGTON COUNTY SHERIFFS OFFICE WOULD USE THE LOADER FOR RANGE OPERATION</t>
  </si>
  <si>
    <t xml:space="preserve">
Sales Order #: 2285177805
RTD Screening Code: DOD
Reason for Rejection: Y9</t>
  </si>
  <si>
    <t>LOADER,SKID STEER</t>
  </si>
  <si>
    <t>2YTM9S60655324</t>
  </si>
  <si>
    <t>IF AWARDED THESE WILL BE USED BY THE SHERIFFS SNIPER UNITS TO ACCURATELY SITE IN THEIR RIFLE SCOPES AND POSSIBLE TARGETS. WITHOUT THESE THEY CAN ONLY ESTIMATE THE DISTANCE. THE CONDITION IS CONFIRMED AND ACCEPTED.</t>
  </si>
  <si>
    <t xml:space="preserve">
Sales Order #: 2285177753
RTD Screening Code: DOD
Reason for Rejection: Y9</t>
  </si>
  <si>
    <t>2YTM9S60654649</t>
  </si>
  <si>
    <t>THE WASHINGTON COUNTY SHERIFF'S OFFICE WOULD USE WOULD USE THE VEHICLE FOR DISASTER RELIEF</t>
  </si>
  <si>
    <t xml:space="preserve">
Sales Order #: 2283389016
RTD Screening Code: DOD
Reason for Rejection: YG</t>
  </si>
  <si>
    <t>2YTM9S60654408</t>
  </si>
  <si>
    <t>THE WASHINGTON COUNTY SHERIFF'S OFFICE WOULD USE WOULD USE THIS LOADER FOR DISASTER OPERATIONS</t>
  </si>
  <si>
    <t>2YTM9S60513234</t>
  </si>
  <si>
    <t>THE WASHINGTON COUNTY SHERIFF'S OFFICE WOULD USE WOULD USE THE VEHICLES FOR SWAT AND DISASTER OPERATIONS</t>
  </si>
  <si>
    <t>2YTM9S60513232</t>
  </si>
  <si>
    <t>THE WASHINGTON COUNTY SHERIFF'S OFFICE WOULD USE WOULD USE SPECIAL PURPOSE CLOTHING FOR DISASTER PREPAREDNESS AND EMERGENCY</t>
  </si>
  <si>
    <t>2YTM9S60372392</t>
  </si>
  <si>
    <t>THE WASHINGTON COUNTY SHERIFF'S OFFICE WOULD USE WOULD USE SAFETY HELMETS FOR DISASTER PREPAREDNESS AND NATURAL DISASTERS.</t>
  </si>
  <si>
    <t>HELMET,SAFETY</t>
  </si>
  <si>
    <t>2YTM9S60372338</t>
  </si>
  <si>
    <t>THE WASHINGTON COUNTY SHERIFF'S OFFICE WOULD USE WOULD USE THE MODULAR TENT SYSTEM FOR DISASTER PREPAREDNESS AND EMERGENCY SHELTER FOR NATURAL DISASTERS.</t>
  </si>
  <si>
    <t>2YTM9S60372337</t>
  </si>
  <si>
    <t>THE WASHINGTON COUNTY SHERIFF'S OFFICE WOULD USE THE CARTS AT THE JAIL, RANGE, GARAGE, AND OFFICE</t>
  </si>
  <si>
    <t>2YTM9S60332502</t>
  </si>
  <si>
    <t>THE WASHINGTON COUNTY SHERIFF'S OFFICE WOULD USE THIS VEHICLE FOR LAW ENFORCEMENT PURPOSES. WE WOULD USE THE VEHICLE FOR THE WASHINGTON COUNTY SHERIFF'S SWAT TEAM AND FOR SPECIAL EVENT INVOLVING THE ROAD PATROL DIVISION MEMBERS TO RESPOND TO CRITICAL INCIDENTS. THE SHERIFFS OFFICE WOULD ALSO USE THIS VEHICLE TO HELP WITH RESCUE OPERATIONS.</t>
  </si>
  <si>
    <t xml:space="preserve">
Sales Order #: 2282170018
RTD Screening Code: DOD
Reason for Rejection: Y9</t>
  </si>
  <si>
    <t>2YTM9S60301786</t>
  </si>
  <si>
    <t>TROUSERS,BODY ARMOR</t>
  </si>
  <si>
    <t>2YTM9S6008JG10</t>
  </si>
  <si>
    <t>TO BE USED FOR LAW ENFORCEMENT PURPOSES ONLY. USED TO MAINTAIN THE ROADWAY, CREATE BALLISTIC BARRIERS, AND DRAINAGE DITCHES FOR THE POLICE FIREARMS RANGE.</t>
  </si>
  <si>
    <t xml:space="preserve">
Sales Order #: 2286288936
RTD Screening Code: DOD
Reason for Rejection: Y9</t>
  </si>
  <si>
    <t>2YTM9Q60937084</t>
  </si>
  <si>
    <t>TO BE USED FOR LAW ENFORCEMENT PURPOSES ONLY. WILL BE UTILIZED TO CLEAR TREES AND BRUSH FOR A TWO-WAY RADIO COMMUNICATION TOWER AND CLEAR FOLIAGE BLOCKING COMMUNICATIONS.</t>
  </si>
  <si>
    <t xml:space="preserve">
Sales Order #: 2286288948
RTD Screening Code: DOD
Reason for Rejection: Y9</t>
  </si>
  <si>
    <t>EXCAVATOR,MULTIPURPOSE,CRAWLER MOUNTED</t>
  </si>
  <si>
    <t>2YTM9Q60937078</t>
  </si>
  <si>
    <t>TO BE USED FOR LAW ENFORCEMENT PURPOSES ONLY. USED TO PATROL AND RESPOND TO OFF-ROAD CALLS FOR SERVICE. USED IN SEARCH AND RESCUE MISSIONS.</t>
  </si>
  <si>
    <t xml:space="preserve">
Sales Order #: 2285876709
RTD Screening Code: DOD
Reason for Rejection: Y9</t>
  </si>
  <si>
    <t>2YTM9Q60866720</t>
  </si>
  <si>
    <t xml:space="preserve">
Sales Order #: 2285908489
RTD Screening Code: DOD
Reason for Rejection: Y9</t>
  </si>
  <si>
    <t>2YTM9Q60866719</t>
  </si>
  <si>
    <t>TO BE USED FOR LAW ENFORCEMENT PURPOSES ONLY. USED BY DEPUTIES TO RESPOND TO CALLS FOR SERVICE AND OTHER INCIDENTS.</t>
  </si>
  <si>
    <t xml:space="preserve">
Sales Order #: 2285864253
RTD Screening Code: DOD
Reason for Rejection: Y9</t>
  </si>
  <si>
    <t>2YTM9Q60866609</t>
  </si>
  <si>
    <t>TO BE USED FOR LAW ENFORCEMENT PURPOSES ONLY. USED FOR PORTABLE POWER AND ALTERNATE LIGHT SUPPLY AT VARIOUS LAW ENFORCEMENT CALLS OF SERVICE. ALSO USED FOR WEATHER-RELATED DISASTERS AND LARGE PUBLIC GATHERINGS.</t>
  </si>
  <si>
    <t xml:space="preserve">
Sales Order #: 2285864240
RTD Screening Code: DOD
Reason for Rejection: Y9</t>
  </si>
  <si>
    <t>2YTM9Q60866536</t>
  </si>
  <si>
    <t>TO BE USED FOR LAW ENFORCEMENT PURPOSES ONLY. USED BY DEPUTIES TO RESPOND TO VARIOUS CALLS FOR SERVICE.</t>
  </si>
  <si>
    <t xml:space="preserve">
Sales Order #: 2285889619
RTD Screening Code: DOD
Reason for Rejection: Y9</t>
  </si>
  <si>
    <t>2YTM9Q60866534</t>
  </si>
  <si>
    <t>TO BE USED FOR LAW ENFORCEMENT PURPOSES ONLY. USED BY DEPUTIES TO RESPOND TO VARIOUS WORK ASSIGNMENTS.</t>
  </si>
  <si>
    <t xml:space="preserve">
Sales Order #: 2285864261
RTD Screening Code: DOD
Reason for Rejection: Y9</t>
  </si>
  <si>
    <t>2YTM9Q60866533</t>
  </si>
  <si>
    <t>WASHINGTON COUNTY SHERIFF'S OFFICE IS A LAW ENFORCEMENT AGENCY IN THE STATE OF VIRGINIA. OUR AGENCY COULD USE THIS TRAILER FOR HAULING EQUIPMENT AND STORAGE OF EQUIPMENT. THIS VEHICLE WILL BE USED BY LAW ENFORCEMENT PERSONNEL.</t>
  </si>
  <si>
    <t xml:space="preserve">
Sales Order #: 2285870193
RTD Screening Code: DOD
Reason for Rejection: Y9</t>
  </si>
  <si>
    <t>2YTM9Q60866353</t>
  </si>
  <si>
    <t>WASHINGTON COUNTY SHERIFF'S OFFICE IS A LAW ENFORCEMENT AGENCY IN THE STATE OF VIRGINIA. OUR AGENCY COULD USE THIS TRAILER FOR HAULING AND STORAGE OF EQUIPMENT. THIS TRAILER WILL BE USED BY LAW ENFORCEMENT PERSONNEL.</t>
  </si>
  <si>
    <t xml:space="preserve">
Sales Order #: 2285870190
RTD Screening Code: DOD
Reason for Rejection: Y9</t>
  </si>
  <si>
    <t>2YTM9Q60866352</t>
  </si>
  <si>
    <t>WASHINGTON COUNTY SHERIFF'S OFFICE IS A LAW ENFORCEMENT AGENCY IN THE STATE OF VIRGINIA. OUR AGENCY COULD USE THIS TRAILER FOR HAULING EQUIPMENT AND STORAGE. THIS TRAILER WILL BE USED BY LAW ENFORCEMENT PERSONNEL.</t>
  </si>
  <si>
    <t xml:space="preserve">
Sales Order #: 2285761786
RTD Screening Code: DOD
Reason for Rejection: Y9</t>
  </si>
  <si>
    <t>2YTM9Q60866351</t>
  </si>
  <si>
    <t>WASHINGTON COUNTY SHERIFF'S OFFICE IS A LAW ENFORCEMENT AGENCY IN THE STATE OF VIRGINIA. OUR AGENCY COULD USE THE LANDOFF TRAILER FOR HAULING HEAVY EQUIPMENT AND VEHICLES. THIS TRAILER WOULD BE USED BY LAW ENFORCEMENT PERSONNEL.</t>
  </si>
  <si>
    <t xml:space="preserve">
Sales Order #: 2285870158
RTD Screening Code: DOD
Reason for Rejection: Y9</t>
  </si>
  <si>
    <t>2YTM9Q60866181</t>
  </si>
  <si>
    <t>WASHINGTON COUNTY SHERIFF'S OFFICE IS A LAW ENFORCEMENT AGENCY IN THE STATE OF VIRGINIA. OUR AGENCY COULD USE THIS PICK-UP TRUCK FOR PATROLS AND PRISONER TRANSPORTS. THIS VEHICLE WILL BE USED BY LAW ENFORCEMENT PERSONNEL.</t>
  </si>
  <si>
    <t xml:space="preserve">
Sales Order #: 2285864889
RTD Screening Code: DOD
Reason for Rejection: Y9</t>
  </si>
  <si>
    <t>2YTM9Q60866178</t>
  </si>
  <si>
    <t>WASHINGTON COUNTY SHERIFF'S OFFICE IS A LAW ENFORCEMENT AGENCY IN THE STATE OF VIRGINIA. OUR AGENCY COULD USE THIS OLD  AMBULANCE FOR A CRIME SCENE INVESTIGATION VEHICLE. THIS VEHICLE WILL BE USED BY LAW ENFORCEMENT PERSONNEL.</t>
  </si>
  <si>
    <t xml:space="preserve">
Sales Order #: 2285872673
RTD Screening Code: DOD
Reason for Rejection: Y9</t>
  </si>
  <si>
    <t>2YTM9Q60866166</t>
  </si>
  <si>
    <t>WASHINGTON COUNTY SHERIFF'S OFFICE IS A LAW ENFORCEMENT AGENCY IN THE STATE OF VIRGINIA. OUR AGENCY COULD USE THIS OLD AMBULANCE FOR A CRIME SCENE INVESTIGATION VEHICLE. THIS VEHICLE WILL BE USED BY LAW ENFORCEMENT PERSONNEL.</t>
  </si>
  <si>
    <t xml:space="preserve">
Sales Order #: 2285872642
RTD Screening Code: DOD
Reason for Rejection: Y9</t>
  </si>
  <si>
    <t>2YTM9Q60866161</t>
  </si>
  <si>
    <t>WASHINGTON COUNTY SHERIFF'S OFFICE IS A LAW ENFORCEMENT AGENCY IN THE STATE OF VIRGINIA. OUR AGENCY COULD USE THIS PICK-UP FOR PATROLS AND PRISONER TRANSPORTS. THIS VEHICLE WILL BE USED BY LAW ENFORCEMENT PERSONNEL.</t>
  </si>
  <si>
    <t xml:space="preserve">
Sales Order #: 2285275779
RTD Screening Code: DOD
Reason for Rejection: Y9</t>
  </si>
  <si>
    <t>2YTM9Q60795683</t>
  </si>
  <si>
    <t>WASHINGTON COUNTY SHERIFF'S OFFICE IS A LAW ENFORCEMENT AGENCY IN THE STATE OF VIRGINIA. OUR AGENCY COULD USE THIS PICK-UP FOR PATROLING AND PRISONER TRANSPORTS. THIS VEHICLE WILL BE USED BY LAW ENFORCEMENT PERSONNEL.</t>
  </si>
  <si>
    <t xml:space="preserve">
Sales Order #: 2285275784
RTD Screening Code: DOD
Reason for Rejection: Y9</t>
  </si>
  <si>
    <t>2YTM9Q60795682</t>
  </si>
  <si>
    <t>WASHINGTON COUNTY SHERIFF'S OFFICE IS A LAW ENFORCEMENT AGENCY IN THE STATE OF VIRGINIA. OUR AGENCY COULD USE THIS FORD ESCAPE FOR PATROLING AND PRISONER TRANSPORTS. THIS VEHICLE WILL BE USE BY LAW ENFORCEMENT PERSONNEL.</t>
  </si>
  <si>
    <t xml:space="preserve">
Sales Order #: 2285026279
RTD Screening Code: GSA
Reason for Rejection: YH</t>
  </si>
  <si>
    <t>2YTM9Q60795601</t>
  </si>
  <si>
    <t>USED FOR LAW ENFORCEMENT PURPOSES ONLY. USED TO TRANSPORT HEAVY EQUIPMENT TO SCENES OF NATURAL DISASTERS AND OTHER LAW ENFORCEMENT CALLS.</t>
  </si>
  <si>
    <t xml:space="preserve">
Sales Order #: 2285177003
RTD Screening Code: DOD
Reason for Rejection: Y9</t>
  </si>
  <si>
    <t>2YTM9Q60725063</t>
  </si>
  <si>
    <t>WASHINGTON COUNTY SHERIFF'S OFFICE IS A LAW ENFORCEMENT AGENCY IN THE STATE OF VIRGINIA. OUR AGENCY COULD USE THIS ROAD TRACTOR FOR PULLING TRAILERS. THIS VEHICLE WILL BE USE BY LAW ENFORCEMENT PERSONNEL.</t>
  </si>
  <si>
    <t xml:space="preserve">
Sales Order #: 2285179017
RTD Screening Code: DOD
Reason for Rejection: YH</t>
  </si>
  <si>
    <t>2YTM9Q60724855</t>
  </si>
  <si>
    <t>WASHINGTON COUNTY SHERIFF'S OFFICE IS A LAW ENFORCEMENT AGENCY IN THE STATE OF VIRGINIA. OUR AGENCY COULD USE THIS VEHICLE FOR PATROLLING AND PRISONER TRANSPORTS. THIS VEHICLE WILL BE USE BY LAW ENFORCEMENT PERSONNEL.</t>
  </si>
  <si>
    <t xml:space="preserve">
Sales Order #: 2285179964
RTD Screening Code: DOD
Reason for Rejection: Y9</t>
  </si>
  <si>
    <t>2YTM9Q60724851</t>
  </si>
  <si>
    <t>WASHINGTON COUNTY SHERIFF'S OFFICE IS A LAW ENFORCEMENT AGENCY IN THE STATE OF VIRGINIA. OUR AGENCY COULD USE THIS VEHICLE FOR PATROLLNG AND PRISONER TRANSPORTS. THIS VEHICLE WILL BE USE BY LAW ENFORCEMENT PERSONNEL.</t>
  </si>
  <si>
    <t xml:space="preserve">
Sales Order #: 2285178182
RTD Screening Code: DOD
Reason for Rejection: Y9</t>
  </si>
  <si>
    <t>2YTM9Q60724849</t>
  </si>
  <si>
    <t>WASHINGTON COUNTY SHERIFF'S OFFICE IS A LAW ENFORCEMENT AGENCY IN THE STATE OF VIRGINIA. OUR AGENCY COULD USE THIS TRAILER FOR HAULING HEAVY EQUIPMENT. THIS TRAILER WILL BE USE BY LAW ENFORCEMENT PERSONNEL.</t>
  </si>
  <si>
    <t xml:space="preserve">
Sales Order #: 2285179885
RTD Screening Code: DOD
Reason for Rejection: Y9</t>
  </si>
  <si>
    <t>2YTM9Q60724848</t>
  </si>
  <si>
    <t>TO BE USED FOR LAW ENFORCEMENT PURPOSES ONLY. USED TO TRANSPORT HEAVY EQUIPMENT TO NATURAL DISASTERS AND OTHER SPECIALIZED LAW ENFORCEMENT CALLS FOR SERVICE.</t>
  </si>
  <si>
    <t xml:space="preserve">
Sales Order #: 2285081983
RTD Screening Code: DOD
Reason for Rejection: YG</t>
  </si>
  <si>
    <t>2YTM9Q60655183</t>
  </si>
  <si>
    <t xml:space="preserve">
Sales Order #: 2285178143
RTD Screening Code: DOD
Reason for Rejection: Y9</t>
  </si>
  <si>
    <t>2YTM9Q60654803</t>
  </si>
  <si>
    <t>WASHINGTON COUNTY SHERIFF'S OFFICE REQUESTS THIS PROPERTY TO BE UTILIZED BY SWORN LAW ENFORCEMENT PERSONNEL AS A MOBILE COMMAND CENTER DURING LAW ENFORCEMENT RELATED EMERGENCIES. THIS TRAILER WILL BE USE FOR PUBLIC SAFETY OPERATIONS IN THE TIME OF EMERGENCIES TO OUR RURAL COMMUNITY.</t>
  </si>
  <si>
    <t xml:space="preserve">
Sales Order #: 2283389005
RTD Screening Code: DOD
Reason for Rejection: Y9</t>
  </si>
  <si>
    <t>2YTM9Q60654232</t>
  </si>
  <si>
    <t>WASHINGTON COUNTY SHERIFF'S OFFICE IN THE STATE OF VIRGINIA. OUR AGENCY COULD USE THIS TRUCK FOR A EMERGENCY FIRST RESPONSE VEHICLE FOR LAW ENFORCEMENT HAULING SPECIALIZE EQUIPMENT ON SWAT CALLS AND OTHER EMERGENCY'S. THIS VEHICLE WILL BE USE BY LAW ENFORCEMENT PERSONNEL.</t>
  </si>
  <si>
    <t xml:space="preserve">
Sales Order #: 2283389002
RTD Screening Code: DOD
Reason for Rejection: Y9</t>
  </si>
  <si>
    <t>2YTM9Q60654225</t>
  </si>
  <si>
    <t>WASHINGTON COUNTY SHERIFF'S OFFICE IS A LAW ENFORCEMENT AGENCY IN THE STATE OF VIRGINIA. OUR AGENCY COULD USE THIS TRUCK FOR HAULING EQUIPMENT. THIS VEHICLE WILL BE USE BY LAW ENFORCEMENT PERSONNEL.</t>
  </si>
  <si>
    <t>2YTM9Q60584734</t>
  </si>
  <si>
    <t>USED FOR LAW ENFORCEMENT PURPOSES ONLY. TO BE USED TO TRANSPORT HEAVY EQUIPMENT FOR RESCUE OPERATIONS, NATURAL DISASTERS, AND OTHER SPECIALTY CALLS.</t>
  </si>
  <si>
    <t>2YTM9Q60513240</t>
  </si>
  <si>
    <t>WASHINGTON COUNTY SHERIFF'S OFFICE IS A LAW ENFORCEMENT AGENCY IN THE STATE OF VIRGINIA. OUR AGENCY COULD USE THIS TRAILER FOR HAULING EQUIPMENT AND VEHICLES. THIS TRAILER WILL BE USED BY LAW ENFORCEMENT PERSONNEL.</t>
  </si>
  <si>
    <t>2YTM9Q60513154</t>
  </si>
  <si>
    <t>WASHINGTON COUNTY SHERIFF'S OFFICE IS A LAW ENFORCEMENT AGENCY IN THE STATE OF VIRGINIA. OUR AGENCY COULD USE THESE ATV FOR PATROLING OFF ROAD DURING SEARCHES AND OTHER SPECIAL EVENTS. THESE ATV'S WILL BE USE BY LAW ENFORCEMENT PERSONNEL.</t>
  </si>
  <si>
    <t>2YTM9Q60513151</t>
  </si>
  <si>
    <t>FOR LAW ENFORCEMENT PURPOSES ONLY. USED TO REPAIR LAW ENFORCEMENT PISTOLS, RIFLES, AND SHOTGUNS IN THE ARMORY.</t>
  </si>
  <si>
    <t xml:space="preserve">
Sales Order #: 2283325054
RTD Screening Code: DOD
Reason for Rejection: Y9</t>
  </si>
  <si>
    <t>2YTM9Q60442743</t>
  </si>
  <si>
    <t xml:space="preserve">
Sales Order #: 2283357525
RTD Screening Code: DOD
Reason for Rejection: YG</t>
  </si>
  <si>
    <t>2YTM9Q60442742</t>
  </si>
  <si>
    <t>THE WASHINGTON COUNTY SHERIFF'S OFFICE REQUESTS THIS PROPERTY TO BE UTILIZED BY SWORN LAW ENFORCEMENT PERSONNEL AS A MOBILE COMMAND CENTER DURING LAW ENFORCEMENT RELATED EMERGENCIES. THIS VEHICLE WILL BE USE FOR PUBLIC SAFETY OPERATIONS IN THE TIME OF EMERGENCIES TO OUR RURAL COMMUNITY.</t>
  </si>
  <si>
    <t>2YTM9Q60442704</t>
  </si>
  <si>
    <t>FOR LAW ENFORCEMENT PURPOSES ONLY. USED BY LAW ENFORCEMENT IN VARIOUS INCIDENTS AND NATURAL DISASTERS.</t>
  </si>
  <si>
    <t xml:space="preserve">
Sales Order #: 2283327124
RTD Screening Code: DOD
Reason for Rejection: Y9</t>
  </si>
  <si>
    <t>2YTM9Q60372520</t>
  </si>
  <si>
    <t xml:space="preserve">
Sales Order #: 2283324318
RTD Screening Code: DOD
Reason for Rejection: BQ</t>
  </si>
  <si>
    <t>2YTM9Q60372519</t>
  </si>
  <si>
    <t>FOR LAW ENFORCEMENT PURPOSES ONLY. USED BY LAW ENFORCEMENT IN VARIOUS INCIDENTS, FOR PROTECTION FROM INCLEMENT WEATHER.</t>
  </si>
  <si>
    <t>2YTM9Q60372518</t>
  </si>
  <si>
    <t>USED FOR LAW ENFORCEMENT PURPOSES ONLY. USED FOR TRAINING ON FIREARMS COURSE, AND OTHER DUSTY INCIDENTS.</t>
  </si>
  <si>
    <t xml:space="preserve">
Sales Order #: 2283323419
RTD Screening Code: DOD
Reason for Rejection: Y9</t>
  </si>
  <si>
    <t>SPECTACLES,INDUSTRIAL</t>
  </si>
  <si>
    <t>2YTM9Q60372384</t>
  </si>
  <si>
    <t>USED FOR LAW ENFORCEMENT PURPOSES ONLY. USED FOR TRAINING EXERCISES, RESPONSE TO DISASTERS, AND SHELTER AT VARIOUS INCIDENTS.</t>
  </si>
  <si>
    <t>2YTM9Q60372383</t>
  </si>
  <si>
    <t>USED FOR LAW ENFORCEMENT PURPOSES ONLY. USED FOR VARIOUS INCIDENTS, RESCUES, AND NATURAL DISASTERS BY LAW ENFORCEMENT.</t>
  </si>
  <si>
    <t xml:space="preserve">
Sales Order #: 2282934356
RTD Screening Code: DOD
Reason for Rejection: Y9</t>
  </si>
  <si>
    <t>2YTM9Q60372377</t>
  </si>
  <si>
    <t>WASHINGTON COUNTY SHERIFF'S OFFICE IS A LAW ENFORCEMENT AGENCY IN THE STATE OF VIRGINIA. OUR AGENCY COULD USE THIS PICK-UP FOR PATROLING AND PRISIONER TRANSPORTS. THIS VEHICLE WILL BE USE BY LAW ENFORCEMENT PERSONNEL.</t>
  </si>
  <si>
    <t xml:space="preserve">
Sales Order #: 2282566510
RTD Screening Code: DOD
Reason for Rejection: Y9</t>
  </si>
  <si>
    <t>2YTM9Q60371985</t>
  </si>
  <si>
    <t>USED FOR LAW ENFORCEMENT PURPOSES ONLY. USED BY OFFICERS ON CRIME SCENES, FOR SPECIAL PHOTOGRAPHY, AND TO HOLD VARIOUS EQUIPMENT.</t>
  </si>
  <si>
    <t>2YTM9Q60302385</t>
  </si>
  <si>
    <t>TO BE USED FOR LAW ENFORCEMENT PURPOSES ONLY. USED TO REPAIR EQUIPMENT USED BY LAW ENFORCEMENT.</t>
  </si>
  <si>
    <t xml:space="preserve">
Sales Order #: 2281548497
RTD Screening Code: DOD
Reason for Rejection: Y9</t>
  </si>
  <si>
    <t>2YTM9Q60231032</t>
  </si>
  <si>
    <t xml:space="preserve">
Sales Order #: 2281548494
RTD Screening Code: DOD
Reason for Rejection: Y9</t>
  </si>
  <si>
    <t>2YTM9Q60231031</t>
  </si>
  <si>
    <t>TO BE USED FOR LAW ENFORCEMENT PURPOSES ONLY. USED BY OFFICERS FOR FIRST AID ON INCIDENTS.</t>
  </si>
  <si>
    <t xml:space="preserve">
Sales Order #: 2281548495
RTD Screening Code: DOD
Reason for Rejection: BQ</t>
  </si>
  <si>
    <t>2YTM9Q60231027</t>
  </si>
  <si>
    <t>WASHINGTON COUNTY SHERIFF'S OFFICE IS A LAW ENFORCEMENT AGENCY IN THE STATE OF VIRGINIA. OUR AGENCY COULD USE THIS TRUCK FOR PULLING TRAILERS AND HAULING EQUIPMENT. THIS TRUCK WILL BE USE BY LAW ENFORCEMENT PERSONNEL.</t>
  </si>
  <si>
    <t xml:space="preserve">
Sales Order #: 2280363897
RTD Screening Code: DOD
Reason for Rejection: Y9</t>
  </si>
  <si>
    <t>2YTM9Q60230841</t>
  </si>
  <si>
    <t>WASHINGTON COUNTY SHERIFF'S OFFICE IS A LAW ENFORCEMENT AGENCY IN THE STATE OF VIRGINIA. OUR AGENCY COULD USE THIS TRUCK TO PULL TRAILER AND HAUL EQUIPMENT. THIS TRUCK WILL BE USED BY LAW ENFORCEMENT PERSONNEL.</t>
  </si>
  <si>
    <t xml:space="preserve">
Sales Order #: 2280363875
RTD Screening Code: DOD
Reason for Rejection: Y9</t>
  </si>
  <si>
    <t>2YTM9Q60230822</t>
  </si>
  <si>
    <t>TO BE USED FOR LAW ENFORCEMENT PURPOSES ONLY. USED BY OFFICERS IN VARIOUS SCENARIOS TO ADMINISTER FIRST AID.</t>
  </si>
  <si>
    <t xml:space="preserve">
Sales Order #: 2280363896
RTD Screening Code: DOD
Reason for Rejection: YG</t>
  </si>
  <si>
    <t>POUCH,FIRST AID KIT</t>
  </si>
  <si>
    <t>2YTM9Q60160721</t>
  </si>
  <si>
    <t>TO BE USED FOR OFFICIAL LAW ENFORCEMENT PURPOSES. USED BY OFFICERS FOR PROTECTION DURING INCLEMENT WEATHER.</t>
  </si>
  <si>
    <t xml:space="preserve">
Sales Order #: 2280363903
RTD Screening Code: DOD
Reason for Rejection: YG</t>
  </si>
  <si>
    <t>PONCHO,WET WEATHER</t>
  </si>
  <si>
    <t>2YTM9Q60160712</t>
  </si>
  <si>
    <t>TO BE USED FOR OFFICIAL LAW ENFORCEMENT PURPOSES. USED BY OFFICERS FOR THE PROTECTION OF BODY PARTS.</t>
  </si>
  <si>
    <t xml:space="preserve">
Sales Order #: 2280363904
RTD Screening Code: DOD
Reason for Rejection: YG</t>
  </si>
  <si>
    <t>PAD,KNEE</t>
  </si>
  <si>
    <t>2YTM9Q60160710</t>
  </si>
  <si>
    <t>TO BE USED FOR LAW ENFORCEMENT PURPOSES ONLY. USED BY OFFICERS TO TRANSPORT VARIOUS EQUIPMENT.</t>
  </si>
  <si>
    <t xml:space="preserve">
Sales Order #: 2280363884
RTD Screening Code: DOD
Reason for Rejection: YG</t>
  </si>
  <si>
    <t>2YTM9Q60160705</t>
  </si>
  <si>
    <t>WASHINGTON COUNTY SHERIFF'S OFFICE IS A LAW ENFORCEMENT AGENCY IN THE STATE OF VIRGINIA. OUR AGENCY COULD USE THIS VEHICLE FOR PATROLING AND PRISIONER TRANSPORTS. THESE VEHICLES WILL BE USE BY LAW ENFORCEMENT PERSONNEL.</t>
  </si>
  <si>
    <t xml:space="preserve">
Sales Order #: 2270277001
RTD Screening Code: DOD
Reason for Rejection: Y9</t>
  </si>
  <si>
    <t>2YTM9Q60160416</t>
  </si>
  <si>
    <t>WASHINGTON COUNTY SHERIFF'S OFFICE IS A LAW ENFORCEMENT AGENCY IN THE STATE OF VIRGINIA. OUR AGENCY COULD USE THIS TRUCK FOR PATROLING AND TRANSPORTING PRISIONERS. THIS VEHICLE WILL BE USE BY LAW ENFORCEMENT PERSONNEL.</t>
  </si>
  <si>
    <t xml:space="preserve">
Sales Order #: 2277637464
RTD Screening Code: DOD
Reason for Rejection: Y9</t>
  </si>
  <si>
    <t>2YTM9Q60160415</t>
  </si>
  <si>
    <t>WASHINGTON COUNTY SHERIFF'S OFFICE IS A LAW ENFORCEMENT AGENCY IN THE STATE OF VIRGINIA. OUR AGENCY COULD USE THE ROAD TRACTOR TO PULL TRAILERS AND HAUL EQUIPMENT. THIS TRUCK WILL BE USE BY LAW ENFORCEMENT PERSONNEL.</t>
  </si>
  <si>
    <t xml:space="preserve">
Sales Order #: 2277637461
RTD Screening Code: DOD
Reason for Rejection: Y9</t>
  </si>
  <si>
    <t>2YTM9Q60160413</t>
  </si>
  <si>
    <t>USED FOR LAW ENFORCEMENT PURPOSES ONLY. USED TO CLEAR THE ROADWAY AT THE SHERIFF'S OFFICE DURING INCLEMENT WEATHER.</t>
  </si>
  <si>
    <t xml:space="preserve">
Sales Order #: 2260701690
RTD Screening Code: DOD
Reason for Rejection: Y9</t>
  </si>
  <si>
    <t>2YTM9Q60090589</t>
  </si>
  <si>
    <t>WASHINGTON COUNTY SHERIFF'S OFFICE IS A LAW ENFORCEMENT AGENCY IN THE STATE OF VIRGINIA. OUR AGENCY COULD USE THE PICK-UP FOR PATROLING AND PRISIONER TRANSPORTS. THIS VEHICLE WILL BE USE BY LAW ENFORCEMENT PERSONNEL.</t>
  </si>
  <si>
    <t xml:space="preserve">
Sales Order #: 2268966250
RTD Screening Code: DOD
Reason for Rejection: Y9</t>
  </si>
  <si>
    <t>2YTM9Q60029660</t>
  </si>
  <si>
    <t>TO BE USED FOR LAW ENFORCEMENT PURPOSES ONLY. USED BY THE SHERIFF'S OFFICE TO TRANSPORT HEAVY EQUIPMENT TO INCIDENTS, SUCH AS HIGH WATER RESCUES.</t>
  </si>
  <si>
    <t xml:space="preserve">
Sales Order #: 2279867810
RTD Screening Code: DOD
Reason for Rejection: YH</t>
  </si>
  <si>
    <t>TRAILER, DEMIL Q</t>
  </si>
  <si>
    <t>DSTRAILEQ</t>
  </si>
  <si>
    <t>2YTM9Q60028421</t>
  </si>
  <si>
    <t>WARREN COUNTY SHERIFF'S OFFICE NEEDS THIS EQUIPMENT FOR COUNTER-TERRORISM, BARRICADED SUBJECT</t>
  </si>
  <si>
    <t xml:space="preserve">
Sales Order #: 2285178217
RTD Screening Code: DOD
Reason for Rejection: Y9</t>
  </si>
  <si>
    <t>2YTM7160795330</t>
  </si>
  <si>
    <t>WARREN CSO (2YTM71)</t>
  </si>
  <si>
    <t>TO BE USED BY POLICE OFFICERS OF THE WALLINGTON POLICE DEPARTMENT SO POLICE OFFICERS IN SPECIAL OPERATIONS CAN INSTALL AND MAINTAIN WIRELESS POINT TO POINT ANTENNAS USED FOR LAW ENFORCEMENT COMMUNICATION RADIO SYSTEMS AND CAMERAS.</t>
  </si>
  <si>
    <t>2YTM5660231062</t>
  </si>
  <si>
    <t xml:space="preserve">TO BE USED BY POLICE OFFICERS OF THE WALLINGTON POLICE DEPARTMENT FOR THE INSTALLATION OF CAMERAS TO METAL UTILITY POLES.
</t>
  </si>
  <si>
    <t xml:space="preserve">
Sales Order #: 2278644365
RTD Screening Code: DOD
Reason for Rejection: YH</t>
  </si>
  <si>
    <t>2YTM5653327404</t>
  </si>
  <si>
    <t>THIS NVG WILL BE UTILIZED BY OUR SPECIAL OPERATIONS TEAM WITHIN THE SHERIFF'S OFFICE.</t>
  </si>
  <si>
    <t>2YTM4760583901</t>
  </si>
  <si>
    <t xml:space="preserve">
Sales Order #: 2283424254
RTD Screening Code: DOD
Reason for Rejection: Y9</t>
  </si>
  <si>
    <t>2YTM4760513233</t>
  </si>
  <si>
    <t xml:space="preserve">
Sales Order #: 2283507434
RTD Screening Code: DOD
Reason for Rejection: YH</t>
  </si>
  <si>
    <t>2YTM4760513185</t>
  </si>
  <si>
    <t xml:space="preserve">
Sales Order #: 2283424242
RTD Screening Code: DOD
Reason for Rejection: Y9</t>
  </si>
  <si>
    <t>2YTM4760443219</t>
  </si>
  <si>
    <t>THE VONORE POLICE DEPARTMENT WOULD UTILIZE THIS TRACTOR TO MAINTAIN THE DEPARTMENT IMPOUND LOT WERE SEIZED VEHICLES ARE STORED, AND DURING EVIDENCE DESTRUCTION PROCESS. THE DEPARTMENT WOULD ALSO USE THIS TRACTOR TO MAINTAIN TRAINING GROUND TO ENSURE OFFICER SAFETY DURING TRAINING SESSIONS. THE DEPARTMENT WILL ACCEPT AS IN CONDITION.</t>
  </si>
  <si>
    <t xml:space="preserve">
Sales Order #: 2286288941
RTD Screening Code: DOD
Reason for Rejection: Y9</t>
  </si>
  <si>
    <t>2YTM3P60937047</t>
  </si>
  <si>
    <t>THE POLICE DEPARTMENT WOULD UTILIZE THIS ITEM TO TRANSPORT TRAINING MATERIALS TO TRAINING SESSIONS. THE TRUCK WOULD ALSO BE USED TO MOVE EQUIPMENT AND TRAILERS TO CRIME SCENES DURING INCIDENTS. WILL ACCEPT IN AS IN CONDITION.</t>
  </si>
  <si>
    <t xml:space="preserve">
Sales Order #: 2280771408
RTD Screening Code: DOD
Reason for Rejection: Y9</t>
  </si>
  <si>
    <t>2YTM3P60160400</t>
  </si>
  <si>
    <t>THE POLICE DEPARTMENT WOULD UTILIZE THIS SKID STEER TO MAINTAIN THE DEPARTMENT IMPOUND LOT AND ALSO DURING EVIDENCE DESTRUCTION PROCESS. THE DEPARTMENT WOULD ACCEPT IN AS IN CONDITION.</t>
  </si>
  <si>
    <t xml:space="preserve">
Sales Order #: 2280619901
RTD Screening Code: DOD
Reason for Rejection: Y9</t>
  </si>
  <si>
    <t>2YTM3P60090071</t>
  </si>
  <si>
    <t>THIS WRECKER WOULD BE UTILIZED TO MOVE VEHICLE AND EQUIPMENT WITHIN THE DEPARTMENT IMPOUND LOT. THE WRECKER WOULD ALSO BE USED DURING TRAINING EXERCISES INVOLVING RECOVERING VEHICLES FROM WATER. THE DEPARTMENT WOULD ACCEPT IN AS IN CONDITION.</t>
  </si>
  <si>
    <t xml:space="preserve">
Sales Order #: 2278215037
RTD Screening Code: DOD
Reason for Rejection: YG</t>
  </si>
  <si>
    <t>2YTM3P53468470</t>
  </si>
  <si>
    <t>WE WILL UTILIZE THESE VEHICLES THROUGHOUT OUR COUNTY AS RESPONSE AND ENFORCEMENT ASSESTS.  WE LIVE IN THE SNOWMOBILE CAPITAL OF THE WORLD AND NEED MORE SLEDS FOR OUR DEPUTIES RESPONSE.  THESE SNOWMOBILES WILL ONLY BE UTILIZED FOR LAW ENFORCEMENT PURPOSES.</t>
  </si>
  <si>
    <t xml:space="preserve">
Sales Order #: 2279070742
RTD Screening Code: GSA
Reason for Rejection: YG</t>
  </si>
  <si>
    <t>2YTM2V53609268</t>
  </si>
  <si>
    <t>VILAS COUNTY SHERIFF OFFICE (2YTM2V)</t>
  </si>
  <si>
    <t>SMALL ARMS AMMUNITION STORAGE FOR VENTURA POLICE DEPARTMENT PATROL, SWAT, AND FIREARMS RANGE TRAINING PURPOSES.</t>
  </si>
  <si>
    <t xml:space="preserve">
Sales Order #: 2285179991
Reason for Rejection: YG</t>
  </si>
  <si>
    <t>2YTMZ760584627</t>
  </si>
  <si>
    <t>VENTURA POLICE DEPT (2YTMZ7)</t>
  </si>
  <si>
    <t xml:space="preserve">IT WOULD BE USED TO ACCESS REMOTE AREAS THAT PATROL VEHICLES CANNOT REACH, SUPPORTING SEARCH AND RESCUE OPERATIONS IN OUR WOODED RIVER LANDS, PEDESTRIAN TRAILS SYSTEM, AND ASSIST WITH DISASTER RELIEF BY AIDING FIRST RESPONDERS WITH MEDICAL EMERGENCIES AND STORM DEBRIS REMOVAL.  
</t>
  </si>
  <si>
    <t>2YTMY860090089</t>
  </si>
  <si>
    <t>VAN METER POLICE DEPT (2YTMY8)</t>
  </si>
  <si>
    <t xml:space="preserve">
Sales Order #: 2283341463
RTD Screening Code: GSA
Reason for Rejection: Z2</t>
  </si>
  <si>
    <t>2YTSXU60513380</t>
  </si>
  <si>
    <t>THESE BOOTS WILL BE ISSUED TO AN AGENT WHO DEPLOYS WITH OUR ESF 13 TEAM.  THEY DEPLOY WITH FEMA TO DISASTER AREAS</t>
  </si>
  <si>
    <t xml:space="preserve">
Sales Order #: 2283341459
RTD Screening Code: GSA
Reason for Rejection: YH</t>
  </si>
  <si>
    <t>2YTSXU60513379</t>
  </si>
  <si>
    <t>THESE WILL BE ISSUED TO AGENTS ON OUR ESF 13 TEAM.  THEY DEPLOY WITH FEMA TO AUSTERE LOCALES.</t>
  </si>
  <si>
    <t xml:space="preserve">
Sales Order #: 2282600637
RTD Screening Code: DOD
Reason for Rejection: YH</t>
  </si>
  <si>
    <t>2YTSXU60372215</t>
  </si>
  <si>
    <t>THESE BOOTS WILL BE ISSUED TO AGENTS WHO DEPLOY WITH FEMA AS PART OF OUR ESF 13 TEAM</t>
  </si>
  <si>
    <t xml:space="preserve">
Sales Order #: 2277107986
RTD Screening Code: DOD
Reason for Rejection: YH</t>
  </si>
  <si>
    <t>2YTSXU52834719</t>
  </si>
  <si>
    <t>THESE  WILL BE ISSUED TO AGENTS WHO DEPLOY WITH FEMA AS PART OF OUR ESF 13 MISSION</t>
  </si>
  <si>
    <t xml:space="preserve">
Sales Order #: 2277107980
RTD Screening Code: GSA
Reason for Rejection: YH</t>
  </si>
  <si>
    <t>2YTSXU52694402</t>
  </si>
  <si>
    <t>THESE PONCHOS WILL BE ISSUED TO MEMBERS OF OUR ESF 13 TEAM THAT DEPLOYS WITH FEMA TO DISASTER AREAS</t>
  </si>
  <si>
    <t xml:space="preserve">
Sales Order #: 2277108149
RTD Screening Code: GSA
Reason for Rejection: YH</t>
  </si>
  <si>
    <t>2YTSXU52693886</t>
  </si>
  <si>
    <t>THESE UNITS WILL PROVIDE WARMTH FOR THE UNION COUNTY SHERIFFS OFFICE S.E.R.T DURING COLD WEATHER CONDITIONS WHILE EXECUTING CALL OUTS.</t>
  </si>
  <si>
    <t xml:space="preserve">
Sales Order #: 2286596064
RTD Screening Code: DOD
Reason for Rejection: Y9</t>
  </si>
  <si>
    <t>2YTL5R60937386</t>
  </si>
  <si>
    <t>UNION CSO (2YTL5R)</t>
  </si>
  <si>
    <t>THESE UNITS WILL ASSIST UNION COUNTY DEPUTIES DURING LIFE SAVING EMERGENCIES.</t>
  </si>
  <si>
    <t xml:space="preserve">
Sales Order #: 2285423624
RTD Screening Code: DOD
Reason for Rejection: YH</t>
  </si>
  <si>
    <t>2YTL5R60725806</t>
  </si>
  <si>
    <t>THESE UNITS WILL BE UTILIZED BY THE UNION COUNTY SPECIAL OPERATIONS DIVISION TO BETTER ENHANCE THEIR CAPABILITIES OF SAFELY OPERATING IN LOWLIGHT AND DARK ENVIRONMENTS WHILE PERFORMING TASK SUCH AS SURVEILLANCE AND THE EXECUTION OF HIGH RISK ARREST AND SEARCH WARRANTS.   UNION COUNTY SHERIFF'S OFFICE IS WILLING TO ACCEPT THE CONDITION OF THESE ITEMS.</t>
  </si>
  <si>
    <t xml:space="preserve">
Sales Order #: 2285180173
RTD Screening Code: DOD
Reason for Rejection: Y9</t>
  </si>
  <si>
    <t>2YTL5R60725248</t>
  </si>
  <si>
    <t>TYRRELL COUNTY SHERIFFS OFFICE NEEDS THIS TRAILER TO STORE AND HAUL RESCUE EQUIPMENT FOR SEARCH AND RESCUE DEPLOYMENTS.</t>
  </si>
  <si>
    <t xml:space="preserve">
Sales Order #: 2285810334
RTD Screening Code: DOD
Reason for Rejection: Y9</t>
  </si>
  <si>
    <t>2YTL4Q60866528</t>
  </si>
  <si>
    <t>TYRRELL COUNTY SHERIFFS OFFICE NEEDS THIS TRAILER TO STORE AND HAUL EQUIPMENT</t>
  </si>
  <si>
    <t xml:space="preserve">
Sales Order #: 2285810346
RTD Screening Code: DOD
Reason for Rejection: Y9</t>
  </si>
  <si>
    <t>2YTL4Q60866523</t>
  </si>
  <si>
    <t>THIS TRUCK IS NEEDED FOR OUR SWAT TEAM TO USE AS A COMMAND CENTER AND QUICK RESPONSE WITH EQUIPMENT</t>
  </si>
  <si>
    <t>2YTPTR60866526</t>
  </si>
  <si>
    <t>TWIN FALLS COUNTY SHERIFF'S OFFICE (2YTPTR)</t>
  </si>
  <si>
    <t>TPD REQUEST THIS LIFT TO USE IN LOADING AND UNLOADING EQUIPMENT NEEDED FOR RESPONSE TO ACTS OF TERROR AND MASS CASUALTY. IT WILL ALSO BE USED ON OUR VEHICLE POUND TO MOVE VEHICLES OF EVIDENTIARY VALUE TO KEEP OFFICERS FROM CONTAMINATING THE VEHICLES BY NOT ENTERING THEM WHEN MOVING THEM.</t>
  </si>
  <si>
    <t xml:space="preserve">
Sales Order #: 2285973520
RTD Screening Code: DOD
Reason for Rejection: Y9</t>
  </si>
  <si>
    <t>2YTL1560866688</t>
  </si>
  <si>
    <t xml:space="preserve">
TPD REQUEST THIS VEHICLE TO USE IN DEPLOYING EQUIPMENT AND PERSONAL DURING TERROR AND MASS CASUALTY ATTACKS, SEVERE WEATHER AND SETTING UP SECURITY FOR LARGE SCALE EVENTS TO PREVENT TERROR AND MASS CASUALTY ATTACKS.
</t>
  </si>
  <si>
    <t xml:space="preserve">
Sales Order #: 2285864890
RTD Screening Code: DOD
Reason for Rejection: Y9</t>
  </si>
  <si>
    <t>2YTL1560866211</t>
  </si>
  <si>
    <t>TPD REQUEST THIS EQUIPMENT TO USE IN REPAIRING, UPDATING, MODIFYING OUR POLICE DEPARTMENT AND POLICE TRAINING FACILITIES GROUNDS TO KEEP IT IN THE BEST CONDITION POSSIBLE FOR TRAINING RESPONDING TO TERRORIST, AND MASS CASUALTY EVENTS AND CALLS FOR SERVICE.</t>
  </si>
  <si>
    <t xml:space="preserve">
Sales Order #: 2285864847
RTD Screening Code: DOD
Reason for Rejection: Y9</t>
  </si>
  <si>
    <t>2YTL1560866188</t>
  </si>
  <si>
    <t>TPD REQUEST THIS STRUCTURE TO USE IN STORING OUR DEPARTMENT EQUIPMENT AND KEEPING IT READY FOR USE IN CASE OF A TERRORIST OR MASS CASUALTY EVENT. IT CAN ALSO BE USED IN AN OVERFLOW AREA FOR STORING ANY EVIDENCE THAT NEEDS TO BE KEPT OUT OF THE WEATHER.</t>
  </si>
  <si>
    <t xml:space="preserve">
Sales Order #: 2285810408
RTD Screening Code: GSA
Reason for Rejection: YH</t>
  </si>
  <si>
    <t>2YTL1560796742</t>
  </si>
  <si>
    <t>TPD REQUEST THIS VEHICLE TO USE IN DEPLOYING EQUIPMENT AND PERSONAL DURING TERROR AND MASS CASUALTY ATTACKS, SEVERE WEATHER AND SETTING UP SECURITY FOR LARGE SCALE EVENTS TO PREVENT TERROR AND MASS CASUALTY ATTACKS.</t>
  </si>
  <si>
    <t xml:space="preserve">
Sales Order #: 2285152417
RTD Screening Code: DOD
Reason for Rejection: Y9</t>
  </si>
  <si>
    <t>2YTL1560725246</t>
  </si>
  <si>
    <t>TPD REQUEST THIS TRUCK FOR OUR CRIME SCENE UNIT TO USE FOR RESPONDING TO TERRORIST OR MASS CASUALTY EVENTS. THEY WILL ALSO USE IT WHEN RESPONDING TO MAJOR CRIME SCENES FOR PROCESSING AND TRANSPORTING THEIR EQUIPMENT.</t>
  </si>
  <si>
    <t xml:space="preserve">
Sales Order #: 2285177799
RTD Screening Code: DOD
Reason for Rejection: Y9</t>
  </si>
  <si>
    <t>2YTL1560725244</t>
  </si>
  <si>
    <t>TPD REQUEST THIS TRAILER TO USE IN DEPLOYING AND TRANSPORTING HEAVY EQUIPMENT FOR RESPONSE TO ACTS OF TERROR AND MASS CASUALTY.</t>
  </si>
  <si>
    <t xml:space="preserve">
Sales Order #: 2285176996
RTD Screening Code: DOD
Reason for Rejection: Y9</t>
  </si>
  <si>
    <t>2YTL1560724908</t>
  </si>
  <si>
    <t xml:space="preserve">
Sales Order #: 2285180211
RTD Screening Code: DOD
Reason for Rejection: Y9</t>
  </si>
  <si>
    <t>2YTL1560724900</t>
  </si>
  <si>
    <t>TPD REQUEST THIS EQUIPMENT TO USE IN REPAIRING OUR BUILDINGS AND EQUIPMENT WHERE WORKING FROM A LADDER WOULD BE UNSAFE TO KEEP EVERYTHING IN THE BEST POSSIBLE CONDITION FOR RESPONSE TO ACTS OF TERROR AND MASS CASUALTY .</t>
  </si>
  <si>
    <t xml:space="preserve">
Sales Order #: 2285180124
RTD Screening Code: DOD
Reason for Rejection: Y9</t>
  </si>
  <si>
    <t>2YTL1560654729</t>
  </si>
  <si>
    <t>TPD REQUEST THESE FIRST AID KITS FOR OUR OFFICERS TO CARRY DURING THEIR SHIFTS TO USE IN CASE EMERGENCY FIRST AID IS NEEDED FOR THEMSELVES OR OTHERS DURING TERRORIST OR MASS CASUALTY EVENTS.</t>
  </si>
  <si>
    <t xml:space="preserve">
Sales Order #: 2285178189
RTD Screening Code: DOD
Reason for Rejection: Y9</t>
  </si>
  <si>
    <t>2YTL1560654678</t>
  </si>
  <si>
    <t xml:space="preserve">
Sales Order #: 2285180180
RTD Screening Code: DOD
Reason for Rejection: Y9</t>
  </si>
  <si>
    <t>2YTL1560654677</t>
  </si>
  <si>
    <t>TPD REQUEST THESE HEATERS TO USE IN OUR STORAGE FACILITIES TO KEEP OUR EQUIPMENT FROM FREEZING IN THE EVENT OF A POWER OUTAGE.</t>
  </si>
  <si>
    <t xml:space="preserve">
Sales Order #: 2285177783
RTD Screening Code: DOD
Reason for Rejection: YH</t>
  </si>
  <si>
    <t>2YTL1560654669</t>
  </si>
  <si>
    <t>TPD REQUEST THIS PLATFORM TO USE IN REPAIRING, AND UPDATING OUR EQUIPMENT THAT IS RAISED OFF OF THE GROUND TO KEEP IT IN THE BEST POSSIBLE CONDITION FOR RESPONSE TO TERRORIST AND MASS CASUALTY EVENTS.</t>
  </si>
  <si>
    <t xml:space="preserve">
Sales Order #: 2285178120
RTD Screening Code: DOD
Reason for Rejection: Y9</t>
  </si>
  <si>
    <t>2YTL1560654667</t>
  </si>
  <si>
    <t>TPD REQUEST THESE TABLES TO USE AS INFORMATIONAL LOCATIONS, INTERVIEW TABLES, OR A RESTING PLACE FOR OUR OFFICERS ON THE SCENES OF TERRORIST AND MASS CASUALTY EVENTS.</t>
  </si>
  <si>
    <t xml:space="preserve">
Sales Order #: 2285152410
RTD Screening Code: GSA
Reason for Rejection: YH</t>
  </si>
  <si>
    <t>TABLE,PICNIC,SPEC</t>
  </si>
  <si>
    <t>2YTL1560654654</t>
  </si>
  <si>
    <t>TPD REQUEST THIS TRUCK TO USE AS A MOBILE CRIME SCENE RESPONSE VEHICLE TO RESPOND FOR PROCESSING MAJOR CRIMES, TERRORIST ATTACKS AND MASS CASUALTY EVENTS.</t>
  </si>
  <si>
    <t xml:space="preserve">
Sales Order #: 2285176971
RTD Screening Code: DOD
Reason for Rejection: Y9</t>
  </si>
  <si>
    <t>2YTL1560654264</t>
  </si>
  <si>
    <t>TPD REQUEST THIS TRAILER TO USE AS A MOBILE COMMAND UNIT IN THE EVENT OF A TERRORIST OR MASS CASUALTY ATTACK, AND OTHER LARGE CRIME SCENES WHERE OFFICERS WILL BE ON SIGHT FOR AN EXTENDED AMOUNT OF TIME.</t>
  </si>
  <si>
    <t xml:space="preserve">
Sales Order #: 2285179000
RTD Screening Code: DOD
Reason for Rejection: Y9</t>
  </si>
  <si>
    <t>2YTL1560654262</t>
  </si>
  <si>
    <t xml:space="preserve">
Sales Order #: 2285179460
RTD Screening Code: DOD
Reason for Rejection: Y9</t>
  </si>
  <si>
    <t>2YTL1560654259</t>
  </si>
  <si>
    <t>2YTL1560654258</t>
  </si>
  <si>
    <t>TPD REQUEST THIS STRUCTURE TO USE IN STORING EQUIPMENT OUT OF THE WEATHER SO THAT IT WILL BE IN TOP CONDITION WHEN NEEDED TO RESPOND TO ACTS OF TERROR AND MASS CASUALTY.</t>
  </si>
  <si>
    <t xml:space="preserve">
Sales Order #: 2285178214
RTD Screening Code: DOD
Reason for Rejection: Y9</t>
  </si>
  <si>
    <t>2YTL1560654227</t>
  </si>
  <si>
    <t>2YTL1560583748</t>
  </si>
  <si>
    <t>TPD REQUEST THESE LIGHTS FOR OUR OFFICERS TO USE ON THEIR WEAPONS FOR TARGET IDENTIFICATION IN LOW TO NO LIGHT SITUATIONS WHEN RESPONDING TO ACTS OF TERROR AND MASS CASUALTY.</t>
  </si>
  <si>
    <t xml:space="preserve">
Sales Order #: 2283529136
RTD Screening Code: DOD
Reason for Rejection: YH</t>
  </si>
  <si>
    <t>2YTL1560442854</t>
  </si>
  <si>
    <t xml:space="preserve">
Sales Order #: 2278282468
RTD Screening Code: DOD
Reason for Rejection: Y9</t>
  </si>
  <si>
    <t>2YTL1560371971</t>
  </si>
  <si>
    <t xml:space="preserve">
Sales Order #: 2278282458
RTD Screening Code: DOD
Reason for Rejection: Y9</t>
  </si>
  <si>
    <t>2YTL1560371970</t>
  </si>
  <si>
    <t xml:space="preserve">
Sales Order #: 2278282457
RTD Screening Code: DOD
Reason for Rejection: Y9</t>
  </si>
  <si>
    <t>2YTL1560371968</t>
  </si>
  <si>
    <t>TPD REQUEST THESE BAGS FOR OUR OFFICERS TO USE TO STORE THEIR DUTY EQUIPMENT FOR TRANSPORT AND RESPONSE TO ACTS OF TERRORIST AND MASS CASUALTY.</t>
  </si>
  <si>
    <t xml:space="preserve">
Sales Order #: 2282934297
RTD Screening Code: DOD
Reason for Rejection: Y9</t>
  </si>
  <si>
    <t>2YTL1560302372</t>
  </si>
  <si>
    <t>TPD REQUEST THESE LIGHTS FOR OUR OFFICERS TO USE ON THEIR DEPARTMENT WEAPONS WHEN RESPONDING TO ACTS OF TERRORISM, MASS CASUALTY EVENTS, HOSTAGE EVENTS, ACTIVE SHOOTERS, AND OTHER CALLS WHERE THE USE OF A LONG WEAPON IS CALLED FOR TO BETTER IDENTIFY TARGETS AND VICTIMS...</t>
  </si>
  <si>
    <t xml:space="preserve">
Sales Order #: 2281671649
RTD Screening Code: DOD
Reason for Rejection: Y9</t>
  </si>
  <si>
    <t>2YTL1560231076</t>
  </si>
  <si>
    <t>TPD REQUEST THIS TRAILER TO USE IN DEPLOYING EQUIPMENT AND PERSONAL DURING TERROR AND MASS CASUALTY ATTACKS, SEVERE WEATHER AND SETTING UP SECURITY FOR LARGE SCALE EVENTS TO PREVENT TERROR AND MASS CASUALTY ATTACKS.</t>
  </si>
  <si>
    <t xml:space="preserve">
Sales Order #: 2278281847
RTD Screening Code: DOD
Reason for Rejection: Y9</t>
  </si>
  <si>
    <t>2YTL1560230813</t>
  </si>
  <si>
    <t xml:space="preserve">
Sales Order #: 2278281863
RTD Screening Code: DOD
Reason for Rejection: Y9</t>
  </si>
  <si>
    <t>2YTL1560230805</t>
  </si>
  <si>
    <t>TPD REQUEST THESE HAND TRUCKS TO USE IN STORING AND TRANSPORTING EQUIPMENT, AND EVIDENCE AROUND OUR DEPARTMENT BUILDINGS AND STORAGE AREAS.</t>
  </si>
  <si>
    <t xml:space="preserve">
Sales Order #: 2280129885
RTD Screening Code: DOD
Reason for Rejection: Y9</t>
  </si>
  <si>
    <t>2YTL1560090151</t>
  </si>
  <si>
    <t>TPD REQUEST THIS PICKUP TO USE IN DEPLOYING PERSONNEL AND EQUIPMENT DURING SPECIAL EVENTS WHERE WE SET UP BARRICADES FOR EVENT SECURITY. IT WILL ALSO BE USED TO DEPLOY SIMILAR EQUIPMENT DURING SEVER WEATHER. IT MAY ALSO BE USED AS A DAILY DRIVER FOR OUR UNMARKED OFFICERS.</t>
  </si>
  <si>
    <t xml:space="preserve">
Sales Order #: 2280129883
RTD Screening Code: DOD
Reason for Rejection: Y9</t>
  </si>
  <si>
    <t>2YTL1560029653</t>
  </si>
  <si>
    <t xml:space="preserve">TPD REQUEST THESE BOOTS FOR OUR POLICE OFFICERS TO WEAR ON TRAINING DAYS AND TO CALLOUTS OF TERRORIST AND MASS CASUALTY EVENTS OR FOR CALLOUTS THAT INVOLVE THEIR NORMAL POLICE DUTIES.
</t>
  </si>
  <si>
    <t xml:space="preserve">
Sales Order #: 2280915058
RTD Screening Code: DOD
Reason for Rejection: YH</t>
  </si>
  <si>
    <t>2YTL1560029648</t>
  </si>
  <si>
    <t xml:space="preserve">
Sales Order #: 2280915060
RTD Screening Code: DOD
Reason for Rejection: YH</t>
  </si>
  <si>
    <t>2YTL1560029646</t>
  </si>
  <si>
    <t xml:space="preserve">
Sales Order #: 2280915055
RTD Screening Code: GSA
Reason for Rejection: YH</t>
  </si>
  <si>
    <t>2YTL1560029644</t>
  </si>
  <si>
    <t xml:space="preserve">
Sales Order #: 2280915056
RTD Screening Code: GSA
Reason for Rejection: YH</t>
  </si>
  <si>
    <t>2YTL1560029643</t>
  </si>
  <si>
    <t>TRACTOR,WHEELED,AIRCRAFT TOWING</t>
  </si>
  <si>
    <t>2YTL1553609768</t>
  </si>
  <si>
    <t>TPD REQUEST THESE BOOTS FOR OUR OFFICERS TO WEAR DURING TRAINING AND CALL OUTS FOR TERRORIST OR MASS CASUALTY EVENTS</t>
  </si>
  <si>
    <t xml:space="preserve">
Sales Order #: 2277951851
RTD Screening Code: RTD2
Reason for Rejection: YF</t>
  </si>
  <si>
    <t>2YTL1553609664</t>
  </si>
  <si>
    <t xml:space="preserve">
Sales Order #: 2277951877
RTD Screening Code: RTD2
Reason for Rejection: YH</t>
  </si>
  <si>
    <t>2YTL1553609663</t>
  </si>
  <si>
    <t>TPD REQUEST THESE REGULATORS FOR OUR POLICE DIVE TEAM OFFICERS TO USE WHEN RESPONDING TO SEARCH AND RESCUE CALLS, TRAINING, OR ACTS OF TERROR AND MASS CASUALTY IN THE WATER WAYS OF OUR JURISDICTION.</t>
  </si>
  <si>
    <t xml:space="preserve">
Sales Order #: 2279070754
RTD Screening Code: DOD
Reason for Rejection: YH</t>
  </si>
  <si>
    <t>REGULATOR,BREATHING</t>
  </si>
  <si>
    <t>2YTL1553609250</t>
  </si>
  <si>
    <t>TPD REQUEST THESE POUCHES TO USE IN COLLECTING REMAINS DURING ACTS OF TERROR, MASS CASUALTY EVENTS, AND DAILY CALLS OF SERVICE WHEN NEEDED.</t>
  </si>
  <si>
    <t xml:space="preserve">
Sales Order #: 2280210723
RTD Screening Code: DOD
Reason for Rejection: YH</t>
  </si>
  <si>
    <t>2YTL1553468883</t>
  </si>
  <si>
    <t>TPD REQUEST THIS TRUCK FOR OUR MAJOR CRIME RESPONSE UNIT TO USE IN RESPONDING TO MAJOR CRIMES IN OUR JURISDICTION AS WELL AS ACTS OF TERROR AND MASS CASUALTY.</t>
  </si>
  <si>
    <t xml:space="preserve">
Sales Order #: 2279288713
RTD Screening Code: DOD
Reason for Rejection: YH</t>
  </si>
  <si>
    <t>2YTL1553397834</t>
  </si>
  <si>
    <t xml:space="preserve">TPD REQUEST THIS METAL TO USE IN REPAIRING, UPDATING, MODIFYING OUR POLICE DEPARTMENT VEHICLES, OFFICES, AND OTHER EQUIPMENT TO KEEP THEM READY FOR THE EVER CHANGING MISSION OF THE DEPARTMENT TO BEST RESPOND TO TERRORIST, AND MASS CASUALTY EVENTS, AND TO BEST PROTECT OUR CITIZENS.
</t>
  </si>
  <si>
    <t xml:space="preserve">
Sales Order #: 2276819387
RTD Screening Code: DOD
Reason for Rejection: YH</t>
  </si>
  <si>
    <t>SH</t>
  </si>
  <si>
    <t>SHEET,METAL</t>
  </si>
  <si>
    <t>2YTL1553256959</t>
  </si>
  <si>
    <t xml:space="preserve">
Sales Order #: 2276819386
RTD Screening Code: DOD
Reason for Rejection: YH</t>
  </si>
  <si>
    <t>2YTL1552835368</t>
  </si>
  <si>
    <t>OUR POLICE DEPARTMENT RECENTLY STARTED A DRONE PROGRAM BUT DOES NOT HAVE DRONES OF THIS CAPACITY THAT WILL ASSIST WITH SEARCH AND RESCUE. WE ALSO NEED THE CAPABILITY TO SEARCH FOR THOSE AVOIDING ARREST. WE HAVE SEVERAL NEIGHBORING DEPARTMENTS THAT WE BACK UP AND WILL HAVE DRONES AND A TEAM AVAILABLE AS REQUESTED.</t>
  </si>
  <si>
    <t>2YTL1J60725195</t>
  </si>
  <si>
    <t>TULLAHOMA POLICE DEPARTMENT (2YTL1J)</t>
  </si>
  <si>
    <t>THE TUCSON POLICE DEPARTMENT IS REQUESTING THESE ITEMS TO BE UTILIZED BY INVESTIGATIVE UNITS SUCH AS HOMICIDE, AGGRAVATED ASSAULT TO SEARCH FOR WEAPONS, SHELL CASINGS, AND OTHER ITEMS OF EVIDENCE THAT MAY HAVE BEEN DISCARDED IN DESERT OR BRUSHY AREAS.</t>
  </si>
  <si>
    <t xml:space="preserve">
Sales Order #: 2285861899
Reason for Rejection: Y9</t>
  </si>
  <si>
    <t>2YTLZ860796020</t>
  </si>
  <si>
    <t>THE TUCSON POLICE DEPARTMENT IS REQUESTING THESE FLASHLIGHTS TO BE USED BY PATROL AND SPECIALIZED UNITS IN THEIR PATROL FUNCTIONS AND SEARCHES TO PROVIDE HANDS FREE LIGHTING.</t>
  </si>
  <si>
    <t xml:space="preserve">
Sales Order #: 2285163530
RTD Screening Code: DOD
Reason for Rejection: Y9</t>
  </si>
  <si>
    <t>FLASHLIGHTS AND RELATED EQUIPMENT</t>
  </si>
  <si>
    <t>DSFLASHLA</t>
  </si>
  <si>
    <t>2YTLZ860725337</t>
  </si>
  <si>
    <t>THE TUCSON POLICE DEPARTMENT IS REQUESTING THESE FLASHLIGHTS TO BE USED BY PATROL AND SPECIAL UNITS TO PROVIDE HANDS FREE LIGHTING WHILE CONDUCTING PATROL FUNCTIONS AND SEARCHES.</t>
  </si>
  <si>
    <t xml:space="preserve">
Sales Order #: 2285081213
RTD Screening Code: DOD
Reason for Rejection: Y9</t>
  </si>
  <si>
    <t>2YTLZ860725336</t>
  </si>
  <si>
    <t>THE TUCSON POLICE DEPARTMENT IS SEEKING THIS STORAGE UNIT TO BE USED AT THE TRAINING ACADEMY TO STORE EQUIPMENT USED IN TRAINING OFFICERS AND RECRUITS.</t>
  </si>
  <si>
    <t xml:space="preserve">
Sales Order #: 2285081217
RTD Screening Code: DOD
Reason for Rejection: Y9</t>
  </si>
  <si>
    <t>2YTLZ860725335</t>
  </si>
  <si>
    <t xml:space="preserve">
Sales Order #: 2285081215
RTD Screening Code: DOD
Reason for Rejection: Y9</t>
  </si>
  <si>
    <t>2YTLZ860725334</t>
  </si>
  <si>
    <t xml:space="preserve">
Sales Order #: 2285081216
RTD Screening Code: DOD
Reason for Rejection: Y9</t>
  </si>
  <si>
    <t>2YTLZ860725333</t>
  </si>
  <si>
    <t xml:space="preserve">
Sales Order #: 2285163519
RTD Screening Code: DOD
Reason for Rejection: Y9</t>
  </si>
  <si>
    <t>2YTLZ860725332</t>
  </si>
  <si>
    <t>THE TUCSON POLICE DEPT IS REQUESTING THESE FLAGS TO BE USED ON FLAG POLES LOCATED AT OUR SUBSTATIONS.</t>
  </si>
  <si>
    <t xml:space="preserve">
Sales Order #: 2278282465
RTD Screening Code: DOD
Reason for Rejection: Y9</t>
  </si>
  <si>
    <t>FLAG,NATIONAL</t>
  </si>
  <si>
    <t>2YTLZ860372203</t>
  </si>
  <si>
    <t xml:space="preserve">
Sales Order #: 2278282464
RTD Screening Code: DOD
Reason for Rejection: Y9</t>
  </si>
  <si>
    <t>2YTLZ860372200</t>
  </si>
  <si>
    <t>THE TUCSON POLICE DEPT IS REQUESTING THESE CASES TO BE USED BY PATROL AND DETECTIVE UNITS TO STORE EQUIPMENT USED IN THE PERFORMANCE OF THEIR DUTIES.</t>
  </si>
  <si>
    <t>2YTLZ860301791</t>
  </si>
  <si>
    <t>THE TUCSON POLICE DEPT IS REQUESTING THIS CASE TO BE USED BY PATROL OR DETECTIVE UNITS TO KEEP ITEMS USED FOR THEIR DUTIES SUCH AS EQUIPMENT AND SEARCH WARRANT ITEMS.</t>
  </si>
  <si>
    <t>2YTLZ860090678</t>
  </si>
  <si>
    <t>TROUP PD WOULD LIKE TO ACQUIRE THIS ITEM FOR THE USE OF STORING LESO EQUIPMENT, TACTICAL EQUIPMENT, AND POLICE STORAGE FOR DOCUMENTS AND OTHER IMPORTANT ITEMS.</t>
  </si>
  <si>
    <t xml:space="preserve">
Sales Order #: 2283352683
RTD Screening Code: DOD
Reason for Rejection: Y9</t>
  </si>
  <si>
    <t>2YTLY360513230</t>
  </si>
  <si>
    <t>TROUP PD WOULD LIKE TO ACQUIRE THESE ITEMS FOR THE CONTINUED USE OF SIMS TRAINING FOR OUR DEPARTMENT. THESE ITEMS WILL HELP IN THE TRAINING OF ACTIVE SHOOTING INCIDENTS.</t>
  </si>
  <si>
    <t xml:space="preserve">
Sales Order #: 2283314670
RTD Screening Code: DOD
Reason for Rejection: Y9</t>
  </si>
  <si>
    <t>2YTLY360372686</t>
  </si>
  <si>
    <t>TROUP PD WOULD LIKE TO ACQUIRE THIS ITEM FOR THE USE OF MAINTENANCE ON OUR VEHICLES AND EQUIPMENT OBTAINED THROUGH THE LESO PROGRAM.</t>
  </si>
  <si>
    <t xml:space="preserve">
Sales Order #: 2283315023
RTD Screening Code: DOD
Reason for Rejection: Y9</t>
  </si>
  <si>
    <t>2YTLY360372475</t>
  </si>
  <si>
    <t>TROUP PD WOULD LIKE TO ACQUIRE THIS ITEM FOR THE USE OF COOLING OFF OUR OFFICERS WHILE INSIDE THE TRAINING FACILITY, AND AT THE GUN RANGE DURING THE SUMMER SEASONS.</t>
  </si>
  <si>
    <t xml:space="preserve">
Sales Order #: 2283314657
RTD Screening Code: DOD
Reason for Rejection: Y9</t>
  </si>
  <si>
    <t>2YTLY360372474</t>
  </si>
  <si>
    <t>TROUP PD WOULD LIKE TO ACQUIRE THIS ITEM FOR THE USE OF TACTICAL RESPONSE CALLS. THE TRANSPORTING OF ITEMS ACQUIRED BY THE LESO PROGRAM. THIS ITEM WOULD BE OUTFITTED WITH LAW ENFORCEMENT EQUIPMENT AND LIGHTS.</t>
  </si>
  <si>
    <t xml:space="preserve">
Sales Order #: 2270116897
RTD Screening Code: DOD
Reason for Rejection: Y9</t>
  </si>
  <si>
    <t>2YTLY360230878</t>
  </si>
  <si>
    <t>TROUP PD WOULD LIKE TO ACQUIRE THESE ITEMS FOR THE USE OF MAINTAINING THE VEHICLES AND OTHER BATTERY-OPERATED EQUIPMENT OWNED BY THE POLICE DEPARTMENT.</t>
  </si>
  <si>
    <t xml:space="preserve">
Sales Order #: 2268966264
RTD Screening Code: DOD
Reason for Rejection: YG</t>
  </si>
  <si>
    <t>2YTLY360029881</t>
  </si>
  <si>
    <t>THIS ITEM IS BEING REQUESTED BY THE TRENTON POLICE DEPARTMENT FOR USE BY OFFICERS IN EMERGENCY SITUATIONS WHEN AN OFFICER OR CIVILIAN REQUIRES A TOURNIQUET TO PREVENT BLOOD LOSS AND POTENTIAL LOSS OF LIFE.</t>
  </si>
  <si>
    <t>2YTLX760796367</t>
  </si>
  <si>
    <t>TRENTON PD (2YTLX7)</t>
  </si>
  <si>
    <t>THE TREMPEALEAU COUNTY SHERIFF'S OFFICE IS REQUESTING 5 REFLEX SIGHTS TO BE PLACED ON OUR PATROL RIFLES. THESE WILL INCREASE SAFETY IN OUR COUNTY BY ALLOWING DEPUTIES TO BE MORE ACCURATE.</t>
  </si>
  <si>
    <t xml:space="preserve">
Sales Order #: 2285179921
RTD Screening Code: DOD
Reason for Rejection: Y9</t>
  </si>
  <si>
    <t>2YTLXY61005318</t>
  </si>
  <si>
    <t>TREMPEALEAU CSO (2YTLXY)</t>
  </si>
  <si>
    <t>WOULD BE ISSUED TO OFFICERS IN AN EMERGENCY PREPAREDNESS PLAN. FOOT SEARCHES FOR WEATHER RELATED DEATHS</t>
  </si>
  <si>
    <t xml:space="preserve">
Sales Order #: 2285369364
RTD Screening Code: GSA
Reason for Rejection: Y9</t>
  </si>
  <si>
    <t>2YTLXK60795832</t>
  </si>
  <si>
    <t>TRAFFORD PD (2YTLXK)</t>
  </si>
  <si>
    <t>THIS ITEM WILL BE USED BY OFFICERS ON THE DEPARTMENT. IT WILL BE USED TO CHARGE VEHICLES ON THE FLEET.</t>
  </si>
  <si>
    <t>2YTLV360796867</t>
  </si>
  <si>
    <t>ITEMS WILL BE USED BY OFFICERS ON THE DEPARTMENT. THE ITEMS WILL BE ISSUED OUT TO MEMBERS OF THE SWAT TEAM TO BE USED ON OPERATIONS</t>
  </si>
  <si>
    <t>2YTLV360796859</t>
  </si>
  <si>
    <t>THIS ITEM WILL BE USED BY OFFICERS ON THE DEPARTMENT. THE ITEM WILL BE USED IN THE FITNESS CENTER OF THE DEPARTMENT TO HELP PROMOTE FITNESS FOR DUTY.</t>
  </si>
  <si>
    <t xml:space="preserve">
Sales Order #: 2285713627
RTD Screening Code: DOD
Reason for Rejection: Y9</t>
  </si>
  <si>
    <t>2YTLV360796038</t>
  </si>
  <si>
    <t>THESE WOULD BE USED BY OUR OFFICERS FOR LONG DISTANCE RANGING. THEY WILL BE ISSUED TO OUR SNIPER UNIT FOR LONG RANGE SHOOTING.</t>
  </si>
  <si>
    <t xml:space="preserve">
Sales Order #: 2285178160
RTD Screening Code: DOD
Reason for Rejection: Y9</t>
  </si>
  <si>
    <t>2YTLV360725020</t>
  </si>
  <si>
    <t>WE WOULD USE THESE ON OUR POLICE DEPARTMENT. WE WOULD ISSUE THESE TO MEMBERS OF OUR SWAT TEAM AND SNIPER TEAM FOR SURVEILLANCE AND RANGING DISTANCES DURING TRAINING AND EMERGENCY OPERATIONS.</t>
  </si>
  <si>
    <t xml:space="preserve">
Sales Order #: 2285222591
RTD Screening Code: DOD
Reason for Rejection: Y9</t>
  </si>
  <si>
    <t>2YTLV360655236</t>
  </si>
  <si>
    <t>THESE ITEMS WILL BE USED BY OFFICERS ON THE DEPARTMENT. THEY WILL BE ISSUED TO MEMBERS OF THE SNIPER UNIT.</t>
  </si>
  <si>
    <t xml:space="preserve">
Sales Order #: 2283434811
RTD Screening Code: DOD
Reason for Rejection: YG</t>
  </si>
  <si>
    <t>2YTLV360655157</t>
  </si>
  <si>
    <t xml:space="preserve">
Sales Order #: 2281143817
RTD Screening Code: DOD
Reason for Rejection: Y9</t>
  </si>
  <si>
    <t>2YTLV360160185</t>
  </si>
  <si>
    <t xml:space="preserve">
Sales Order #: 2281143825
RTD Screening Code: DOD
Reason for Rejection: Y9</t>
  </si>
  <si>
    <t>2YTLV360160181</t>
  </si>
  <si>
    <t xml:space="preserve">
Sales Order #: 2281143828
RTD Screening Code: DOD
Reason for Rejection: Y9</t>
  </si>
  <si>
    <t>2YTLV360160178</t>
  </si>
  <si>
    <t>WE WOULD USE THIS ON OUR POLICE DEPARTMENT. WE WOULD USE THIS DURING NIGHT TIME OPERATIONS, EMERGENCIES, AND SCENES WHERE LIGHT NEEDED TO BE INTRODUCED INTO THE AREA.</t>
  </si>
  <si>
    <t xml:space="preserve">
Sales Order #: 2281143816
RTD Screening Code: DOD
Reason for Rejection: YH</t>
  </si>
  <si>
    <t>2YTLV360090150</t>
  </si>
  <si>
    <t>WE WOULD USE THIS ON OUR POLICE DEPARTMENT. OUR OFFICERS WOULD KEEP THIS IN OUR PATROL CAR AND USE DURING MEDICAL EMERGENCIES.</t>
  </si>
  <si>
    <t xml:space="preserve">
Sales Order #: 2281143815
RTD Screening Code: DOD
Reason for Rejection: YH</t>
  </si>
  <si>
    <t>2YTLV360090148</t>
  </si>
  <si>
    <t xml:space="preserve">
Sales Order #: 2281143824
RTD Screening Code: DOD
Reason for Rejection: YH</t>
  </si>
  <si>
    <t>2YTLV360020149</t>
  </si>
  <si>
    <t xml:space="preserve">
Sales Order #: 2281143829
RTD Screening Code: DOD
Reason for Rejection: YH</t>
  </si>
  <si>
    <t>2YTLV360020147</t>
  </si>
  <si>
    <t>WE ARE RELOCATING THE TOCCOA POLICE DEPARTMENT AND ARE IN NEED OF A GENERATOR TO SUPPLY BACK-UP POWER TO OUR NEW BUILDING.</t>
  </si>
  <si>
    <t xml:space="preserve">
Sales Order #: 2281707356
RTD Screening Code: DOD
Reason for Rejection: Y9</t>
  </si>
  <si>
    <t>2YTLVU60302169</t>
  </si>
  <si>
    <t>THESE ITEMS WILL BE USED BY THE TIFFIN POLICE DEPARTMENT, SPECIFICALLY OUR SPECIAL RESPONSE TEAM. THEY WILL BE USED FOR NIGHT OPERATIONS ALONG WITH OUT NIGHT VISION DURING CALL OUTS ON SRT OPERATIONS. THESE WILL ASSIST US IN NIGHT CALL OUTS.</t>
  </si>
  <si>
    <t xml:space="preserve">
Sales Order #: 2280995229
RTD Screening Code: DOD
Reason for Rejection: Y9</t>
  </si>
  <si>
    <t>ILLUMINATOR,INFRARED</t>
  </si>
  <si>
    <t>2YTLTP60160627</t>
  </si>
  <si>
    <t>TIFFIN POLICE DEPT (2YTLTP)</t>
  </si>
  <si>
    <t xml:space="preserve">
Sales Order #: 2280995238
RTD Screening Code: DOD
Reason for Rejection: Y9</t>
  </si>
  <si>
    <t>2YTLTP60160626</t>
  </si>
  <si>
    <t>THE THURSTON COUNTY SHERIFFS OFFICER, SERVING THE WASHINGTON STATE CAPITAL COUNTY, REQUESTS THIS VEHICLE FOR THE USE AS AN EMERGENCY OPERATIONS VEHICLE. IT WILL SUPPORT SWAT OPERATIONS, MOBILE EOC FUNCTIONS, SEARCH AND RESCUE, DIVE RESCUE MISSIONS, EMERGENCY MANAGEMENT PURPOSES AND COUNTER TERRORISM FIELD OPERATIONS. THE VEHICLE WILL PROVIDE SECURE, ON SCENE COMMAND AND CONTROL DURING HIGH RISK, MULTI-AGENCY INCIDENT.</t>
  </si>
  <si>
    <t>2YTLTK60442706</t>
  </si>
  <si>
    <t>THURSTON COUNTY SHERIFF'S OFFICE (2YTLTK)</t>
  </si>
  <si>
    <t>2YTLTK60442705</t>
  </si>
  <si>
    <t>THE THOMAS COUNTY SHERIFF'S OFFICE WOULD USE THESE IN HARD TO REACH RURAL AREAS WHILE SEARCHING FOR CRIMINALS, MISSING PERSONS OR CRIME SCENES. THESE WOULD ALSO BE USED DURING LARGE CROWD EVENTS.</t>
  </si>
  <si>
    <t xml:space="preserve">
Sales Order #: 2283507446
RTD Screening Code: DOD
Reason for Rejection: Y9</t>
  </si>
  <si>
    <t>2YTLSU60513176</t>
  </si>
  <si>
    <t>THE TEXARKANA POLICE DEPARTMENT WILL USE THE PORTABLE TOOL KITS TO SUPPORT FIELD OPERATIONS, EVIDENCE RECOVERY, PROPERTY PRESERVATION, AND RAPID RESPONSE DURING CRITICAL INCIDENTS. THESE KITS WILL PROVIDE OFFICERS WITH ESSENTIAL TOOLS TO ADDRESS MECHANICAL ISSUES, SECURE SCENES, AND ASSIST IN TRAINING SCENARIOS, ENHANCING OPERATIONAL READINESS AND EFFICIENCY IN DYNAMIC ENVIRONMENTS. FOR LAW ENFORCEMENT ONLY.</t>
  </si>
  <si>
    <t xml:space="preserve">
Sales Order #: 2286425669
RTD Screening Code: DOD
Reason for Rejection: Y9</t>
  </si>
  <si>
    <t>2YTLR860867199</t>
  </si>
  <si>
    <t>TEXARKANA POLICE DEPARTMENT WILL USE STORAGE CONTAINER FOR, SECURE STORAGE, TRANSPORT, AND DEPLOYMENT OF ROBOTIC EQUIPMENT AND RELATED ASSETS USED IN COUNTER TERRORISM, NARCO-TERRORISM, AND RESCUE OPERATIONS AND TRAINING. THIS CONTAINER WILL PROTECT SENSITIVE EQUIPMENT, MAINTAIN READINESS, AND SUPPORT RAPID RESPONSE FOR CRITICAL INCIDENTS AND MULTI-AGENCY OPERATIONS, LAW ENFORCEMENT USE ONLY</t>
  </si>
  <si>
    <t xml:space="preserve">
Sales Order #: 2284553336
RTD Screening Code: DOD
Reason for Rejection: YH</t>
  </si>
  <si>
    <t>2YTLR860584535</t>
  </si>
  <si>
    <t xml:space="preserve">
Sales Order #: 2283429812
RTD Screening Code: DOD
Reason for Rejection: Y9</t>
  </si>
  <si>
    <t>2YTLR860583634</t>
  </si>
  <si>
    <t>2YTLR860583632</t>
  </si>
  <si>
    <t xml:space="preserve">
Sales Order #: 2283429809
RTD Screening Code: DOD
Reason for Rejection: Y9</t>
  </si>
  <si>
    <t>2YTLR860583631</t>
  </si>
  <si>
    <t xml:space="preserve">
Sales Order #: 2283007665
RTD Screening Code: DOD
Reason for Rejection: Y9</t>
  </si>
  <si>
    <t>ISU-90 WITH 699 KIT</t>
  </si>
  <si>
    <t>2YTLR860372443</t>
  </si>
  <si>
    <t xml:space="preserve">
Sales Order #: 2283007710
RTD Screening Code: DOD
Reason for Rejection: Y9</t>
  </si>
  <si>
    <t>2YTLR860372442</t>
  </si>
  <si>
    <t xml:space="preserve">
Sales Order #: 2281895561
RTD Screening Code: DOD
Reason for Rejection: Y9</t>
  </si>
  <si>
    <t>2YTLR860301585</t>
  </si>
  <si>
    <t>TO BE USED FOR SPECIAL EVENTS AND CAMPUS PATROL.</t>
  </si>
  <si>
    <t xml:space="preserve">
Sales Order #: 2285872672
RTD Screening Code: DOD
Reason for Rejection: Y9</t>
  </si>
  <si>
    <t>2YTTAQ60866574</t>
  </si>
  <si>
    <t>TENNESSEE TECH PD HI_ED (2YTTAQ)</t>
  </si>
  <si>
    <t>USED AT SPORTING EVENTS TO KEEP OFFICERS HYDRATED</t>
  </si>
  <si>
    <t xml:space="preserve">
Sales Order #: 2281230560
RTD Screening Code: DOD
Reason for Rejection: YG</t>
  </si>
  <si>
    <t>COOLER, WATER</t>
  </si>
  <si>
    <t>DSCOOLER0</t>
  </si>
  <si>
    <t>2YTTAQ60160556</t>
  </si>
  <si>
    <t>TO BE USED IN BREAK ROOM FOR STROAGE OF OFFICERS' FOOD WHILE ON DUTY</t>
  </si>
  <si>
    <t xml:space="preserve">
Sales Order #: 2281230565
RTD Screening Code: DOD
Reason for Rejection: Y9</t>
  </si>
  <si>
    <t>2YTTAQ60160554</t>
  </si>
  <si>
    <t>TO MARK AND LABEL ITEMS THAT ARE OWNED BY POLICE DEPARTMENT.</t>
  </si>
  <si>
    <t xml:space="preserve">
Sales Order #: 2281230544
RTD Screening Code: DOD
Reason for Rejection: YG</t>
  </si>
  <si>
    <t>2YTTAQ60160553</t>
  </si>
  <si>
    <t>TO HELP MAKE AN IMPOUND OR SECURITY LOT FOR LAW ENFORCEMENT ITEMS OR SEIZED ITEMS TO BE HELD IN CONTROLLED AREA.</t>
  </si>
  <si>
    <t>FENCING, FENCES, GATES AND COMPONENTS</t>
  </si>
  <si>
    <t>DSFENCING</t>
  </si>
  <si>
    <t>2YTTAQ60160552</t>
  </si>
  <si>
    <t>FOR USE IN DESTRUCTION OF OLD AMMUNITION, EVIDENCE, OR SAFELY DISCHARGE A FIREARM</t>
  </si>
  <si>
    <t xml:space="preserve">
Sales Order #: 2281230576
RTD Screening Code: GSA
Reason for Rejection: YD</t>
  </si>
  <si>
    <t>BULLET TRAP</t>
  </si>
  <si>
    <t>2YTTAQ60160551</t>
  </si>
  <si>
    <t>FOR DAILY PATROL EQUIPMENT SPECIFICALLY FOR ARRESTING SUSPECTS</t>
  </si>
  <si>
    <t xml:space="preserve">
Sales Order #: 2281230570
RTD Screening Code: DOD
Reason for Rejection: YD</t>
  </si>
  <si>
    <t>CASE,HANDCUFFS</t>
  </si>
  <si>
    <t>2YTTAQ60160550</t>
  </si>
  <si>
    <t>USE FOR CAMPUS PATROL, ESPECIALLY IN INACCESSIBLE AREAS WITH PATROL CARS.</t>
  </si>
  <si>
    <t xml:space="preserve">
Sales Order #: 2281230562
RTD Screening Code: DOD
Reason for Rejection: Y9</t>
  </si>
  <si>
    <t>2YTTAQ60160549</t>
  </si>
  <si>
    <t>USED FOR INSTALLING FENCING AND DEVELOPING IMPOUND LOT AND DEPARTMENT RENOVATIONS</t>
  </si>
  <si>
    <t xml:space="preserve">
Sales Order #: 2281230572
RTD Screening Code: DOD
Reason for Rejection: Y9</t>
  </si>
  <si>
    <t>SAW,CIRCULAR,GASOLINE,PORTABLE</t>
  </si>
  <si>
    <t>2YTTAQ60090555</t>
  </si>
  <si>
    <t>USED IN BREAK ROOM FOR WHILE OFFICERS ARE STAGING FOR SHIFT OR   TAKING LUNCH.</t>
  </si>
  <si>
    <t xml:space="preserve">
Sales Order #: 2281230550
RTD Screening Code: DOD
Reason for Rejection: Y9</t>
  </si>
  <si>
    <t>SOFA</t>
  </si>
  <si>
    <t>DSSOFA000</t>
  </si>
  <si>
    <t>2YTTAQ60070557</t>
  </si>
  <si>
    <t>THIS VEHICLE WOULD HELP THE POLICE DEPARTMENT WITH THE ABILITY TO RESPOND TO EMERGENCIES AND NATURAL DISASTERS AND HIGH-RISK SITUATIONS QUICKER. THIS VEHICLE WOULD HELP WITH MUTUAL AID FOR ANYONE LOST IN THE MOUNTAINS. THE VEHICLE WOULD HELP FIGHT THE WAR ON DRUGS. TELLICO PLAINS POLICE DEPARTMENT ASSUMES ALL COST AND EXPENSE.</t>
  </si>
  <si>
    <t xml:space="preserve">
Sales Order #: 2270116905
RTD Screening Code: DOD
Reason for Rejection: YG</t>
  </si>
  <si>
    <t>2YTLRG60230782</t>
  </si>
  <si>
    <t>TELLICO PLAINS POLICE DEPT (2YTLRG)</t>
  </si>
  <si>
    <t>THIS VEHICLE WOULD HELP THE POLICE DEPARTMENT FIGHT AGAINST ILLEGAL DRUGS. THE SIZE OF THE VEHICLE WOULD HELP WITH DISCREET SURVEILLANCE. THIS VEHICLE WOULD HELP IMPROVE EFFICIENCY AND SUPPORTS SUSTAINED EFFORTS TO REDUCE DRUGS. TELLICO PLAINS POLICE DEPARTMENT ASSUMES ALL COST AND EXPENSES.</t>
  </si>
  <si>
    <t xml:space="preserve">
Sales Order #: 2281570812
RTD Screening Code: DOD
Reason for Rejection: Y9</t>
  </si>
  <si>
    <t>2YTLRG60160818</t>
  </si>
  <si>
    <t>THESE VEHICLES WOULD MOVE PERSONAL AND EQUIPMENT AROUND THE RANGE. THESE VEHICLES WOULD IMPROVE SAFETY BY REDUCING FOOT MOVEMENT OVER LONG DISTANCES TO HELP REDUCE THE WAR ON DRUGS. TELLICO PLAINS POLICE DEPARTMENT ASSUMES ALL COST AND EXPENSES.</t>
  </si>
  <si>
    <t xml:space="preserve">
Sales Order #: 2270116903
RTD Screening Code: DOD
Reason for Rejection: Y9</t>
  </si>
  <si>
    <t>2YTLRG60160790</t>
  </si>
  <si>
    <t>THIS TRUCK IS ESSENTIAL FOR OUR POLICE DEPARTMENT FOR EMERGENCY AND DISASTER RESPONSE INCLUDING NATURAL DISASTER, SEVERE WEATHER INCIDENTS, AND SEARCH AND RESCUE OPERATIONS. ITS GROUND CLEARANCE WILL ALLOW OFFICERS TO OPERATE EFFECTIVELY IN FLOODED, RURAL, OR OFF-ROAD AREAS WHERE STANDARD PATROL UNITS CANNOT ACCESS SAFELY. THIS TRUCK WOULD BE USED FOR TRANSPORTING MOBILE COMMAND RESOURCES. POLICE DEPT WILL ASSUME ALL COSTS AND EXPENSES.</t>
  </si>
  <si>
    <t xml:space="preserve">
Sales Order #: 2281217913
RTD Screening Code: DOD
Reason for Rejection: Y9</t>
  </si>
  <si>
    <t>2YTLRG60160384</t>
  </si>
  <si>
    <t>THESE VEHICLES WOULD AID IN NATURAL DISASTERS, OR HELP AIDING ANYONE LOST IN THE MOUNTAINS. TELLICO PLAINS POLICE DEPARTMENT ASSUMES ALL COST AND EXPENSES.</t>
  </si>
  <si>
    <t xml:space="preserve">
Sales Order #: 2278974147
RTD Screening Code: DOD
Reason for Rejection: YH</t>
  </si>
  <si>
    <t>2YTLRG53256888</t>
  </si>
  <si>
    <t>THIS VEHICLE WOULD AID THE TELLICO PLAINS POLICE DEPARTMENT IN THE WAR ON DRUGS. TELLICO PLAINS POLICE DEPARTMENT ASSUMES ALL COST AND EXPENSES.</t>
  </si>
  <si>
    <t xml:space="preserve">
Sales Order #: 2278965505
RTD Screening Code: DOD
Reason for Rejection: YH</t>
  </si>
  <si>
    <t>2YTLRG53256887</t>
  </si>
  <si>
    <t>THIS VEHICLE IS NEEDED TO AID IN NATURAL DISASTERS AND WATER RESCUES, AND TO PULL TELLICO PLAINS POLICE DEPARTMENTS UTV TO ASSIST WITH LOST HIKERS. TELLICO PLAINS POLICE DEPARTMENT WILL ASSUME ALL COSTS AND EXPENSES.</t>
  </si>
  <si>
    <t xml:space="preserve">
Sales Order #: 2276990959
RTD Screening Code: DOD
Reason for Rejection: YH</t>
  </si>
  <si>
    <t>2YTLRG52834489</t>
  </si>
  <si>
    <t>THE TEHAMA COUNTY SHERIFF'S OFFICE WILL USE SAFETY GLASSES, REVI AS REPLACEMENT SAFETY GLASSES FOR RANGE TRAINING EQUIPMENT AND GLASSES WILL BE ISSUED TO DEPUTIES TO REPLACE SCRATCHED OR BROKEN SAFETY GLASSES USED ON PATROL.</t>
  </si>
  <si>
    <t xml:space="preserve">
Sales Order #: 2285676483
RTD Screening Code: DOD
Reason for Rejection: Y9</t>
  </si>
  <si>
    <t>2YTLQ760866830</t>
  </si>
  <si>
    <t>THE TEHAMA COUNTY SHERIFF'S OFFICE WILL USE MAT, WRESTLING TO IMPROVE AND UPGRADE THE DEPUTY DEFENSIVE TACTICS TRAINING AREA, USED FOR DEPARTMENT AND MANDATED TRAINING CLASSES.</t>
  </si>
  <si>
    <t xml:space="preserve">
Sales Order #: 2285864880
RTD Screening Code: DOD
Reason for Rejection: Y9</t>
  </si>
  <si>
    <t>MAT,WRESTLING</t>
  </si>
  <si>
    <t>2YTLQ760866463</t>
  </si>
  <si>
    <t>THE TEHAMA COUNTY SHERIFF'S OFFICE WILL USE HEATER, WATER AND RATION IN THE FIELD FOR DEPUTY USE WHEN ON EXTENDED CALLS FOR SERVICE OR SEARCH AND RESCUE OPERATIONS TO PROVIDE HOT WATER FOR COFFEE AND FOOD.</t>
  </si>
  <si>
    <t xml:space="preserve">
Sales Order #: 2285526622
RTD Screening Code: GSA
Reason for Rejection: YH</t>
  </si>
  <si>
    <t>HEATER,WATER AND RATION</t>
  </si>
  <si>
    <t>2YTLQ760795910</t>
  </si>
  <si>
    <t>THE TEHAMA COUNTY SHERIFF'S OFFICE WILL USE SWEEPER, MAGNET, SELF PROPELLED AS SAFETY AND CLEAN UP TOOLS FOR DEPUTY USE TO FIND FOREIGN OBJECTS IN OUR DEPARTMENT PARKING LOTS THAT ARE HARMFUL TO VEHICLE TIRES.</t>
  </si>
  <si>
    <t>2YTLQ760655272</t>
  </si>
  <si>
    <t>THE TEHAMA COUNTY SHERIFF'S OFFICE WILL USE GLOVES, BARBED TAPE AS PPE FOR DEPUTIES ADDING OR REPAIRING FENCES SECURING DEPARTMENT PROPERTIES AND FOR HANDLING INJURED WILD ANIMALS AT PATROL CALLS FOR SERVICE.</t>
  </si>
  <si>
    <t xml:space="preserve">
Sales Order #: 2285179986
RTD Screening Code: DOD
Reason for Rejection: Y9</t>
  </si>
  <si>
    <t>2YTLQ760655250</t>
  </si>
  <si>
    <t>THE TEHAMA COUNTY SHERIFF'S OFFICE FIRST AID KIT, GENERAL PURPOSE WILL BE USED BY DEPUTIES AS EMERGENCY RESPONSE VEHICLE FIRST AID KITS.</t>
  </si>
  <si>
    <t xml:space="preserve">
Sales Order #: 2285180139
RTD Screening Code: DOD
Reason for Rejection: Y9</t>
  </si>
  <si>
    <t>2YTLQ760654690</t>
  </si>
  <si>
    <t>THE TEHAMA COUNTY SHERIFF'S OFFICE WILL USE FANS, AIR CIRCULATORS AND BLOWER EQUIPMENT IN THE DEPUTY WORK SPACES TO PROVIDE ADDITIONAL AIR CIRCULATION AND COOLING DURING SUMMER TIME HIGH TEMPERATURES.</t>
  </si>
  <si>
    <t xml:space="preserve">
Sales Order #: 2285163527
RTD Screening Code: RTD2
Reason for Rejection: YH</t>
  </si>
  <si>
    <t>2YTLQ760645433</t>
  </si>
  <si>
    <t>THE TEHAMA COUNTY SHERIFF'S OFFICE WILL USE SPILL CLEAN UP KIT TO ABSORB OIL AND DIRTY WATER AT SHERIFF'S OFFICE FACILITIES.</t>
  </si>
  <si>
    <t>SPILL CLEAN-UP KIT,</t>
  </si>
  <si>
    <t>2YTLQ760442641</t>
  </si>
  <si>
    <t>THE TEHAMA COUNTY SHERIFF'S OFFICE WILL USE TOOLBOX TO STORE TOOLS USED TO FIX AND MAINTAIN PATROL UNITS AT THE SHERIFF'S AUTO SHOP AND PATROL BOATS AT THE BOATING STORAGE FACILITY.</t>
  </si>
  <si>
    <t xml:space="preserve">
Sales Order #: 2282522550
RTD Screening Code: DON
Reason for Rejection: Y9</t>
  </si>
  <si>
    <t>2YTLQ760371916</t>
  </si>
  <si>
    <t>THE TEHAMA COUNTY SHERIFFS OFFICE WILL USE TOOL AND HARDWARE BOXES AS TOOLS TO FIX AND MAINTAIN SHERIFF BUILDINGS AND FACILITIES.  THE ITEMS WILL BE STORED AT THE MAIN OFFICE, JAIL FACILITY AND OR THE OFFICE OF EMERGENCY SERVICES STORAGE AREA.</t>
  </si>
  <si>
    <t xml:space="preserve">
Sales Order #: 2274476584
RTD Screening Code: DOD
Reason for Rejection: Y9</t>
  </si>
  <si>
    <t>2YTLQ760301858</t>
  </si>
  <si>
    <t xml:space="preserve">
Sales Order #: 2282336122
RTD Screening Code: DOD
Reason for Rejection: Y9</t>
  </si>
  <si>
    <t>2YTLQ760301857</t>
  </si>
  <si>
    <t>THE TEHAMA COUNTY SHERIFF'S OFFICE WILL USE WHEEL, CASTER TO MAKE REPAIRS ON DEPUTY TOOL BOXES USED FOR VEHICLE MAINTENANCE AND REPAIR.  CASTER WILL BE USED TO BUILD ROLLING PALLET AND SHELVES FOR STORAGE OF DEPARTMENT GEAR AND EQUIPMENT USED BY DEPUTIES.</t>
  </si>
  <si>
    <t xml:space="preserve">
Sales Order #: 2282934597
RTD Screening Code: RTD2
Reason for Rejection: YH</t>
  </si>
  <si>
    <t>WHEEL,CASTER</t>
  </si>
  <si>
    <t>2YTLQ760292411</t>
  </si>
  <si>
    <t>THE TEHAMA COUNTY SHERIFF'S OFFICE WILL USE HAND CART IN OUR RECORDS, JAIL BOOKING, PATROL AND EMERGENCY OPERATION CENTER FOR EMPLOYEE USE DURING DAILY OPERATIONS.</t>
  </si>
  <si>
    <t xml:space="preserve">
Sales Order #: 2281548221
RTD Screening Code: DOD
Reason for Rejection: Y9</t>
  </si>
  <si>
    <t>2YTLQ760230994</t>
  </si>
  <si>
    <t>THE TEHAMA COUNTY SHERIFF'S OFFICE WILL USE FLASHLIGHT, LAZERBRIGHT AS ISSUED EQUIPMENT TO DEPUTIES FOR USE IN NO LIGHT AND LOW LIGHT PATROL AND EMERGENCY OPERATIONS.</t>
  </si>
  <si>
    <t xml:space="preserve">
Sales Order #: 2281060181
RTD Screening Code: DOD
Reason for Rejection: Y9</t>
  </si>
  <si>
    <t>FLASHLIGHT,LAZERBRI</t>
  </si>
  <si>
    <t>2YTLQ760160460</t>
  </si>
  <si>
    <t>THE TEHAMA COUNTY SHERIFF'S OFFICE WILL USE THE FLASHLIGHT,LAZERBRI IN OUR SWAT, PATROL AND SEARCH AND RESCUE UNIT.  THE ITEM WILL BE USED DURING LAW ENFORCEMENT AND RESCUE MISSIONS.</t>
  </si>
  <si>
    <t xml:space="preserve">
Sales Order #: 2281060177
RTD Screening Code: DOD
Reason for Rejection: Y9</t>
  </si>
  <si>
    <t>2YTLQ760160433</t>
  </si>
  <si>
    <t>THIS LAW ENFORCEMENT AGENCY WOULD UTILIZE THIS ITEM TO TRANSPORT EMERGENCY EQUIPMENT TO AND FROM CRITICAL INCIDENTS.  THIS ITEM WOULD BE USED BY SWORN LAW ENFORCEMENT OFFICERS ONLY.  THANK YOU FOR YOUR CONSIDERATION.</t>
  </si>
  <si>
    <t>2YTLQT60736077</t>
  </si>
  <si>
    <t>THIS LAW ENFORCEMENT AGENCY WOULD UTILIZE THESE ITEMS FOR IT'S SPECIAL RESPONSE TEAM FOR RESPONSE TO CRITICAL INCIDENTS.  THEY WOULD BE USED BY SWORN LAW ENFORCEMENT UNITS.  THANK YOU FOR YOUR CONSIDERATION.</t>
  </si>
  <si>
    <t xml:space="preserve">
Sales Order #: 2284086598
RTD Screening Code: ACCM
Reason for Rejection: YG</t>
  </si>
  <si>
    <t>FACEPIECE,BREATHING</t>
  </si>
  <si>
    <t>2YTLQT60583962</t>
  </si>
  <si>
    <t xml:space="preserve">
Sales Order #: 2284086610
RTD Screening Code: DOD
Reason for Rejection: YG</t>
  </si>
  <si>
    <t>2YTLQT60583960</t>
  </si>
  <si>
    <t xml:space="preserve">
Sales Order #: 2284086614
RTD Screening Code: GSA
Reason for Rejection: YG</t>
  </si>
  <si>
    <t>2YTLQT60583958</t>
  </si>
  <si>
    <t>THIS LAW ENFORCEMENT AGENCY WOULD UTILIZE THESE ITEMS FOR IT'S SPECIAL RESPONSE TEAM DURING HIGH RISK CRITICAL INCIDENTS.  THE ITEMS WOULD BE USED BY SWORN LAW ENFORCEMENT OFFICERS ONLY.  THIS AGENCY IS AWARE OF AND ACCEPTS THE CONDITION OF THESE ITEMS AS STATED.  THANK YOU FOR YOUR CONSIDERATION.</t>
  </si>
  <si>
    <t xml:space="preserve">
Sales Order #: 2281671646
RTD Screening Code: DOD
Reason for Rejection: Y9</t>
  </si>
  <si>
    <t>MAGNIFIER,WEAPON SIGHT</t>
  </si>
  <si>
    <t>2YTLQT60441066</t>
  </si>
  <si>
    <t>THIS LAW ENFORCEMENT AGENCY WOULD UTILIZE THIS VEHICLE TO RESPOND TO AND FROM EMERGENCY SCENES AND CRITICAL INCIDENTS.  THIS WOULD BE USED BY SWORN LAW ENFORCEMENT UNITS.  THANK YOU FOR YOUR CONSIDERATION.</t>
  </si>
  <si>
    <t xml:space="preserve">
Sales Order #: 2283007816
RTD Screening Code: DOD
Reason for Rejection: YG</t>
  </si>
  <si>
    <t>2YTLQT60372480</t>
  </si>
  <si>
    <t>THIS LAW ENFORCEMENT AGENCY WOULD UTILIZE THESE ITEMS FOR IT'S SPECIAL RESPONSE TEAM FOR RESPONDING TO CRITICAL INCIDENTS IN INCLEMENT WEATHER CONDITIONS.  THEY WOULD BE USED BY SWORN LAW ENFORCEMENT UNITS.  THANK YOU FOR YOUR CONSIDERATION.</t>
  </si>
  <si>
    <t xml:space="preserve">
Sales Order #: 2283007726
RTD Screening Code: RTD2
Reason for Rejection: Y9</t>
  </si>
  <si>
    <t>2YTLQT60322491</t>
  </si>
  <si>
    <t>THIS LAW ENFORCEMENT AGENCY WOULD UTILIZE THIS ITEM FOR TRANSPORT OF EQUIPMENT AND PERSONNEL TO AND FROM EMERGENCY SCENES.  THIS WOULD BE UTILIZED BY SWORN LAW ENFORCEMENT OFFICERS.  THANK YOU FOR YOUR CONSIDERATION.</t>
  </si>
  <si>
    <t xml:space="preserve">
Sales Order #: 2282049459
RTD Screening Code: DOD
Reason for Rejection: Y9</t>
  </si>
  <si>
    <t>2YTLQT60231251</t>
  </si>
  <si>
    <t>THE TAYLORSVILLE POLICE DEPARTMENT IS REQUESTING THE PROCUREMENT OF AN UNMANNED AIRCRAFT SYSTEM (UAS) TO ENHANCE OPERATIONAL CAPABILITIES AND SUPPORT SEARCH AND RESCUE OPERATIONS AND DISASTER-RELATED EMERGENCY RESPONSE AND PREPAREDNESS. AN UNMANNED AIRCRAFT PROVIDES LAW ENFORCEMENT WITH A RAPID AERIAL ASSESSMENT TOOL THAT IMPROVES SITUATIONAL AWARENESS AND ALLOWS OFFICERS TO SAFELY EVALUATE ENVIRONMENTS THAT MAY BE DIFFICULT OR DANGEROUS TO ACCESS ON FOOT OR BY VEHICLE.</t>
  </si>
  <si>
    <t xml:space="preserve">
Sales Order #: 2285864009
Reason for Rejection: Y9</t>
  </si>
  <si>
    <t>2YTLQQ60795929</t>
  </si>
  <si>
    <t>TAYLORSVILLE PD (2YTLQQ)</t>
  </si>
  <si>
    <t>THIS EQUIPMENT WILL BE USED FOR LAW ENFORCEMENT PURPOSES ONLY BY THE SWEETWATER POLICE DEPARTMENT, SUCH AS PAROLING PARKING LOTS WITHIN OUR JURISDICTION DURING SPECIAL EVENTS.</t>
  </si>
  <si>
    <t>2YTLN160725144</t>
  </si>
  <si>
    <t>TRAILER WILL BE USED BY THE SWEETWATER POLICE DEPARTMENT FOR LAW ENFORCEMENT OPERATIONS TO TRANSPORT POLICE MOTORCYCLES TO SERVICE APPOINTMENTS AND OTHER POLICE EQUIPMENT AS NEEDED</t>
  </si>
  <si>
    <t xml:space="preserve">
Sales Order #: 2283790521
RTD Screening Code: DOD
Reason for Rejection: BQ</t>
  </si>
  <si>
    <t>2YTLN160513326</t>
  </si>
  <si>
    <t>LIGHTS WILL BE UTILIZED BY OFFICERS OF THE SWEETWATER POLICE DEPARTMENT FOR LAW ENFORCEMENT PURPOSES AS A SECONDARY LIGHTING SYSTEM ISSUED TO OFFICERS FOR LOW LIGHT POLICE OPERATIONS</t>
  </si>
  <si>
    <t xml:space="preserve">
Sales Order #: 2283353887
RTD Screening Code: DOD
Reason for Rejection: Y9</t>
  </si>
  <si>
    <t>2YTLN160513323</t>
  </si>
  <si>
    <t>MED KITS WILL BE UTILIZED BY THE SWEETWATER POLICE DEPARTMENT FOR LAW ENFORCEMENT OPERATIONS ONLY TO SUPPORT STAFF WITH TRAUMA KITS WHILE PERFORMING HIGH RISK POLICE ACTIVITIES.</t>
  </si>
  <si>
    <t xml:space="preserve">
Sales Order #: 2283353880
RTD Screening Code: DOD
Reason for Rejection: Z2</t>
  </si>
  <si>
    <t>MEDICAL KIT,STANDAR</t>
  </si>
  <si>
    <t>2YTLN160513322</t>
  </si>
  <si>
    <t>THIS EQUIPMENT WILL BE USED BY THE SWEETWATER POLICE DEPARTMENT FOR LAW ENFORCEMENT PURPOSES SUCH AS SEARCH AND RESCUE OPERATIONS, ETC.</t>
  </si>
  <si>
    <t xml:space="preserve">
Sales Order #: 2283352680
RTD Screening Code: DOD
Reason for Rejection: Y9</t>
  </si>
  <si>
    <t>2YTLN160513129</t>
  </si>
  <si>
    <t>THE CART WILL BE USED BY THE SWEETWATER POLICE DEPARTMENT FOR LAW ENFORCEMENT PURPOSES ONLY TO PATROL AREAS WHERE PATROL VEHICLES CAN NOT EASILY TRAVERSE AS WELL AS PATROL DUTIES AT SPECIAL EVENTS.</t>
  </si>
  <si>
    <t xml:space="preserve">
Sales Order #: 2283352686
RTD Screening Code: DOD
Reason for Rejection: Y9</t>
  </si>
  <si>
    <t>2YTLN160513079</t>
  </si>
  <si>
    <t>THE M4 M16 SIMUNITION CONVERSION KITS WILL BE USED BY THE SWEETWATER POLICE DEPARTMENT FOR LAW ENFORCEMENT PURPOSES TO FURTHER ENHANCE OUR TACTICAL TRAINING AND ENHANCE JOB PERFORMANCE</t>
  </si>
  <si>
    <t xml:space="preserve">
Sales Order #: 2283314683
RTD Screening Code: DOD
Reason for Rejection: Y9</t>
  </si>
  <si>
    <t>2YTLN160372527</t>
  </si>
  <si>
    <t>WOULD BE USED IN POLICE VEHICLES WHICH DO NOT HAVE COMPUTERS CURRENTLY, TO BE ABLE TO RUN LICENSE PLATE CHECKS AND CHECK PEOPLES BACKROUND FOR WARRANTS. WOULD BE USEDTO CONDUCT CRIMINAL INVESTIGATIONS AND RECORD CRIMINAL ACTIVITY. THESE WOULD IMPROVE OUR OFFICERS CAPABILITIES AND SAFETY BY PUTTING INFORMATION IMMEDIATELY AT THEIR FINGER TIPS INSTEAD OF WAITING FOR DISPATCH TO SEARCH.</t>
  </si>
  <si>
    <t xml:space="preserve">
Sales Order #: 2285178944
RTD Screening Code: DOD
Reason for Rejection: Y9</t>
  </si>
  <si>
    <t>2YTLNZ60654748</t>
  </si>
  <si>
    <t>SWEETSER PD (2YTLNZ)</t>
  </si>
  <si>
    <t>COMPUTERS FOR POLICE VEHICLES</t>
  </si>
  <si>
    <t>2YTLNZ60654698</t>
  </si>
  <si>
    <t>PATROLLING WALK WAYS AND TRAILS NOT ACCESSIBLE FOR REGULAR POLICE VEHICLES</t>
  </si>
  <si>
    <t>2YTLNZ60513311</t>
  </si>
  <si>
    <t>THE SWANTON POLICE DEPARTMENT IS REQUESTING ASSORTED TOOLS THROUGH THE 1033 PROGRAM TO SUPPORT DAILY OPERATIONAL READINESS, EQUIPMENT MAINTENANCE, AND COMMUNITY SAFETY RESPONSIBILITIES. THESE TOOLS WILL BE USED FOR VEHICLE UPKEEP, INSTALLATION AND REPAIR OF POLICE EQUIPMENT AND SUPPORTING EMERGENCY RESPONSE NEEDS WITHIN THE VILLAGE OF SWANTON. THESE RESOURCES WILL DIRECTLY ENHANCE OUR EFFICIENCY, READINESS, AND ABILITY TO SERVE THE RESIDENTS OF SWANTON.</t>
  </si>
  <si>
    <t xml:space="preserve">
Sales Order #: 2281985668
RTD Screening Code: DOD
Reason for Rejection: YG</t>
  </si>
  <si>
    <t>2YTLN060301749</t>
  </si>
  <si>
    <t>SWANTON POLICE DEPARTMENT (2YTLN0)</t>
  </si>
  <si>
    <t xml:space="preserve">
Sales Order #: 2281985681
RTD Screening Code: DOD
Reason for Rejection: YG</t>
  </si>
  <si>
    <t>2YTLN060301748</t>
  </si>
  <si>
    <t xml:space="preserve">
Sales Order #: 2277940886
RTD Screening Code: DOD
Reason for Rejection: Y9</t>
  </si>
  <si>
    <t>2YTLN060301746</t>
  </si>
  <si>
    <t xml:space="preserve">
Sales Order #: 2277940890
RTD Screening Code: DOD
Reason for Rejection: Y9</t>
  </si>
  <si>
    <t>2YTLN060301744</t>
  </si>
  <si>
    <t>THE VILLAGE OF SWAN POLICE DEPARTMENT WOULD LIKE TO UTILIZE THIS EQUIPMENT TO EFFECTIVELY TRANSPORT EQUIPMENT DURING LARGE EVENTS WITHIN THE VILLAGE, SUCH AS BARRICADES, TRAFFIC CONES, EQUIPMENT FOR OFFICERS, EQUIPMENT TO SET UP TEMPORARY STAGING AREAS. THIS EQUIPMENT WILL ALSO BE USED FOR OUR COMMUNITY ENGAGEMENT EVENTS AND LARGE-SCALE LIVE EXERCISE EVENTS.</t>
  </si>
  <si>
    <t xml:space="preserve">
Sales Order #: 2281985677
RTD Screening Code: DOD
Reason for Rejection: YG</t>
  </si>
  <si>
    <t>2YTLN060301743</t>
  </si>
  <si>
    <t xml:space="preserve">
Sales Order #: 2277940882
RTD Screening Code: DOD
Reason for Rejection: YG</t>
  </si>
  <si>
    <t>2YTLN060301742</t>
  </si>
  <si>
    <t>2YTLN060231750</t>
  </si>
  <si>
    <t>2YTLN060231747</t>
  </si>
  <si>
    <t>THE VILLAGE OF SWANTON POLICE DEPARTMENT IS REQUESTING THE ITEM FE649253450001 FOR USE BY THE SWANTON POLICE DEPARTMENT. THE ITEM LISTED WILL ASSIST OUR OFFICE IN RUNNING ESSENTIAL EQUIPMENT AT OUT POLICE STATION DURING POWER OUTAGES AND AT THE SWANTON POLICE DEPARTMENT'S REMOTE TRAINING FACILITIES.</t>
  </si>
  <si>
    <t xml:space="preserve">
Sales Order #: 2280363880
RTD Screening Code: DOD
Reason for Rejection: YG</t>
  </si>
  <si>
    <t>2YTLN060230907</t>
  </si>
  <si>
    <t>THE SUMTER COUNTY SHERIFF REQUESTS THIS ITEM TO BE USED BY LAW ENFORCEMENT TO MAINTAIN EQUIPMENT FOR RUST PREVENTION.</t>
  </si>
  <si>
    <t>2YTLLK60866635</t>
  </si>
  <si>
    <t>THE SUMTER COUNTY SHERIFF REQUESTS THIS ITEM TO BE USED BY LAW ENFORCEMENT AT OUT TRAINING FACILITY TO APPLY MOSQUITO CONTROL IN ORDER TO CONTROL THE SPREAD OF ILLNESS</t>
  </si>
  <si>
    <t xml:space="preserve">
Sales Order #: 2285569521
RTD Screening Code: DOD
Reason for Rejection: Y9</t>
  </si>
  <si>
    <t>SPRAYER AND DUSTER,</t>
  </si>
  <si>
    <t>2YTLLK60795936</t>
  </si>
  <si>
    <t xml:space="preserve">
Sales Order #: 2284436732
RTD Screening Code: DOD
Reason for Rejection: YH</t>
  </si>
  <si>
    <t>PIN,SHOULDER,HEADLE</t>
  </si>
  <si>
    <t>2YTLLK60584122</t>
  </si>
  <si>
    <t>THE SUMTER COUNTY SHERIFF REQUESTS THIS ITEM TO BE USED IN THE AVIATION UNIT TO BE USED MY DEPUTIES TO SUPPORT MAINTENANCE OF MILITARY SURPLUS HELICOPTERS.</t>
  </si>
  <si>
    <t>DESK</t>
  </si>
  <si>
    <t>DSDESK001</t>
  </si>
  <si>
    <t>2YTLLK60513491</t>
  </si>
  <si>
    <t>CAN UTILIZE THE LAP TOPS TO BE ASSIGNED TO INVESTIGATIONS UNIT. CAN DEPLOY WHEN DETECTIVES ARE ASSIGNED TO MAJOR CRIMES TASK FORCE DEPLOYMENTS. CAN ALSO UTILIZE TO SUPPLEMENT RESOURCE FOR OFFICERS ASSIGNED TO OUR EVIDENCE CONTROL UNIT.</t>
  </si>
  <si>
    <t xml:space="preserve">
Sales Order #: 2285177012
RTD Screening Code: DOD
Reason for Rejection: Y9</t>
  </si>
  <si>
    <t>2YTLK760654612</t>
  </si>
  <si>
    <t>SUMMIT POLICE DEPT (2YTLK7)</t>
  </si>
  <si>
    <t>NEEDED FOR SPECIAL RESPONSE TEAM FOR HIGH RISK WARRANT SERVICE IN OFFICIAL LEO CAPACITY.</t>
  </si>
  <si>
    <t>2YTLJF60090692</t>
  </si>
  <si>
    <t>NEEDED FOR AGENCY USE IN HIGH-RISK OPERATIONS</t>
  </si>
  <si>
    <t xml:space="preserve">
Sales Order #: 2280760605
RTD Screening Code: DOD
Reason for Rejection: Y9</t>
  </si>
  <si>
    <t>2YTLJF60090036</t>
  </si>
  <si>
    <t xml:space="preserve">
Sales Order #: 2280760604
RTD Screening Code: DOD
Reason for Rejection: Y9</t>
  </si>
  <si>
    <t>2YTLJF60090035</t>
  </si>
  <si>
    <t>REQUEST 8 LAPTOPS FOR LAW ENFORCEMENT USE.</t>
  </si>
  <si>
    <t xml:space="preserve">
Sales Order #: 2284622663
RTD Screening Code: DOD
Reason for Rejection: Y9</t>
  </si>
  <si>
    <t>2YTLH260654604</t>
  </si>
  <si>
    <t>STONE PARK POLICE DEPT (2YTLH2)</t>
  </si>
  <si>
    <t>IN NEED OF A VEHICLE TO TRANSPORT TACTICAL TEAM.  CURRENTLY ALL MEMBERS HAVE TO DRIVE INDIVIDUALLY TO A DEPLOYMENT.  BEING ABLE TO ARRIVE AS A TEAM AND DEPLOY WILL BE HUGE OFFICER SAFETY BENEFIT.  THIS AGENCY IS SMALL AND FUNDING CAN BE AN ENORMOUS OBSTACLE.</t>
  </si>
  <si>
    <t>2YTLG760866450</t>
  </si>
  <si>
    <t>STEWART COUNTY SHERIFF OFFICE (2YTLG7)</t>
  </si>
  <si>
    <t>STEWART COUNTY SHERIFF'S OFFICE IS REQUESTING THIS ITEM FOR USE AS A TACTICAL VEHICLE FOR TRANSPORTING THE AGENCY'S TACTICAL UNIT FOR DEPLOYMENT.  CURRENTLY NO FUNDS EXIST FOR PURCHASING THIS TYPE OF VEHICLE.  FROM A SAFETY STANDPOINT, ENABLES THE TEAM TO ARRIVE ON SCENE AS A COMPLETE UNIT.</t>
  </si>
  <si>
    <t xml:space="preserve">
Sales Order #: 2285178951
RTD Screening Code: DOD
Reason for Rejection: Y9</t>
  </si>
  <si>
    <t>2YTLG760655354</t>
  </si>
  <si>
    <t>FOR USE BY THIS LEA ONLY. FOR USE BY THIS LEAS OFFICERS IN ORDER TO TRANSPORT LAW ENFORCEMENT EQUIPMENT AND SUPPLIES.</t>
  </si>
  <si>
    <t xml:space="preserve">
Sales Order #: 2286618441
RTD Screening Code: RTD2
Reason for Rejection: BQ</t>
  </si>
  <si>
    <t>2YT1L560857428</t>
  </si>
  <si>
    <t>STATE POLICE TRENTON (2YT1L5)</t>
  </si>
  <si>
    <t>TO BE USED BY THIS LEA ONLY. TO BE USED BY THIS LEA TO SET UP COMPUTER WORKSTATIONS FOR THE LEOS OF LEA TO COMPLETE THEIR REPORTS AT OUR H.Q.</t>
  </si>
  <si>
    <t xml:space="preserve">
Sales Order #: 2282163696
RTD Screening Code: DOD
Reason for Rejection: BQ</t>
  </si>
  <si>
    <t>STAND, COMPUTER</t>
  </si>
  <si>
    <t>DSSTANDAR</t>
  </si>
  <si>
    <t>2YT1L560302300</t>
  </si>
  <si>
    <t>TO BE USED AS A COMPUTER STAND.</t>
  </si>
  <si>
    <t xml:space="preserve">
Sales Order #: 2282163697
RTD Screening Code: DOD
Reason for Rejection: BQ</t>
  </si>
  <si>
    <t>2YT1L560302297</t>
  </si>
  <si>
    <t>PSP WILL USE THESE FOR EYE PROTECTION WHILE CONDUCTING HIGH RISK WARRANT SERVICES AND BARRICADED GUN MEN CALLS.</t>
  </si>
  <si>
    <t xml:space="preserve">
Sales Order #: 2286242343
RTD Screening Code: DOD
Reason for Rejection: Y9</t>
  </si>
  <si>
    <t>2YTJA960936948</t>
  </si>
  <si>
    <t xml:space="preserve">
Sales Order #: 2286347630
RTD Screening Code: DOD
Reason for Rejection: Y9</t>
  </si>
  <si>
    <t>2YTJA960936946</t>
  </si>
  <si>
    <t>PSP WILL USE THIS ITEM FOR WOODED TERRAIN SEARCHES DURING HIGH RISK INCIDENTS.</t>
  </si>
  <si>
    <t xml:space="preserve">
Sales Order #: 2285864903
RTD Screening Code: DOD
Reason for Rejection: Y9</t>
  </si>
  <si>
    <t>2YTJA960866274</t>
  </si>
  <si>
    <t>PSP WILL USE THIS ITEM FOR WOODED TERRAIN SEARCHES AND HIGH RISK INCIDENTS.</t>
  </si>
  <si>
    <t xml:space="preserve">
Sales Order #: 2285864870
RTD Screening Code: DOD
Reason for Rejection: Y9</t>
  </si>
  <si>
    <t>2YTJA960866273</t>
  </si>
  <si>
    <t xml:space="preserve">
Sales Order #: 2285864868
RTD Screening Code: DOD
Reason for Rejection: Y9</t>
  </si>
  <si>
    <t>2YTJA960866272</t>
  </si>
  <si>
    <t>PSP WILL USE THESE FOR ALL HIGH RISK INCIDENTS THAT REQUIRE UAS ASSETS.  PSP SERT HAS 8 FAA CERTIFIED DRONE OPERATORS.</t>
  </si>
  <si>
    <t xml:space="preserve">
Sales Order #: 2285558613
RTD Screening Code: DOD
Reason for Rejection: YG</t>
  </si>
  <si>
    <t>2YTJA960726028</t>
  </si>
  <si>
    <t xml:space="preserve">
Sales Order #: 2285558615
RTD Screening Code: DOD
Reason for Rejection: YG</t>
  </si>
  <si>
    <t>2YTJA960726027</t>
  </si>
  <si>
    <t xml:space="preserve">
Sales Order #: 2285579529
RTD Screening Code: DOD
Reason for Rejection: YG</t>
  </si>
  <si>
    <t>2YTJA960726026</t>
  </si>
  <si>
    <t xml:space="preserve">
Sales Order #: 2285117354
RTD Screening Code: DOD
Reason for Rejection: Y9</t>
  </si>
  <si>
    <t>2YTJA960725431</t>
  </si>
  <si>
    <t>PSP WILL USE THESE FOR HIGH RISK BARRICADED GUN MEN CALLS.</t>
  </si>
  <si>
    <t xml:space="preserve">
Sales Order #: 2285081993
RTD Screening Code: DOD
Reason for Rejection: Y9</t>
  </si>
  <si>
    <t>2YTJA960725405</t>
  </si>
  <si>
    <t xml:space="preserve">
Sales Order #: 2285179909
RTD Screening Code: DOD
Reason for Rejection: Y9</t>
  </si>
  <si>
    <t>2YTJA960725309</t>
  </si>
  <si>
    <t>THE PA STATE POLICE SPECIAL EMERGENCY RESPONSE TEAM WILL USE THIS ITEM FOR WOODED TERRAIN RESCUE AND HIGH RISK WARRANTS SERVICE INCIDENTS.</t>
  </si>
  <si>
    <t xml:space="preserve">
Sales Order #: 2285178125
RTD Screening Code: DOD
Reason for Rejection: Y9</t>
  </si>
  <si>
    <t>2YTJA960725162</t>
  </si>
  <si>
    <t xml:space="preserve">
Sales Order #: 2285177808
RTD Screening Code: DOD
Reason for Rejection: Y9</t>
  </si>
  <si>
    <t>2YTJA960725161</t>
  </si>
  <si>
    <t xml:space="preserve">
Sales Order #: 2284558995
RTD Screening Code: DOD
Reason for Rejection: Y9</t>
  </si>
  <si>
    <t>2YTJA960654446</t>
  </si>
  <si>
    <t>UTILITY VEHICLE TO BE UTILIZED BY PA STATE POLICE TACTICAL UNIT TO TRANSPORT MISSION ESSENTIAL EQUIPMENT DURING HIGH RISK INCIDENTS</t>
  </si>
  <si>
    <t>2YTJA960654350</t>
  </si>
  <si>
    <t xml:space="preserve">
Sales Order #: 2284558934
RTD Screening Code: DOD
Reason for Rejection: Y9</t>
  </si>
  <si>
    <t>2YTJA960654349</t>
  </si>
  <si>
    <t>PSP WILL USE THESE TO STORE SIDE BY SIDE ATV'S THAT ARE USED FOR WOODED TERRAIN SEARCHES AND HIGH RISK INCIDENTS.</t>
  </si>
  <si>
    <t xml:space="preserve">
Sales Order #: 2284558959
RTD Screening Code: DOD
Reason for Rejection: Y9</t>
  </si>
  <si>
    <t>2YTJA960654265</t>
  </si>
  <si>
    <t xml:space="preserve">
Sales Order #: 2284072071
RTD Screening Code: DOD
Reason for Rejection: YH</t>
  </si>
  <si>
    <t>2YTJA960583636</t>
  </si>
  <si>
    <t xml:space="preserve">
Sales Order #: 2283345181
RTD Screening Code: DOD
Reason for Rejection: YH</t>
  </si>
  <si>
    <t>2YTJA960583605</t>
  </si>
  <si>
    <t xml:space="preserve">
Sales Order #: 2283345197
RTD Screening Code: DOD
Reason for Rejection: YH</t>
  </si>
  <si>
    <t>2YTJA960583604</t>
  </si>
  <si>
    <t xml:space="preserve">
Sales Order #: 2283345180
RTD Screening Code: DOD
Reason for Rejection: YG</t>
  </si>
  <si>
    <t>2YTJA960583602</t>
  </si>
  <si>
    <t xml:space="preserve">
Sales Order #: 2283345213
RTD Screening Code: DOD
Reason for Rejection: YH</t>
  </si>
  <si>
    <t>2YTJA960583598</t>
  </si>
  <si>
    <t xml:space="preserve">
Sales Order #: 2284072036
RTD Screening Code: DOD
Reason for Rejection: YH</t>
  </si>
  <si>
    <t>2YTJA960583596</t>
  </si>
  <si>
    <t xml:space="preserve">
Sales Order #: 2284072064
RTD Screening Code: DOD
Reason for Rejection: YH</t>
  </si>
  <si>
    <t>2YTJA960583593</t>
  </si>
  <si>
    <t>UTV TO BE USED BY PA STATE POLICE BUREAU OF EMERGENCY AND SPECIAL OPERATIONS DURING HIGH RISK INCIDENTS IN RURAL TERRAIN</t>
  </si>
  <si>
    <t xml:space="preserve">
Sales Order #: 2283338424
RTD Screening Code: DOD
Reason for Rejection: Y9</t>
  </si>
  <si>
    <t>2YTJA960442724</t>
  </si>
  <si>
    <t xml:space="preserve">
Sales Order #: 2283338435
RTD Screening Code: DOD
Reason for Rejection: Y9</t>
  </si>
  <si>
    <t>2YTJA960442723</t>
  </si>
  <si>
    <t>BIVY COVER TO BE USED BY PA STATE POLICE TACTICAL TEAM DURING OPERATIONS IN INCLEMENT WEATHER</t>
  </si>
  <si>
    <t xml:space="preserve">
Sales Order #: 2275763662
RTD Screening Code: DOD
Reason for Rejection: Y9</t>
  </si>
  <si>
    <t>BIVY COVER</t>
  </si>
  <si>
    <t>2YTJA960372339</t>
  </si>
  <si>
    <t>HEADSETS TO BE USED BY PA STARE POLICE TACTICAL TEAM DURING HIGH RISK OPERATIONS.</t>
  </si>
  <si>
    <t xml:space="preserve">
Sales Order #: 2275763668
RTD Screening Code: DOD
Reason for Rejection: Y9</t>
  </si>
  <si>
    <t>2YTJA960372333</t>
  </si>
  <si>
    <t xml:space="preserve">
Sales Order #: 2282252899
RTD Screening Code: DOD
Reason for Rejection: Y9</t>
  </si>
  <si>
    <t>2YTJA960372193</t>
  </si>
  <si>
    <t>2YTJA960372191</t>
  </si>
  <si>
    <t xml:space="preserve">
Sales Order #: 2282252867
RTD Screening Code: DON
Reason for Rejection: Y9</t>
  </si>
  <si>
    <t>2YTJA960372091</t>
  </si>
  <si>
    <t xml:space="preserve">
Sales Order #: 2282252892
RTD Screening Code: GSA
Reason for Rejection: Y9</t>
  </si>
  <si>
    <t>2YTJA960372088</t>
  </si>
  <si>
    <t xml:space="preserve">
Sales Order #: 2282252857
RTD Screening Code: GSA
Reason for Rejection: Y9</t>
  </si>
  <si>
    <t>2YTJA960372086</t>
  </si>
  <si>
    <t>PSP WILL USE THIS FOR GUN AND EQUIPMENT MAINTENANCE.</t>
  </si>
  <si>
    <t xml:space="preserve">
Sales Order #: 2282829210
RTD Screening Code: DOD
Reason for Rejection: Y9</t>
  </si>
  <si>
    <t>2YTJA960371978</t>
  </si>
  <si>
    <t>PSP WILL USE THESE TO LIGHT UP OUTSIDE STRUCTURES DURING HIGH RISK WARRANT SERVICES.</t>
  </si>
  <si>
    <t>2YTJA960371972</t>
  </si>
  <si>
    <t>PSP WILL USE THIS TO CHARGE BATTERIES THAT ARE USED FOR THE SERT TEAM DURING HIGH RISK WARRANT SERVICES.</t>
  </si>
  <si>
    <t xml:space="preserve">
Sales Order #: 2282252869
RTD Screening Code: DOD
Reason for Rejection: YH</t>
  </si>
  <si>
    <t>POWER SUPPLY</t>
  </si>
  <si>
    <t>2YTJA960371967</t>
  </si>
  <si>
    <t>PSP WILL USE THESE FOR HIGH RISK WARRANT SERVICES.</t>
  </si>
  <si>
    <t xml:space="preserve">
Sales Order #: 2282252904
RTD Screening Code: DOD
Reason for Rejection: Y9</t>
  </si>
  <si>
    <t>2YTJA960371964</t>
  </si>
  <si>
    <t xml:space="preserve">
Sales Order #: 2282252893
RTD Screening Code: DOD
Reason for Rejection: Y9</t>
  </si>
  <si>
    <t>2YTJA960371963</t>
  </si>
  <si>
    <t xml:space="preserve">
Sales Order #: 2282252898
RTD Screening Code: DOD
Reason for Rejection: Y9</t>
  </si>
  <si>
    <t>2YTJA960371961</t>
  </si>
  <si>
    <t xml:space="preserve">
Sales Order #: 2282252864
RTD Screening Code: DOD
Reason for Rejection: Y9</t>
  </si>
  <si>
    <t>2YTJA960371960</t>
  </si>
  <si>
    <t xml:space="preserve">
Sales Order #: 2282252881
RTD Screening Code: DOD
Reason for Rejection: Y9</t>
  </si>
  <si>
    <t>2YTJA960371952</t>
  </si>
  <si>
    <t xml:space="preserve">
Sales Order #: 2282829212
RTD Screening Code: DOD
Reason for Rejection: Y9</t>
  </si>
  <si>
    <t>2YTJA960371950</t>
  </si>
  <si>
    <t xml:space="preserve">
Sales Order #: 2282829215
RTD Screening Code: DOD
Reason for Rejection: Y9</t>
  </si>
  <si>
    <t>2YTJA960371949</t>
  </si>
  <si>
    <t xml:space="preserve">
Sales Order #: 2282252906
RTD Screening Code: DOD
Reason for Rejection: Y9</t>
  </si>
  <si>
    <t>2YTJA960371947</t>
  </si>
  <si>
    <t xml:space="preserve">
Sales Order #: 2282252865
RTD Screening Code: DOD
Reason for Rejection: Y9</t>
  </si>
  <si>
    <t>2YTJA960371939</t>
  </si>
  <si>
    <t xml:space="preserve">
Sales Order #: 2282252876
RTD Screening Code: RTD2
Reason for Rejection: Y9</t>
  </si>
  <si>
    <t>REPLACEMENT LENS,GR</t>
  </si>
  <si>
    <t>2YTJA960302093</t>
  </si>
  <si>
    <t xml:space="preserve">
Sales Order #: 2282829213
Reason for Rejection: Y9</t>
  </si>
  <si>
    <t>2YTJA960302090</t>
  </si>
  <si>
    <t>TOOL KITS TO BE USED BY PA STATE POLICE TACTICAL TEAM FOR MAINTENANCE OF SPECIALTY VEHICLES AND EQUIPMENT</t>
  </si>
  <si>
    <t xml:space="preserve">
Sales Order #: 2278282263
RTD Screening Code: GSA
Reason for Rejection: Y9</t>
  </si>
  <si>
    <t>2YTJA960301496</t>
  </si>
  <si>
    <t>UTVS FOR USE BY PA STATE POLICE TACTICAL TEAM DURING HIGH RISK OPERATIONS IN RURAL TERRAIN</t>
  </si>
  <si>
    <t xml:space="preserve">
Sales Order #: 2281895522
RTD Screening Code: DOD
Reason for Rejection: Y9</t>
  </si>
  <si>
    <t>2YTJA960301493</t>
  </si>
  <si>
    <t xml:space="preserve">
Sales Order #: 2281895530
RTD Screening Code: DOD
Reason for Rejection: Y9</t>
  </si>
  <si>
    <t>2YTJA960301492</t>
  </si>
  <si>
    <t>PSP WILL USE THESE TO BREACH DOORS DURING HIGH RISK WARRANT SERVICES AND BARRICADED GUN MEN CALLS.</t>
  </si>
  <si>
    <t xml:space="preserve">
Sales Order #: 2281895528
RTD Screening Code: DOD
Reason for Rejection: Y9</t>
  </si>
  <si>
    <t>2YTJA960301481</t>
  </si>
  <si>
    <t xml:space="preserve">
Sales Order #: 2281895524
RTD Screening Code: DOD
Reason for Rejection: Y9</t>
  </si>
  <si>
    <t>2YTJA960301478</t>
  </si>
  <si>
    <t>PSP WILL USE THESE FOR TACTICAL VEHICLE MAINTENANCE AND CLEANING.</t>
  </si>
  <si>
    <t xml:space="preserve">
Sales Order #: 2278282251
RTD Screening Code: DOD
Reason for Rejection: Y9</t>
  </si>
  <si>
    <t>SHOP VACUUM</t>
  </si>
  <si>
    <t>DSSHOPVAC</t>
  </si>
  <si>
    <t>2YTJA960301477</t>
  </si>
  <si>
    <t xml:space="preserve">
Sales Order #: 2278282277
RTD Screening Code: DOD
Reason for Rejection: YF</t>
  </si>
  <si>
    <t>2YTJA960211491</t>
  </si>
  <si>
    <t>UTV TO BE USED BY PA STATE POLICE DURING HIGH RISK RURAL TERRAIN OPERATIONS</t>
  </si>
  <si>
    <t xml:space="preserve">
Sales Order #: 2270382882
RTD Screening Code: DOD
Reason for Rejection: Y9</t>
  </si>
  <si>
    <t>2YTJA960090031</t>
  </si>
  <si>
    <t>UTV TO BE USED BY PA STATE POLICE DURING HIGH RISK OPERATIONS RURAL TERRAIN</t>
  </si>
  <si>
    <t xml:space="preserve">
Sales Order #: 2270382883
RTD Screening Code: DOD
Reason for Rejection: Y9</t>
  </si>
  <si>
    <t>2YTJA960090030</t>
  </si>
  <si>
    <t>PSP WILL USE THIS FOR HIGH RISK WARRANT SERVICES AND WOODED TERRAIN SEARCHES.</t>
  </si>
  <si>
    <t xml:space="preserve">
Sales Order #: 2270382896
RTD Screening Code: DOD
Reason for Rejection: Y9</t>
  </si>
  <si>
    <t>2YTJA960090003</t>
  </si>
  <si>
    <t xml:space="preserve">
Sales Order #: 2280528842
RTD Screening Code: DOD
Reason for Rejection: YH</t>
  </si>
  <si>
    <t>2YTJA953609170</t>
  </si>
  <si>
    <t xml:space="preserve">
Sales Order #: 2280528831
RTD Screening Code: DOD
Reason for Rejection: YH</t>
  </si>
  <si>
    <t>2YTJA953609169</t>
  </si>
  <si>
    <t xml:space="preserve">
Sales Order #: 2280528822
RTD Screening Code: DOD
Reason for Rejection: YH</t>
  </si>
  <si>
    <t>2YTJA953609165</t>
  </si>
  <si>
    <t xml:space="preserve">
Sales Order #: 2278099296
RTD Screening Code: DOD
Reason for Rejection: YH</t>
  </si>
  <si>
    <t>2YTJA953609164</t>
  </si>
  <si>
    <t xml:space="preserve">
Sales Order #: 2278099308
RTD Screening Code: DOD
Reason for Rejection: YH</t>
  </si>
  <si>
    <t>2YTJA953609163</t>
  </si>
  <si>
    <t>UTILITY VEHICLE TO BE USED BY PA STATE POLICE TACTICAL TEAM DURING HIGH RISK INCIDENTS IN RURAL TERRAIN</t>
  </si>
  <si>
    <t xml:space="preserve">
Sales Order #: 2280106109
RTD Screening Code: DOD
Reason for Rejection: YD</t>
  </si>
  <si>
    <t>2YTJA953538721</t>
  </si>
  <si>
    <t xml:space="preserve">PSP WILL USE THESE FOR WARRANT SERVICES AND BARRICADED GUN MEN CALLS IN EXTREME WEATHER.
</t>
  </si>
  <si>
    <t xml:space="preserve">
Sales Order #: 2279049335
RTD Screening Code: DOD
Reason for Rejection: YG</t>
  </si>
  <si>
    <t>2YTJA953397893</t>
  </si>
  <si>
    <t>EAR PLUG KITS USED FOR FIREARMS AND EXPLOSIVES TRAINING BY PA STATE POLICE PERSONNEL</t>
  </si>
  <si>
    <t xml:space="preserve">
Sales Order #: 2274461866
Reason for Rejection: YH</t>
  </si>
  <si>
    <t>EARPLUG TACTICAL KIT</t>
  </si>
  <si>
    <t>2YTJA953388571</t>
  </si>
  <si>
    <t>THESE HOLOGRAPHIC SIGHTS WILL ASSIST THE MARYLAND STATE POLICE BY PROVIDING SIGHTING SYSTEMS FOR OUR LESS LETHAL LAUNCHERS. SUBSEQUENTLY ALLOWING THEIR DEPLOYMENT TO BE MORE PRECISE AND THUS PROVIDING GREATER SAFETY TO THE PUBLIC AND THE TROOPERS. WE WILL ACCEPT THESE UNITS IN THEIR CURRENT CONDITIOIN. WE WILL ALSO PAY FOR AND ARRANGE SHIPPING COSTS.</t>
  </si>
  <si>
    <t xml:space="preserve">
Sales Order #: 2285933089
RTD Screening Code: DOD
Reason for Rejection: Y9</t>
  </si>
  <si>
    <t>SIGHT,HOLOGRAPHIC</t>
  </si>
  <si>
    <t>2YTPC461076369</t>
  </si>
  <si>
    <t>STATE POLICE (2YTPC4)</t>
  </si>
  <si>
    <t>MD</t>
  </si>
  <si>
    <t>THESE OPTICS WILL ASSIST THE MARYLAND STATE POLICE WITH INCREASING THE PRECISION OF OUR LESS LETHAL LAUNCHERS, THUS RESULTING IN A SAFER OUTCOME FOR THE CITIZENS OF MARYLAND AND THE TROOPERS. WE WILL ACCEPT THESE OPTICS IN THEIR CURRENT CONDITION, AND WE WILL ARRANGE TO PAY FOR SHIPPING COSTS,</t>
  </si>
  <si>
    <t>2YTPC460935515</t>
  </si>
  <si>
    <t>2YTPC460935514</t>
  </si>
  <si>
    <t>THIS SMALL MARITIME CRAFT WILL ASSIST THE MARYLAND STATE POLICE WITH MARITIME SEARCH AND RESCUE OPERATIONS. THE STATE POLICE IS THE PRIMARY AGENCY IN THE STATE FOR SAR OPERATIONS. MARYLAND HAS A CONSIDERABLE AMOUNT OF WATERWAYS AND REGULARLY IS TASKED WITH ASSIGN THOSE IN NEED WITHIN THE WATER. WE WILL ARRANGE FOR IN PERSON PICKUP AND PAY ANY FEES ASSOSCIATED WITH IT.</t>
  </si>
  <si>
    <t>2YTPC460866370</t>
  </si>
  <si>
    <t>THESE RED DOT SIGHTS WILL ASSIST THE MARYLAND STATE POLICE BY OUTFITTING OUR LESS LETHAL LAUNCHERS. THUS ENSURING MORE PRECISE USE OF THE LESS LETHAL CAPABILITY, SUBSEQUENTLY PROVIDING A SAFER OUTCOME FOR THE PUBLIC AND TROOPERS. WE WILL ACCEPT THESE UNITS IN THEIR CURRENT CONDITION AND WILL PAY AND ARRANGE FOR SHIPPING TO MARYLAND.</t>
  </si>
  <si>
    <t>2YTPC460796055</t>
  </si>
  <si>
    <t>THIS NIGHT VISION VIEWER WILL ASSIST THE MARYLAND STATE POLICE WITH SEARCH AND RESCUE OPERATIONS, ESPECIALLY THOSE OCCURRING IN LOW LIGHT. WE WILL ACCEPT THE UNIT IN ITS CURRENT CONDITION. WE WILL ALSO PAY AND ARRANGE FOR SHIPPING TO MARYLAND.</t>
  </si>
  <si>
    <t xml:space="preserve">
Sales Order #: 2283434796
RTD Screening Code: DOD
Reason for Rejection: Y9</t>
  </si>
  <si>
    <t>VIEWER,NIGHT VISION</t>
  </si>
  <si>
    <t>2YTPC460725177</t>
  </si>
  <si>
    <t>THESE MONOCULARS WILL ASSIST THE MARYLAND STATE POLICE WITH SEARCH AND RESCUE OPERATIONS. WE WILL ACCEPT THE OPTICS IN THEIR CURRENT CONDITION. WE WILL PAY AND ARRANGE FOR SHIPPING.</t>
  </si>
  <si>
    <t xml:space="preserve">
Sales Order #: 2283434800
RTD Screening Code: DOD
Reason for Rejection: Y9</t>
  </si>
  <si>
    <t>2YTPC460725174</t>
  </si>
  <si>
    <t>THESE LASERS WILL ASSIST THE MARYLAND STATE POLICE WITH PROVIDING AIMING SOLUTIONS FOR OUR LESS LETHAL LAUNCHERS WHICH WILL IN TURN PROVIDE A SAFER OUTCOME FOR THE PUBLIC AND THE TROOPER DURING DEPLOYMENT. WE WILL ACCEPT THESE LASERS IN THEIR CURRENT CONDITION. WE WILL ALSO PAY AND ARRANGE FOR SHIPPING.</t>
  </si>
  <si>
    <t xml:space="preserve">
Sales Order #: 2285177769
RTD Screening Code: DOD
Reason for Rejection: Y9</t>
  </si>
  <si>
    <t>2YTPC460725169</t>
  </si>
  <si>
    <t>THESE OPTICS WILL ASSIST THE MARYLAND STATE POLICE BY PROVIDING A SIGHTING SYSTEM TO OUR LESS LETHAL LAUNCHERS. THUS ALLOWING FOR SAFER OUTCOMES AND RESOLUTIONS FOR THE PUBLIC AND STATE TROOPERS. WE ARE REQUESTING ALL 4 UNITS. WE WILL ACCEPT THESE OPTICS IN THEIR CURRENT CONDITION. WE WILL ARRANGE FOR PAYMENT FOR SHIPPING.</t>
  </si>
  <si>
    <t xml:space="preserve">
Sales Order #: 2283434795
RTD Screening Code: DOD
Reason for Rejection: Y9</t>
  </si>
  <si>
    <t>SIGHT,INFINITY</t>
  </si>
  <si>
    <t>2YTPC460655167</t>
  </si>
  <si>
    <t>THESE NIGHT VISION UNITS WILL ASSIST THE MARYLAND STATE POLICE WITH SEARCH AND RESCUE OPERATIONS, ESPECIALLY THOSE CONDUCTED IN LOW LIGHT. WE WILL ACCEPT THESE UNITS IN THEIR CURRENT CONDITION, WE WILL PAY ANY EXPENSE TO COVER SHIPPING.</t>
  </si>
  <si>
    <t>2YTPC460585516</t>
  </si>
  <si>
    <t>THIS SUBMERSIBLE DRONE WILL ASSIST THE MARYLAND STATE POLICE UNDERWATER RECOVERY TEAM WITH WITH THEIR MISSION OF SEARCHING THE WATERWAYS OF MARYLAND FOR EVIDENCE, BODY RECOVERY, AND CRIMINAL ACTIVITY. THE STATE POLICE DIVE TEAM HAS JURISDICTION OVER MARYLAND'S WATERWAYS AND THE PORT OF BALTIMORE. THIS DRONE WILL BE EXTREMELY BENEFICIAL FOR INCIDENTS WHERE PLACING A DIVER IN THE WATER IS EITHER NOT FEASIBLE OR TOO DANGEROUS. WE ACCEPT IT IN ITS CURRENT CONDITION, AND WE WILL PAY SHIPPING COSTS.</t>
  </si>
  <si>
    <t>MISCELLANEOUS VESSELS</t>
  </si>
  <si>
    <t>DSMISCVES</t>
  </si>
  <si>
    <t>2YTPC460583793</t>
  </si>
  <si>
    <t>THESE NIGHT VISION DEVICES WILL ASSIST THE MARYLAND STATE POLICE WITH SEARCH AND RESCUE OPERATIONS, ESPECIALLY THOSE IN LOW LIGHT AND NO LIGHT OCCURRENCES. THE MARYLAND STATE POLICE IS THE PRIMARY SEARCH AND RESCUE AGENCY FOR THE STATE. WE WOULD HAPPILY ACCEPT THESE UNITS IN WHATEVER CONDITION THEY MAY BE IN. WE WILL ALSO PAY TO ARRANGE SHIPPING TO MARYLAND.</t>
  </si>
  <si>
    <t>2YTPC460583786</t>
  </si>
  <si>
    <t>THESE NIGHT VISION DEVICES WILL ASSIST THE MARYLAND STATE POLICE WITH SEARCH AND RESCUE OPERATIONS WITHIN THE STATE ESPECIALLY IN TIMES OF LOW OR NO LIGHT. THE MDSP IS THE PRIMARY SEARCH AND RESCUE AGENCY FOR THE STATE OF MARYLAND. WE WILL HAPPILY ACCEPT THESE NIGHT VISION DEVICES IN WHATEVER CONDITION THEY ARE IN. WE WILL ALSO HAPPILY PAY TO COVER SHIPPING.</t>
  </si>
  <si>
    <t>2YTPC460583708</t>
  </si>
  <si>
    <t>THESE NIGHT VISION DEVICES WILL ASSIST THE MARYLAND STATE POLICE WITH SEARCH AND RESCUE MISSIONS IN TIMES OF LOW OR NO VISIBLE LIGHT. THE STATE POLICE IS THE PRIMARY SEARCH AND RESCUE AGENCY FOR THE STATE AND THESE UNITS WOULD BE VERY BENEFICIAL. WE WILL HAPPILY ACCEPT THESE UNITS IN ANY CONDITION THAT THEY ARE CURRENTLY IN. WE WILL ALSO HAPPILY PAY TO COVER SHIPPING.</t>
  </si>
  <si>
    <t>2YTPC460583706</t>
  </si>
  <si>
    <t>THESE NIGHT VISION DEVICES WILL ASSIST THE MARYLAND STATE POLICE WITH SEARCH AND RESCUE OPERATIONS, ESPECIALLY THOSE OCCURRING IN TIMES OF LOW OR NO LIGHT. THE MD STATE POLICE ARE THE PRIMARY SEARCH AND RESCUE AGENCY IN THE STATE OF MARYLAND. WE WILL HAPPILY ACCEPT THESE NIGHT VISION DEVICCES IN WHATEVER CONDITION THEY CURRENTLY ARE IN. WE WILL ALSO PAY TO COVER SHIPPING COSTS.</t>
  </si>
  <si>
    <t>NIGHT VISION DEVICE</t>
  </si>
  <si>
    <t>2YTPC460513707</t>
  </si>
  <si>
    <t>THESE CAMO NETS WILL ASSIST THE MARYLAND STATE POLICE WITH THE ABILITY TO SET UP SHADE FOR COMMAND POSTS AND EXPENSIVE EQUIPMENT DURING TIME OF HOT WEATHER. WE WILL PICKUP LOCALLY.</t>
  </si>
  <si>
    <t>2YTPC460513375</t>
  </si>
  <si>
    <t>THESE AIMPOINT OPTICS WILL BE USED TO ASSIST THE MARYLAND STATE POLICE WITH BEING ABLE TO OUTFIT OUR LESS LETHAL TOOLS AND LAUNCHERS WITH OPTICS SO THAT THEY BE USED MORE EFFECTIVELY TO BRING SAFE OUTCOMES THROUGH DEESCALATION. WE WILL PAY FOR SHIPPING TO COVER THE COST. WE WILL ACCEPT THE OPTICS IN ANY CONDITION.</t>
  </si>
  <si>
    <t>2YTPC460513373</t>
  </si>
  <si>
    <t>THIS WILL ASSIST THE MARYLAND STATE POLICE WITH PROVIDING MEDICAL CARE TO SICK AND INJURED SUBJECTS. WE WILL PICKUP LOCALLY.</t>
  </si>
  <si>
    <t>BAG MEDICAL W/4 INT PKT</t>
  </si>
  <si>
    <t>2YTPC460443377</t>
  </si>
  <si>
    <t>THIS POLE CAMERA WILL ASSIST THE MARYLAND STATE POLICE WITH SEARCH AND RESCUE OPERATIONS BY BEING ABLE TO LOCATE AND DETECT PEOPLE HIDING OR SECRETED AWAY IN SMALL SPACES. WE WILL PAY FOR SHIPPING TO COVER THE COST. WE WILL ACCEPT THE ITEM IN ANY CONDITION.</t>
  </si>
  <si>
    <t>2YTPC460443371</t>
  </si>
  <si>
    <t>THESE OPTICS WILL ASSIST THE MD STATE POLICE SWAT TEAM  WITH THE ABILITY TO ACCURATELY LOCATE AND IDENTIFY POTENTIAL SUSPECTS AND AID IN BOTH OFFICER AND PUBLIC SAFETY. IT IS UNDERSTOOD THAT SHIPPING WILL BE REQUIRED AND WE ARE PREPARED TO MAKE THAT ACCOMMODATION.</t>
  </si>
  <si>
    <t xml:space="preserve">
Sales Order #: 2260374056
RTD Screening Code: DOD
Reason for Rejection: Y9</t>
  </si>
  <si>
    <t>2YTPC460372063</t>
  </si>
  <si>
    <t>THIS THERMAL SIGHT WILL ASSIST THE MD STATE POLICE SWAT TEAM SNIPER SECTION WITH THE ABILITY TO ACCURATELY LOCATE AND IDENTIFY POTENTIAL SUSPECTS IN HIDING, AND AID IN BOTH OFFICER AND PUBLIC SAFETY. IT IS UNDERSTOOD THAT SHIPPING WILL BE REQUIRED AND WE ARE PREPARED TO MAKE THAT ACCOMMODATION.</t>
  </si>
  <si>
    <t xml:space="preserve">
Sales Order #: 2260374044
RTD Screening Code: DOD
Reason for Rejection: Y9</t>
  </si>
  <si>
    <t>2YTPC460372062</t>
  </si>
  <si>
    <t>THESE OPTICS WILL AID THE MD STATE POLICE SWAT TEAM WITH THE ABILITY TO ACCURATELY OBSERVE AND REACT TO POSSIBLE SUSPECTS EFFECTIVELY TO AID IN BOTH OFFICER SAFETY AND TO THE PUBLIC. WE UNDERSTAND THAT PAYMENT FOR SHIPPING IS NECESSARY AND WE ARE WILLING TO MAKE THE ACCOMMODATION.</t>
  </si>
  <si>
    <t xml:space="preserve">
Sales Order #: 2281667419
RTD Screening Code: DOD
Reason for Rejection: YG</t>
  </si>
  <si>
    <t>2YTPC460372060</t>
  </si>
  <si>
    <t>THESE THERMAL SIGHTS WILL ASSIST THE MD STATE POLICE SWAT TEAM SNIPER SECTION WITH THE ABILITY TO ACCURATELY LOCATE AND IDENTIFY POTENTIAL SUSPECTS IN HIDING, AND AID IN BOTH OFFICER AND PUBLIC SAFETY</t>
  </si>
  <si>
    <t xml:space="preserve">
Sales Order #: 2281667432
RTD Screening Code: DOD
Reason for Rejection: Y9</t>
  </si>
  <si>
    <t>2YTPC460372059</t>
  </si>
  <si>
    <t>THIS NIGHT VISION SET WILL ASSIST THE MD STATE POLICE SWAT TEAM WITH THE ABILITY TO ACCURATELY LOCATE AND IDENTIFY POTENTIAL SUSPECTS IN HIDING, AND AID IN BOTH OFFICER AND PUBLIC SAFETY. ALL 46 SETS WILL BE NEEDED TO OUTFIT THE TEAM AND THE ATTACHED SUPPORT PERSONNEL. WE UNDERSTAND THAT SHIPPING WILL BE REQUIRED AND WE ARE PREPARED TO PAY.</t>
  </si>
  <si>
    <t xml:space="preserve">
Sales Order #: 2260374051
RTD Screening Code: DOD
Reason for Rejection: Y9</t>
  </si>
  <si>
    <t>2YTPC460301839</t>
  </si>
  <si>
    <t>THIS NIGHT VISION SET WILL ASSIST THE MD STATE POLICE SWAT TEAM SNIPER SECTION WITH THE ABILITY TO ACCURATELY LOCATE AND IDENTIFY POTENTIAL SUSPECTS IN HIDING, AND AID IN BOTH OFFICER AND PUBLIC SAFETY. WE UNDERSTAND THAT SHIPPING WILL BE NECESSARY AND WE ARE WILLING TO MAKE THAT ACCOMMODATION.</t>
  </si>
  <si>
    <t xml:space="preserve">
Sales Order #: 2281667423
RTD Screening Code: DOD
Reason for Rejection: Y9</t>
  </si>
  <si>
    <t>2YTPC460301838</t>
  </si>
  <si>
    <t>THESE LASER MODULES ARE NECESSARY TO IMPROVE SAFETY TO BOTH THE OFFICER AND THE PUBLIC VIA TARGET DISCRIMINATION AND COMMUNICATION IN LOW NO LIGHT SETTINGS. ALL 13 ARE NECESSARY TO OUTFIT THE 25 MAN TEAM WITH ALL THEIR PRIMARY ALTERNATE SYSTEMS WE UNDERSTAND THAT SHIPPING FOR A FEE WILL BE REQUIRED AND ARE PREPARED TO MAKE THAT ACCOMMODATION</t>
  </si>
  <si>
    <t xml:space="preserve">
Sales Order #: 2260374054
Reason for Rejection: Y9</t>
  </si>
  <si>
    <t>2YTPC460301835</t>
  </si>
  <si>
    <t>THESE LASER MODULES ARE NECESSARY TO IMPROVE SAFETY TO BOTH THE OFFICER AND THE PUBLIC IN LOW OR NO LIGHT SETTINGS.  WE UNDERSTAND THAT SHIPPING FOR A FEE WILL BE REQUIRED AND ARE PREPARED TO MAKE THAT ACCOMMODATION</t>
  </si>
  <si>
    <t xml:space="preserve">
Sales Order #: 2260374048
RTD Screening Code: DOD
Reason for Rejection: Z2</t>
  </si>
  <si>
    <t>2YTPC460301834</t>
  </si>
  <si>
    <t>THIS NIGHT VISION SNIPER SCOPE WILL ASSIST THE MD STATE POLICE SWAT TEAM SNIPER SECTION WITH THE ABILITY TO ACCURATELY LOCATE AND IDENTIFY POTENTIAL SUSPECTS IN HIDING, AND AID IN BOTH OFFICER AND PUBLIC SAFETY. WE UNDERSTAND THAT SHIPPING WILL BE NECESSARY AND WE ARE WILLING TO MAKE THAT ACCOMODATION.</t>
  </si>
  <si>
    <t>2YTPC460231837</t>
  </si>
  <si>
    <t>THE VIRGINIA STATE POLICE REQUESTS THIS AIR COMPRESSOR TO BE UTILIZED AT AN AREA OFFICE FOR SERVICE AND MAINTENANCE OF SWORN PERSONNEL'S PATROL VEHICLES.</t>
  </si>
  <si>
    <t xml:space="preserve">
Sales Order #: 2283354773
RTD Screening Code: DOD
Reason for Rejection: YH</t>
  </si>
  <si>
    <t>2YTMXW60583735</t>
  </si>
  <si>
    <t>THE VIRGINIA STATE POLICE REQUESTS THIS SAFE TO BE UTILIZED BY SWORN PERSONNEL FOR SECURELY STORING CRIMINAL EVIDENCE AND VALUABLE SUPPLIES.</t>
  </si>
  <si>
    <t xml:space="preserve">
Sales Order #: 2283354767
RTD Screening Code: DOD
Reason for Rejection: YH</t>
  </si>
  <si>
    <t>SAFE</t>
  </si>
  <si>
    <t>DSSAFE000</t>
  </si>
  <si>
    <t>2YTMXW60493737</t>
  </si>
  <si>
    <t>THE VIRGINIA STATE POLICE REQUESTS THIS VEHICLE TO BE UTILIZED BY SWORN PERSONNEL TO TRANSPORT LAW ENFORCEMENT SUPPLIES AND EQUIPMENT.</t>
  </si>
  <si>
    <t xml:space="preserve">
Sales Order #: 2276964178
RTD Screening Code: DOD
Reason for Rejection: YH</t>
  </si>
  <si>
    <t>2YTMXW52834688</t>
  </si>
  <si>
    <t>THESE ASSETS WOULD BENEFIT THIS AGENCY AND OFFICERS BY ALLOWING US TO USE THESE AS BACK DEVICES TO STORE INFORMATION AND FILES AS A BACKUP IN CASE THE COMPUTERS GO DOWN AND WE REQUIRE THIS BACKUP TO CONTINUE OPERATIONS THIS WOULD ALLOW SAFEGUARDS FOR MULTIPLE COMPUTERS</t>
  </si>
  <si>
    <t>HARD DRIVE, EXTERNAL</t>
  </si>
  <si>
    <t>DSEXTERNA</t>
  </si>
  <si>
    <t>2YTS0861007624</t>
  </si>
  <si>
    <t>THIS ASSET WOULD BENEFIT THIS AGENCY AND OFFICERS BY ALLOWING US TO UTILIZE THIS AS A TRAFFIC CRASH INVESTIGATION VEHICLE THIS VEHICLE WOULD BE EQUIPPED WITH CONES BARRELS AND TRAFFIC BARRIER AND INVESTIGATION TOOLS TO HELP OFFICERS BLOCK TRAFFIC AND CARRY ALL EQUIPMENT NEEDED.  SPOKE TO FORT AND THIS ASSET IS USEABLE AS IS</t>
  </si>
  <si>
    <t xml:space="preserve">
Sales Order #: 2285872641
RTD Screening Code: DOD
Reason for Rejection: Y9</t>
  </si>
  <si>
    <t>2YTS0860866382</t>
  </si>
  <si>
    <t>THIS ASSET WOULD BENEFIT THIS AGENCY AND OFFICERS BY ALLOWING US TO UTILIZE THIS FOR RANGE MAINTENANCE THIS ASSET WOULD ALLOW US TO HAUL IN MORE DIRT FOR BURNS AND ASSIST IN EXTENDING OUR RANGE    THIS ASSET WOULD HELP IN SAVING FUNDING DUE TO US HAULING IT OURSELF WE WOULD REPAIR AS NEEDED FOR USE</t>
  </si>
  <si>
    <t xml:space="preserve">
Sales Order #: 2285864909
RTD Screening Code: DOD
Reason for Rejection: Y9</t>
  </si>
  <si>
    <t>2YTS0860866381</t>
  </si>
  <si>
    <t>THIS ASSET WOULD BENEFIT THIS AGENCY AND OFFICERS BY ALLOWING US TO UTILIZE THIS AS EMERGENCY RESPONSE TRAILER TO HAUL OUR UTV TO KEEP IT DRY AND IN BETTER SHAPE  THIS WOULD ALSO BE HELPFUL IN KEEPING OUR SEARCH AND RESCUE GEAR CLEAN AND DRY AND GIVE US A PLACE TO STORE ALL OF IT IN ONE LOCATION</t>
  </si>
  <si>
    <t xml:space="preserve">
Sales Order #: 2285872658
RTD Screening Code: DOD
Reason for Rejection: Y9</t>
  </si>
  <si>
    <t>2YTS0860866377</t>
  </si>
  <si>
    <t>THIS ASSET WOULD BENEFIT THIS AGENCY AND OFFICERS BY ALLOWING US TO UTILIZE THIS AS A EQUIPMENT TRAILER FOR DUI  OR CAR SEAT CHECKPOINTS WE WOULD USE OUR OTHER TRAILER TO REPAIR AND FIX THIS TRAILER</t>
  </si>
  <si>
    <t>2YTS0860866376</t>
  </si>
  <si>
    <t>THIS ASSET WOULD BENEFIT THIS AGENCY AND OFFICERS BY ALLOWING US TO UTILIZE THIS FOR RIVER PATROL AND RESCUE FOR OUR TWO RIVERS THAT RUN THROUGH OUR AREA THIS WOULD ALLOW US TO BE ABLE TO CARRY EQUIPMENT AND PERSONNEL FOR RESCUE AND RECOVERY OPERATIONS AS WELL AS A WAY TO PATROL THE SHALLOW AREAS OF THE RIVER</t>
  </si>
  <si>
    <t xml:space="preserve">
Sales Order #: 2285864872
RTD Screening Code: DOD
Reason for Rejection: Y9</t>
  </si>
  <si>
    <t>2YTS0860866375</t>
  </si>
  <si>
    <t>THESE ASSETS WOULD BENEFIT THIS AGENCY AND OFFICERS BY ALLOWING THEM TO UTILIZE IT AS A RESCUE TOOL FOR EXTRACTING PEOPLE OUT OF VEHICLES AS WELL AS SEARCH AND RESCUE FOR LOCATING INDIVIDUALS IN WOODED AREAS. THESE WOULD ALLOW OFFICERS TO CLEAR PATHS THROUGH THICK BRUSH AND WOODS.</t>
  </si>
  <si>
    <t xml:space="preserve">
Sales Order #: 2285333687
RTD Screening Code: GSA
Reason for Rejection: Y9</t>
  </si>
  <si>
    <t>2YTS0860795611</t>
  </si>
  <si>
    <t>THIS ASSET WOULD BENEFIT THIS AGENCY AND OFFICERS BY ALLOWING US TO UTILIZE IT AS AN EMERGENCY VEHICLE FOR GENERAL PATROL. TRAFFIC CRASH INCVESITGATION TRAFFIC FLOW ETC. THIS ASSET WOULD BE OUTFITTED AND PUT INTO SERVICE IMMEDIATELY  I SPOKE WITH THE FORT AND IT IS IN USEABLE CONDITION AS IS</t>
  </si>
  <si>
    <t xml:space="preserve">
Sales Order #: 2285179941
RTD Screening Code: DOD
Reason for Rejection: Y9</t>
  </si>
  <si>
    <t>2YTS0860724843</t>
  </si>
  <si>
    <t>THIS ASSET WOULD BENEFIT THIS AGENCY AND OFFICERS BY ALLOWING US TO UTILIZE THIS ASSET AS A DEDICATED REST AND RECOVERY TRAILER IN ADDITION TO THE EMERGENCY RESPONSE TRAILER. THIS WOULD ALLOW OFFICERS TO HAVE A DEDICATED SAFE AND SECURE AREA TO SLEEP STORE THEIR PERSONAL ITEMS AND  STORE OR HER ITEMS NEEDED WHILE ASSISTING IN MUTUAL AID CALLS AND ASSISTING IN DISASTER RESPONSE AND CLEANUP   SPOKE WITH FORT AND THIS ASSET IS SERVICEABLE</t>
  </si>
  <si>
    <t xml:space="preserve">
Sales Order #: 2285180165
RTD Screening Code: DOD
Reason for Rejection: Y9</t>
  </si>
  <si>
    <t>2YTS0860654847</t>
  </si>
  <si>
    <t>THESE ASSETS WOULD BENEFIT THIS AGENCY AND OFFICERS BY ALLOWING THEM TO UTILIZE THESE DURING COLE OR WET WEATHER TO MAINTAIN THEIR WARMTH DURING THEIR SHIFT</t>
  </si>
  <si>
    <t xml:space="preserve">
Sales Order #: 2283369344
RTD Screening Code: GSA
Reason for Rejection: YH</t>
  </si>
  <si>
    <t>COAT,ALL-WEATHER</t>
  </si>
  <si>
    <t>2YTS0860513108</t>
  </si>
  <si>
    <t>THESE ASSETS WOULD BENEFIT THIS AGENCY AND OFFICERS BY ALLOWING US TO UTILIZE THESE TO ISSUE EACH OFFICER TWO TO KEEP THEM WARM WHILE CONDUCTING THER JOB FUNCTIONS AND WHEN ONE GETS DIRTY THEY CAN CHANGE OUT TO AN OTHER ONE. THIS WOULD ASSIST IN KEEPING OFFICERS WARM DURING WINTER OR SAFE DURING DRUG ENFORCEMENT RESPONSE</t>
  </si>
  <si>
    <t xml:space="preserve">
Sales Order #: 2283369351
RTD Screening Code: GSA
Reason for Rejection: YH</t>
  </si>
  <si>
    <t>2YTS0860513101</t>
  </si>
  <si>
    <t>THIS ASSET WOULD BENEFIT THIS AGENCY AND OFFICERS BY ALLOWING US TO UTILIZE THIS AS A MOBILE OBSERVATION TOWER TO MONITOR EVENTS. INCIDENTS. AND OTHER ACTIVITIES  FOR PUBLIC SAFETY AND SECURITY I SPOKE WITH THE FORT TODAY AND THEY SAID IT WAS REPAIRABLE</t>
  </si>
  <si>
    <t>2YTS0860513085</t>
  </si>
  <si>
    <t xml:space="preserve">
Sales Order #: 2283369349
RTD Screening Code: DOD
Reason for Rejection: YH</t>
  </si>
  <si>
    <t>2YTS0860513084</t>
  </si>
  <si>
    <t>THESE ASSETS WOULD BENEFIT THIS AGENCY AND OFFICERS BY ALLOWING US TO UTILIZE THESE FOR WATCHING VEHICLES AS WELL AS CLEANING DEBRIS FROM THE ROADWAYS AFTER STORMS OR INCIDENTS THESE WOULD ALSO BE USED FOR OUR MOBILE VEHICLE TO SUPPLY WATER TO IT  FOR OFFICER USE AND CONTINUITY OF OPERATIONS</t>
  </si>
  <si>
    <t xml:space="preserve">
Sales Order #: 2283369355
RTD Screening Code: DOD
Reason for Rejection: Y9</t>
  </si>
  <si>
    <t>2YTS0860443091</t>
  </si>
  <si>
    <t>THESE ASSETS WOULD BENEFIT THIS AGENCY AND OFFICERS BY ALLOWING US TO PULITZER THESE IN OUR GARAGE FOR REPAIR AND MAINTENANCE OF EQUIPMENT DAN BROCHURES AS WELL AS CUSTOMIZATION OF EQUIPMENT FOR PATROL CARS</t>
  </si>
  <si>
    <t xml:space="preserve">
Sales Order #: 2283369352
RTD Screening Code: RTD2
Reason for Rejection: YH</t>
  </si>
  <si>
    <t>2YTS0860443089</t>
  </si>
  <si>
    <t>THESE ASSETS WOULD BENEFIT THIS AGENCY AND OFFICERS BY ALLOWING US TO UTILIZE THESE FOR SURVEILLANCE AND INFO GATHERING FOR SEARCH WARRANTS. INCIDENTS ETC.</t>
  </si>
  <si>
    <t xml:space="preserve">
Sales Order #: 2283369343
RTD Screening Code: DOD
Reason for Rejection: YH</t>
  </si>
  <si>
    <t>2YTS0860443087</t>
  </si>
  <si>
    <t>THESE ASSETS WOULD BENEFIT THIS AGENCY AND OFFICERS BY ALLOWING US TO UTILIZE THESE ON OUR WEAPONS FOR TRAINING AS WELL AS LIVE FIELD USE I SPOKE WITH THE FORT AND THEY ARE EASILY REPAIRABLE FOR USE</t>
  </si>
  <si>
    <t xml:space="preserve">
Sales Order #: 2283369356
RTD Screening Code: DOD
Reason for Rejection: Y9</t>
  </si>
  <si>
    <t>2YTS0860443086</t>
  </si>
  <si>
    <t>THIS ASSET WOULD BENEFIT THIS AGENCY AND OFFICERS BY ALLOWING US TO UTILIZE IT FOR PATROLS DURING FAIR TIME  EVENTS AND PARKS. WE HAVE ANOTHER ASSET WE CAN USE TO REPAIR THIS ONE I SPOKE WITH FORT TODAY AND THEY ADVISED IT NEEDS A BATTERY AND SOME TIRES  TO MAKE IT OPERATIONAL</t>
  </si>
  <si>
    <t xml:space="preserve">
Sales Order #: 2283338427
RTD Screening Code: DOD
Reason for Rejection: Y9</t>
  </si>
  <si>
    <t>2YTS0860442689</t>
  </si>
  <si>
    <t xml:space="preserve">
Sales Order #: 2283377051
RTD Screening Code: DOD
Reason for Rejection: Y9</t>
  </si>
  <si>
    <t>2YTS0860442682</t>
  </si>
  <si>
    <t xml:space="preserve">
Sales Order #: 2283377047
RTD Screening Code: DOD
Reason for Rejection: Y9</t>
  </si>
  <si>
    <t>2YTS0860442679</t>
  </si>
  <si>
    <t xml:space="preserve">
Sales Order #: 2283377049
RTD Screening Code: DOD
Reason for Rejection: Y9</t>
  </si>
  <si>
    <t>2YTS0860442673</t>
  </si>
  <si>
    <t>THIS ASSET WOULD BENEFIT THIS AGENCY AND OFFICERS BY ALLOWING US TO UTILIZE THIS TO DEVON WASH UNIFORMS  AFTER EVENTS OR METH LAB FENTANYL RESPONSE TO KEEP OFFICERS SAFE FROM TAKING THE CHEMICALS HOME</t>
  </si>
  <si>
    <t>WASHER AND DRYER COMBINATION,LAUNDRY</t>
  </si>
  <si>
    <t>2YTS0860442668</t>
  </si>
  <si>
    <t>THIS ASSET WOULD BENEFIT THIS AGENCY AND OFFICERS BY ALLOWING US TO UTILIZE THIS ASSET A MARKED PATROL VEHICLE FOR OFFICERS TO RESPOND TO SCENES ANSWER CALLS OF SERVICE AND ENFORCE TRAFFIC AND CRIMINAL LAW.  THIS ASSET WOULD ASSIST IN ALLOWING THEM TO CARRY THEIR EQUIPMENT NEEDED FOR PATROL DUTIES.   I SPOKE WITH SITE AND THIS ASSET SHOULD JUST NEED A BATTERY TO MAKE OPERATIONAL WE WOULD REPAIR AS NECESSARY FOR USE</t>
  </si>
  <si>
    <t xml:space="preserve">
Sales Order #: 2282334358
RTD Screening Code: DOD
Reason for Rejection: Y9</t>
  </si>
  <si>
    <t>2YTS0860371973</t>
  </si>
  <si>
    <t>THIS ASSET WOULD BENEFIT THIS AGENCY AND OFFICERS BY ALLOWING US TO UTILIZE THIS TO PULL ONE OF OUR TRAILERS AS WELL AS OUTFIT IT WITH EMERGENCY EQUIPMENT TO RESPOND TO SCENES AND INCIDENTS.   I SPOKE WITH SITE AND THIS ASSET WILL RUN WITH MINIMAL REPAIRS SUCH AS BATTERY AND FRESH GAS WE WOULD REPAIR AS NECESSARY FOR USE</t>
  </si>
  <si>
    <t xml:space="preserve">
Sales Order #: 2282522522
RTD Screening Code: DOD
Reason for Rejection: Y9</t>
  </si>
  <si>
    <t>2YTS0860371957</t>
  </si>
  <si>
    <t>THIS VEHICLE WILL BE USED BY THE SPARTA POLICE DEPARTMENT FOR SPECIAL OPERATIONS. THIS VEHICLE WILL BE USED TO RESPOND TO CRITICAL INCIDENTS THAT REQUIRED LENGTHY ON SCENE TIMES. THIS WILL BENEFIT THE COMMUNITY AND OFFICERS. THIS VEHICLE NEEDS MINOR REPAIR THAT THE DEPARTMENT IS PREPARED TO ADDRESS AND HAS A RESOURCE IN THE AREA TO ACCOMPLISH THE MINOR REPAIR. THE SPARTA POLICE DEPARTMENT HAS REACHED OUT TO CONFIRM NO OTHER REPAIRS ARE NEEDED.</t>
  </si>
  <si>
    <t>2YTS0860301783</t>
  </si>
  <si>
    <t>THIS ASSET WOULD BENEFIT THIS AGENCY AND OFFICERS BY ALLOWING US TO UTILIZE THIS ASSET AS A MOBILE MAINTENANCE AND UPKEEP VEHICLE FOR OUR VEHICLES THAT BREAK DOWN. LESO ITEMS THAT NEED WORKED ON THAT ARE IMMOVABLE AS WELL AS A TRAFFIC VEHICLE TO TRANSPORT CONES BARRICADES ETC FOR PUBLIC SAFETY USE. WE WOULD REPAIR AS NECESSARY. THE FOR STATED IT RUNS BUT NEEDS A BATTERY OR JUMP</t>
  </si>
  <si>
    <t xml:space="preserve">
Sales Order #: 2278331083
RTD Screening Code: DON
Reason for Rejection: Y9</t>
  </si>
  <si>
    <t>2YTS0860301324</t>
  </si>
  <si>
    <t>THIS ASSET WOULD ASSIST OUR OFFICERS AND AGENCY BY ALLOWING US TO UTILIZE THESE IN NIGHT TIME OPERATIONS TO ALLOW OFFICERS TO SEE IN THE OPS TENT AS WELL AS UTILIZE IT FOR EMERGENCY LIGHTING</t>
  </si>
  <si>
    <t xml:space="preserve">
Sales Order #: 2282071314
RTD Screening Code: DOD
Reason for Rejection: Y9</t>
  </si>
  <si>
    <t>LIGHT SET,GENERAL I</t>
  </si>
  <si>
    <t>2YTS0860301298</t>
  </si>
  <si>
    <t>THIS ASSET WOULD BENEFIT THIS AGENCY AND OFFICERS BY ALLOWING US TO UTILIZE THIS TO POWER OUR DEPARTMENT WHEN THERE IS A POWER OUTAGE OR SIGNIFICANT WEATHER EVENT.  THIS WOULD ALLOW CONTINUITY OF OPERATIONS I SPOKE TO FORT  AND IT NEEDS VERY LITTLE TO MAKE IT FULLY OPERATIONAL</t>
  </si>
  <si>
    <t xml:space="preserve">
Sales Order #: 2281602905
RTD Screening Code: DOD
Reason for Rejection: Z2</t>
  </si>
  <si>
    <t>2YTS0860301297</t>
  </si>
  <si>
    <t>THIS ASSET WOULD BENEFIT THIS AGENCY AND OFFICERS BY ALLOWING US TO UTILIZE THIS AS AN UNDERCOVER TRAFFIC ENFORCEMENT VEHICLE TO WORK ON SPEED ENFORCEMENT, DISTRACTED DRIVING, WORK CRASHES.  WE WOULD KEEP ALL OUR TRAFFIC CRASH INVESTIGATION TOOLS IN THIS TO ORGANIZE THEM IN ONE VEHICLE. THIS WOULD ALLOW OFFICERS TO KEEP PUBLIC SAFETY INTACT. SPOKE TO FORT AND THIS DOES NOT NEED MUCH TO MAKE OPERATIONAL WE WOULD FIX THIS ASSET AS NEEDED ASAP</t>
  </si>
  <si>
    <t xml:space="preserve">
Sales Order #: 2281895555
RTD Screening Code: DOD
Reason for Rejection: Y9</t>
  </si>
  <si>
    <t>2YTS0860301281</t>
  </si>
  <si>
    <t>THIS ASSET WOULD BENEFIT THIS AGENCY AND OFFICERS BY ALLOWING US TO UTILIZE THIS AS A PATROL VEHICLE TO RESPOND TO INCIDENTS, EMERGENCIES, VEHICLE CRASHES, NATURAL DISASTERS ETC. THESE WOULD ALLOW OFFICERS TO RESPOND IN A TIMELY FASHION AND CARRY ALL THE NECESSARY EQUIPMENT NEEDED TO COMPLETE THEIR TASKS. I SPOKE WITH FORT ABOUT THESE VEHICLES AND AM WILLING TO REPAIR TO MAKE OPERATIONAL ASAP</t>
  </si>
  <si>
    <t xml:space="preserve">
Sales Order #: 2281895548
RTD Screening Code: DOD
Reason for Rejection: Y9</t>
  </si>
  <si>
    <t>2YTS0860301270</t>
  </si>
  <si>
    <t>THIS ASSET WOULD BENEFIT THIS AGENCY AND OFFICERS BY ALLOWING US TO UTILIZE THIS FOR ADMINISTRATIVE OFFICERS TO DOCUMENT AND TRACK LESO INVENTORY WITH PHOTO , RECEIPTING THEM FROM THE FIELD AND KEEP CONTINUITY OF WORK WITHOUT HAVING TO RETURN TO THE POLICE DEPT TO COMPLETE THE ABOVE TASKS</t>
  </si>
  <si>
    <t xml:space="preserve">
Sales Order #: 2281355607
RTD Screening Code: DOD
Reason for Rejection: Y9</t>
  </si>
  <si>
    <t>TABLET COMPUTER</t>
  </si>
  <si>
    <t>DSTABLET1</t>
  </si>
  <si>
    <t>2YTS0860301266</t>
  </si>
  <si>
    <t>THESE ASSETS WOULD BENEFIT THIS AGENCY AND OUR OFFICERS BY ALLOWING US TO KEEP THESE IN OUR DEPT TO USE WHEN THERE IS A SIGNIFICANT WEATHER EVENT OR EMERGENCY THAT REQUIRES OFFICERS TO STAY AT THE POLICE DEPT. THESE WOULD ALLOW OFFICERS TO AVOID FATIGUE BY ALLOWING THEM TO REST</t>
  </si>
  <si>
    <t xml:space="preserve">
Sales Order #: 2278331081
RTD Screening Code: DOD
Reason for Rejection: Y9</t>
  </si>
  <si>
    <t>2YTS0860301264</t>
  </si>
  <si>
    <t>THIS ASSET WOULD BENEFIT THIS AGENCY AND OFFICERS BY ALLOWING US TO UTILIZE THIS WITH OUR SEMI TO TRANSPORT AND HAUL OTHER ASSETS THAT ARE AWARDED BY DLA AND WOULD SAVE THE AGENCY AND CITY TRANSPORTATION FEES AND COSTS.  I SPOKE WITH LETTERKENNY AND WE COULD REPAIR ON SITE TO MAKE USEABLE</t>
  </si>
  <si>
    <t xml:space="preserve">
Sales Order #: 2281873422
RTD Screening Code: DOD
Reason for Rejection: YF</t>
  </si>
  <si>
    <t>2YTS0860231183</t>
  </si>
  <si>
    <t>THIS ASSET WOULD BENEFIT THIS AGENCY AND OFFICERS BY ALLOWING US TO UTILIZE IT FOR SEARCH AND RESCUE OPS AS WELL AS RECOVERY OPS AND DISASTER RESPONSE AND PARK PATROLS.  THIS ASSET WOULD MAKE OUR OFFICERS MORE EFFICIENT IN THEIR DUTIES AND ASSIGNMENTS.  I SPOKE WITH THE FORT AND IT NEEDS VERY LITTLE TO MAKE OPERATIONAL</t>
  </si>
  <si>
    <t xml:space="preserve">
Sales Order #: 2280619892
RTD Screening Code: DOD
Reason for Rejection: Y9</t>
  </si>
  <si>
    <t>2YTS0860090002</t>
  </si>
  <si>
    <t>THIS ASSET WOULD BENEFIT OUR AGENCY AND OFFICERS BY ALLOWING US TO TITLE THIS AS AN ASSET TRACKING UNIT TO PRINT BARCODES THAT CAN BE SCANNED FOR AUDIT PURPOSES. I SPOKE WITH FORT AND THIS UNIT IS USEABLE WITH LITTLE REPAIRS NEEDED</t>
  </si>
  <si>
    <t xml:space="preserve">
Sales Order #: 2280525658
Reason for Rejection: YG</t>
  </si>
  <si>
    <t>PRINTER STATION</t>
  </si>
  <si>
    <t>2YTS0853609190</t>
  </si>
  <si>
    <t>THIS ASSET WOULD BENEFIT THIS AGENCY BY ALLOWING US TO UTILIZE IT TO EXPAND AND MAINTAIN OUR RANGE AS WELL AS ITS GRAVEL PARKING AREA. IT WOULD ALSO ALLOW US TO EXPAND OUR PARKING AND IMPOUND AREA AT OUR HEADQUARTERS AS WELL AS ASSIST IN MOVING DIRT TO EXPAND OUR NEW BUILDING WE WOULD REPAIR AS NECESSARY</t>
  </si>
  <si>
    <t xml:space="preserve">
Sales Order #: 2280525656
RTD Screening Code: DOD
Reason for Rejection: YG</t>
  </si>
  <si>
    <t>2YTS0853609151</t>
  </si>
  <si>
    <t>THESE ASSETS WOULD BENEFIT THIS AGENCY AND OFFICERS BY ALLOWING US TO UTILIZE THESE ASSETS FIRE SUPPRESSION ON VEHICLE FIRES AS WELL AS HAZMAT DECONTAMINATION PROCEDURES FOR METH LABS OR OTHER CLANDESTINE LABS   WE WOULD REPAIR THESE AS NECESSARY FOR USE</t>
  </si>
  <si>
    <t xml:space="preserve">
Sales Order #: 2279119647
RTD Screening Code: DOD
Reason for Rejection: YF</t>
  </si>
  <si>
    <t>FIRE FIGHTING EQUIPMENT</t>
  </si>
  <si>
    <t>DSFFEQUIP</t>
  </si>
  <si>
    <t>2YTS0853539150</t>
  </si>
  <si>
    <t>THIS ASSET WOULD BENEFIT OUR AGENCY AND OFFICERS BY ALLOWING US TO UTILIZE THIS AS A RIVER PATROL AND SEARCH RESCUE AND RECOVERY VEHICLE  INVOLVING WATER. I SPOKE WITH THE FORT AND BELIEVE WE HAVE ITEMS TO REPAIR THIS VEHICLE TO MAKE IT OPERATIONAL</t>
  </si>
  <si>
    <t xml:space="preserve">
Sales Order #: 2280525645
RTD Screening Code: DOD
Reason for Rejection: YH</t>
  </si>
  <si>
    <t>2YTS0853539149</t>
  </si>
  <si>
    <t>THESE ASSETS WOULD BENEFIT THIS AGENCY AND OFFICERS BY ALLOWING US TO UTILIZE THESE FOR PUBLIC SAFETY AND SECURITY AT PUBLIC EVENTS IN ORDER TO KEEP VEHICLES FROM RUNNING INTO PEDESTRIANS THAT ARE IN THE AREA THESE COULD USED AS A TRAFFIC CONTROL DEVICE WE WOULD REPAIR THESE AS NECESSARY</t>
  </si>
  <si>
    <t xml:space="preserve">
Sales Order #: 2279997048
RTD Screening Code: DOD
Reason for Rejection: YG</t>
  </si>
  <si>
    <t>2YTS0853538690</t>
  </si>
  <si>
    <t>THIS ASSET WOULD BENEFIT THIS AGENCY AND OFFICERS BY ALLOWING US TO UTILIZE IT AS A PARTS VEHICLE FOR OUR LAST ASSET LIKE THIS.  THIS WOULD ASSIST US IN GETTING OUR OTHER ASSET OPERATIONAL WHERE IT CAN BE IMPLEMENTED ON PARKING LOT CONSTRUCTION AND MAINTENANCE AS WELL AS RANGE MAINTENANCE</t>
  </si>
  <si>
    <t xml:space="preserve">
Sales Order #: 2273672780
RTD Screening Code: DOD
Reason for Rejection: YG</t>
  </si>
  <si>
    <t>2YTS0853538686</t>
  </si>
  <si>
    <t>THESE ASSETS WOULD BENEFIT OUR OFFICERS AND AGENCY BY ALLOWING THEM TO UTILIZE THESE DURING A SHIFT THAT IS RAINING OR OTHER INCLEMENT WEATHER.  THESE ASSETS WOULD KEEP THEM DRY AND WARMS DURING THEIR SHIFT</t>
  </si>
  <si>
    <t xml:space="preserve">
Sales Order #: 2273672782
RTD Screening Code: DOD
Reason for Rejection: YF</t>
  </si>
  <si>
    <t>2YTS0853538682</t>
  </si>
  <si>
    <t>THESE ASSETS WOULD BENEFIT OUR OFFICERS AND AGENCY BY ALLOWING US TO UTILIZE THESE DURING STORMS AND INCLEMENT WEATHER EVENTS TO KEEP OFFICERS DRY AND WARMS DURING THEIR DURING SUCH WEATHER</t>
  </si>
  <si>
    <t xml:space="preserve">
Sales Order #: 2273672776
Reason for Rejection: YF</t>
  </si>
  <si>
    <t>2YTS0853468685</t>
  </si>
  <si>
    <t>THE SPALDING COUNTY SHERIFF OFFICE IS REQUESTING THE TRANSFER OF AN EMERGENCY MOBILE COMMAND CENTER THROUGH THE DEPARTMENT OF DEFENSE 1033 PROGRAM TO ENHANCE OPERATIONAL READINESS TRAINING CAPABILITIES EMERGENCY RESPONSE AND COMMUNITY OUTREACH EFFORTS THROUGHOUT SPALDING COUNTY MOBILE COMMAND CENTER WILL BE USED EXTENSIVELY FOR TRAINING PURPOSES INCLUDING INCIDENT COMMAND SYSTEM AND UNIFIED COMMAND TRAINING ACTIVE THREAT DISASTER RESPONSE AND MULTI-AGENCY EXERCISES</t>
  </si>
  <si>
    <t>2YTLBT60442558</t>
  </si>
  <si>
    <t>SPALDING COUNTY SHERIFF DEPT (2YTLBT)</t>
  </si>
  <si>
    <t>THIS COMMAND CENTER WILL BE USED TO SUPPORT OUR AGENCY OPERATIONS IN THE FIELD. THIS WILL HELP US MANAGE INCIDENTS AND ALLOW US TO BETTER SERVE OUR COMMUNITY.</t>
  </si>
  <si>
    <t>2YTK4560442602</t>
  </si>
  <si>
    <t>SMITH CSO (2YTK45)</t>
  </si>
  <si>
    <t>THIS ITEM WILL BE USED EXCLUSIVELY BY LEOS FROM THIS LEA. THIS ITEM WILL BE USED BY LEOS FROM THIS LEA TO RESPOND ON THE BEACH FOR CALLS FOR SERVICE SUCH AS MEDICAL CALLS, MISSING PERSONS, DISORDERLY PERSONS, AND HIGH VISIBILITY PATROL.</t>
  </si>
  <si>
    <t xml:space="preserve">
Sales Order #: 2285864851
RTD Screening Code: DOD
Reason for Rejection: Y9</t>
  </si>
  <si>
    <t>2YTK2060866254</t>
  </si>
  <si>
    <t>SHIP BOTTOM POLICE DEPT (2YTK20)</t>
  </si>
  <si>
    <t>THIS VEHICLE WILL BE USED EXCLUSIVELY BY LEOS FROM THIS LEA. THIS VEHICLE WILL ASSIST PATROL UNITS IN ACCESSING THE BEACH WHILE RESPONDING TO EMERGENCY CALLS FOR SERVICE LIKE MISSING CHILDREN, MEDICAL EMERGENCIES, AND CRIMES IN PROGRESS.</t>
  </si>
  <si>
    <t xml:space="preserve">
Sales Order #: 2278279280
RTD Screening Code: DOD
Reason for Rejection: YG</t>
  </si>
  <si>
    <t>2YTK2060029694</t>
  </si>
  <si>
    <t xml:space="preserve">
Sales Order #: 2278279278
RTD Screening Code: DOD
Reason for Rejection: Y9</t>
  </si>
  <si>
    <t>2YTK2060029693</t>
  </si>
  <si>
    <t xml:space="preserve">
Sales Order #: 2278279279
RTD Screening Code: DOD
Reason for Rejection: YG</t>
  </si>
  <si>
    <t>2YTK2060029691</t>
  </si>
  <si>
    <t>THE SHERIDAN POLICE DEPARTMENT WILL USE THESE FANS TO COOL STUDENTS IN THE HOT HUMID SUMMER MONTHS AT OUR TRAINING FACILITY WHERE WE TRAIN FOR NARCOTIC INCIDENTS, ACTIVE KILLER INCIDENTS, TERRORISM INCIDENTS, AND SEARCH AND RESCUE INCIDENTS.  THESE WILL BE USED BY LAW ENFORCEMENT FOR LAW ENFORCEMENT PURPOSES ONLY.</t>
  </si>
  <si>
    <t xml:space="preserve">
Sales Order #: 2283007799
RTD Screening Code: DOD
Reason for Rejection: Y9</t>
  </si>
  <si>
    <t>2YTK1460372465</t>
  </si>
  <si>
    <t>SHERIDAN POLICE DEPT (2YTK14)</t>
  </si>
  <si>
    <t xml:space="preserve">
Sales Order #: 2283007648
RTD Screening Code: DOD
Reason for Rejection: Y9</t>
  </si>
  <si>
    <t>2YTK1460372464</t>
  </si>
  <si>
    <t xml:space="preserve">
Sales Order #: 2283007804
RTD Screening Code: DOD
Reason for Rejection: Y9</t>
  </si>
  <si>
    <t>2YTK1460372463</t>
  </si>
  <si>
    <t>THE SHERIDAN POLICE DEPARTMENT IS REQUESTING THE EVAPORATOR COOLER, PORTA COOL,  TO USE FOR MOBILE INCIDENT COMMAND DURING EXTREME WEATHER CONDITIONS AND TO ASSIST WITH MAINTAINING EQUIPMENT DURING EXTREME WEATHER.  THE EQUIPMENT WILL BE USED FOR LAW ENFORCEMENT PURPOSES ONLY.</t>
  </si>
  <si>
    <t xml:space="preserve">
Sales Order #: 2282934681
RTD Screening Code: DOD
Reason for Rejection: Y9</t>
  </si>
  <si>
    <t>2YTK1460372432</t>
  </si>
  <si>
    <t>THE SHERBURNE COUNTY SHERIFF'S OFFICE IS REQUESTING OPTICS FOR USE ON PATROL RIFLES.  THE OPTICS WILL BE USED TO INCREASE AN OFFICERS ABILITY TO ID AND ENGAGE TARGETS.  THE AGENCY HAS CONFIRMED CONDITION AND ACCEPTS THE OPTICS AS-IS.</t>
  </si>
  <si>
    <t xml:space="preserve">
Sales Order #: 2286618466
RTD Screening Code: DOD
Reason for Rejection: Y9</t>
  </si>
  <si>
    <t>TELESCOPE,STRAIGHT</t>
  </si>
  <si>
    <t>2YTK1W60937288</t>
  </si>
  <si>
    <t>2YTK1W60725475</t>
  </si>
  <si>
    <t>2YTK1W60725474</t>
  </si>
  <si>
    <t>2YTK1W60725473</t>
  </si>
  <si>
    <t>2YTK1W60725472</t>
  </si>
  <si>
    <t>THE SHERBURNE COUNTY SHERIFF'S OFFICE IS REQUESTING HEADSETS FOR USE ON THE FIRING RANGE.  THE HEADSETS ALLOW FOR COMMUINICATION BETWEEN OFFICERS AND RANGE CONTROL WHICH INCREASES OFFICER SAFETY.  THEY ALSO ALLOW FOR AMBIENT NOISES TO BE HEARD WHILE PROVIDING HEARING PORTECTION WHEN NECESSARY.</t>
  </si>
  <si>
    <t>2YTK1W60725470</t>
  </si>
  <si>
    <t xml:space="preserve">
Sales Order #: 2285180203
RTD Screening Code: DOD
Reason for Rejection: Y9</t>
  </si>
  <si>
    <t>2YTK1W60654621</t>
  </si>
  <si>
    <t xml:space="preserve">
Sales Order #: 2285178990
RTD Screening Code: DOD
Reason for Rejection: Y9</t>
  </si>
  <si>
    <t>2YTK1W60654620</t>
  </si>
  <si>
    <t xml:space="preserve">
Sales Order #: 2285178122
RTD Screening Code: DOD
Reason for Rejection: Y9</t>
  </si>
  <si>
    <t>2YTK1W60654618</t>
  </si>
  <si>
    <t xml:space="preserve">
Sales Order #: 2285179446
RTD Screening Code: DOD
Reason for Rejection: Y9</t>
  </si>
  <si>
    <t>2YTK1W60654617</t>
  </si>
  <si>
    <t xml:space="preserve">
Sales Order #: 2281996615
RTD Screening Code: DOD
Reason for Rejection: Y9</t>
  </si>
  <si>
    <t>2YTK1W60231145</t>
  </si>
  <si>
    <t>THE SHERBURNE COUNTY SHERIFF'S OFFICE IS REQUESTING THIS BAG FOR ORGANIZATION OF EQUIPMENTN FOR OFFICERS.  THESE BAGS HAVE BEEN VALUEABLE TO OFFICERS NEEDING TO ORGANIZE AND TRASNPORT GEAR REALTED TO PATROL, ENFORCMEENT, AND SEARCH AND RESCUE.</t>
  </si>
  <si>
    <t xml:space="preserve">
Sales Order #: 2280350896
RTD Screening Code: DOD
Reason for Rejection: Y9</t>
  </si>
  <si>
    <t>BAG,INDIVIDUAL EQUIPMENT,CARRIER</t>
  </si>
  <si>
    <t>2YTK1W60090113</t>
  </si>
  <si>
    <t>THE SHERBURNE COUNTY SHERIFF'S OFFICE IS REQUESTING HELMET MOUNTS FOR USE BY SPECAIL TEAMS.  THE MOUNTS ALLOW OFFICERS TO ATTACH NIGHT VISION, THERMALS, AND OTHER DEVICES TO HELMETS.  THIS ALLOWS FOR HANDS FEE USE WHICH INCREASES SAFETY WHEN CONDUCITNG HIGH RISK TASKS.</t>
  </si>
  <si>
    <t xml:space="preserve">
Sales Order #: 2280350883
RTD Screening Code: DOD
Reason for Rejection: Y9</t>
  </si>
  <si>
    <t>2YTK1W60090051</t>
  </si>
  <si>
    <t xml:space="preserve">
Sales Order #: 2280350897
RTD Screening Code: DOD
Reason for Rejection: Y9</t>
  </si>
  <si>
    <t>2YTK1W60090043</t>
  </si>
  <si>
    <t>THE SHERBURNE COUNTY SHERIFF'S OFFICE IS REQUESTING NV OPTICS FOR USE BY LICENSED PEACE OFFICERS.  THE OPTICS WILL AID WITH INVESTIGATIONS AND SEARCH AND RESCUE EFFORTS IN LOW LIGHT ENVIRONMENTS.  INCREASING AWARENESS IN LOW LIGHT WILL HELP WITH OFFICER AND PUBLIC SAFETY.  SPECIALIZED TEAMS WILL UTILIZE TO THESE OPTICS FOR HIGH RISK WARRANT SERVICE, AND CRISIS RESPONSE.  OPTICS CONDITION HAS BEEN VERIFIED AND THEY ARE ACCEPTED AS-IS.  CURRENT FUNCTION IS SATISFACTORY FOR LAW ENFROCMENT USE.</t>
  </si>
  <si>
    <t>2YTK1W60029948</t>
  </si>
  <si>
    <t>THIS ITEM IS BEING REQUESTED BY THE SCREVEN COUNTY SHERIFFS OFFICE TO BE USED BY DEPUTIES FOR LAW ENFORCEMENT PURPOSES. THE NIGHT VISION WILL BE USED BY DEPUTIES TO OPERATE IN NIGHT ENVIRONMENTS. LEA HAS CONFIRMED SITE HAS BEEN CONTACTED AND ACCEPT CONDITION OF PROPERTY.</t>
  </si>
  <si>
    <t xml:space="preserve">
Sales Order #: 2286146430
RTD Screening Code: DOD
Reason for Rejection: Y9</t>
  </si>
  <si>
    <t>2YTKVK60866860</t>
  </si>
  <si>
    <t>THIS ITEM IS BEING REQUESTED BY THE SCREVEN COUNTY SHERIFFS OFFICE TO BE USED BY DEPUTIES FOR LAW ENFORCEMENT PURPOSES. THE NIGHT VISION WILL BE USED BY DEPUTIES TO OPERATE IN LOW LIGHT ENVIRONMENTS.</t>
  </si>
  <si>
    <t xml:space="preserve">
Sales Order #: 2285810361
RTD Screening Code: DOD
Reason for Rejection: Y9</t>
  </si>
  <si>
    <t>2YTKVK60866406</t>
  </si>
  <si>
    <t>THIS ITEM IS BEING REQUESTED BY THE SCREVEN COUNTY SHERIFFS OFFICE TO BE USED BY DEPUTIES FOR LAW ENFORCEMENT PURPOSES. THE BOAT WILL BE USED BY DEPUTIES FOR MARINE PATROL AND SEARCH AND RESCUE.</t>
  </si>
  <si>
    <t>2YTKVK60866405</t>
  </si>
  <si>
    <t>THIS ITEM IS BEING REQUESTED BY THE SCREVEN COUNTY SHERIFFS OFFICE TO BE USED BY DEPUTIES FOR LAW ENFORCEMENT PURPOSES. THE BOAT WILL BE USED BY DEPUTIES TO PATROL AND RESCUE MISSIONS IN MARINE ENVIRONMENTS.</t>
  </si>
  <si>
    <t xml:space="preserve">
Sales Order #: 2285125291
RTD Screening Code: DOD
Reason for Rejection: Y9</t>
  </si>
  <si>
    <t>2YTKVK60725522</t>
  </si>
  <si>
    <t>THIS ITEM IS BEING REQUESTED BY THE SCREVEN COUNTY SHERIFFS OFFICE TO BE USED BY DEPUTIES FOR LAW ENFORCEMENT PURPOSES. THE GENERATOR WILL BE USED BY DEPUTIES TO PROVIDE EMERGENCY POWER IN REMOTE AREAS.</t>
  </si>
  <si>
    <t xml:space="preserve">
Sales Order #: 2285129114
RTD Screening Code: DOD
Reason for Rejection: YH</t>
  </si>
  <si>
    <t>2YTKVK60725491</t>
  </si>
  <si>
    <t>THIS ITEM IS BEING REQUESTED BY THE SCREVEN COUNTY SHERIFFS OFFICE TO BE USED BY DEPUTIES FOR LAW ENFORCEMENT PURPOSES. THE EQUIPMENT WILL BE USED BY DEPUTIES TO PERFORM MAINTENANCE AT JAIL AND RANGE ELEVATED POSITIONS.</t>
  </si>
  <si>
    <t>2YTKVK60654935</t>
  </si>
  <si>
    <t>THIS ITEM IS BEING REQUESTED BY THE SCREVEN COUNTY SHERIFFS OFFICE TO BE USED BY DEPUTIES FOR LAW ENFORCEMENT PURPOSES. THE NIGHT VISION WILL BE USED BY DEPUTIES TO OPERATE IN LOW LIGHT MISSIONS.</t>
  </si>
  <si>
    <t>2YTKVK60585493</t>
  </si>
  <si>
    <t>THIS ITEM IS BEING REQUESTED BY THE SCREVEN COUNTY SHERIFFS OFFICE TO BE USED BY DEPUTIES FOR LAW ENFORCEMENT PURPOSES. THE CART WILL BE USED BY DEPUTIES TO TRANSPORT SUPPLIES AT OUTDOOR TRAINING FACILITY.</t>
  </si>
  <si>
    <t xml:space="preserve">
Sales Order #: 2285179825
RTD Screening Code: GSA
Reason for Rejection: YH</t>
  </si>
  <si>
    <t>2YTKVK60584506</t>
  </si>
  <si>
    <t>THIS ITEM IS BEING REQUESTED BY THE SCREVEN COUNTY SHERIFFS OFFICE TO BE USED BY DEPUTIES FOR LAW ENFORCEMENT PURPOSES. THE ATVS WILL BE USED BY DEPUTIES TO TRANSPORT PERSONNEL AND EQUIP IN RURAL WIDERNESS AREAS OF COUNTY.</t>
  </si>
  <si>
    <t xml:space="preserve">
Sales Order #: 2280363889
RTD Screening Code: DOD
Reason for Rejection: YH</t>
  </si>
  <si>
    <t>2YTKVK60160935</t>
  </si>
  <si>
    <t>THIS ITEM IS BEING REQUESTED BY THE SCREVEN COUNTY SHERIFFS OFFICE TO BE USED BY DEPUTIES FOR LAW ENFORCEMENT PURPOSES. THE TRUCK WILL BE USED BY DEPUTIES TO TRANSPORTATION IN CLANDESTINE MANNER FOR NARCOTICS OPERATIONS.</t>
  </si>
  <si>
    <t xml:space="preserve">
Sales Order #: 2280363900
RTD Screening Code: DOD
Reason for Rejection: YH</t>
  </si>
  <si>
    <t>2YTKVK60160934</t>
  </si>
  <si>
    <t>THIS ITEM IS BEING REQUESTED BY THE SCREVEN COUNTY SHERIFFS OFFICE TO BE USED BY DEPUTIES FOR LAW ENFORCEMENT PURPOSES. THE TRAILER WILL BE USED BY DEPUTIES TO TRANSPORT BOATS FOR MARITIME ACTIVITIES.</t>
  </si>
  <si>
    <t xml:space="preserve">
Sales Order #: 2277591549
RTD Screening Code: DOD
Reason for Rejection: Y9</t>
  </si>
  <si>
    <t>2YTKVK60160585</t>
  </si>
  <si>
    <t>THIS ITEM IS BEING REQUESTED BY THE SCREVEN COUNTY SHERIFFS OFFICE TO BE USED BY DEPUTIES FOR LAW ENFORCEMENT PURPOSES. THE GENERATOR WILL BE USED BY DEPUTIES TO PROVIDE EMERGENCY POWER IN REMOTE AREAS DURING EXTENDED OUTAGES TO PERFORM THEIR DUTIES.</t>
  </si>
  <si>
    <t xml:space="preserve">
Sales Order #: 2280537293
RTD Screening Code: DOD
Reason for Rejection: YH</t>
  </si>
  <si>
    <t>2YTKVK53609208</t>
  </si>
  <si>
    <t>THIS ITEM IS BEING REQUESTED BY THE SCREVEN COUNTY SHERIFFS OFFICE TO BE USED BY DEPUTIES FOR LAW ENFORCEMENT PURPOSES. THE GENERATOR WILL BE USED BY DEPUTIES TO PROVIDEPORTABLE POWER DURING LAW ENFORCEMENT REMOTE AREAS.</t>
  </si>
  <si>
    <t xml:space="preserve">
Sales Order #: 2279952092
RTD Screening Code: DOD
Reason for Rejection: YH</t>
  </si>
  <si>
    <t>2YTKVK53468845</t>
  </si>
  <si>
    <t>THIS ITEM IS BEING REQUESTED BY THE SCREVEN COUNTY SHERIFFS OFFICE TO BE USED BY DEPUTIES FOR LAW ENFORCEMENT PURPOSES. THE SIGHTS WILL BE USED BY DEPUTIES ON ISSUED LONGGUNS FOR LAW ENFORCEMENT PURPOSES AND TRAINING.</t>
  </si>
  <si>
    <t xml:space="preserve">
Sales Order #: 2273978982
RTD Screening Code: DOD
Reason for Rejection: YF</t>
  </si>
  <si>
    <t>2YTKVK53398382</t>
  </si>
  <si>
    <t>THIS ITEM IS BEING REQUESTED BY THE SCREVEN COUNTY SHERIFFS OFFICE TO BE USED BY DEPUTIES FOR LAW ENFORCEMENT PURPOSES. THE DOOR WILL BE USED BY DEPUTIES TO PROVIDE ON HMMWV THAT ARE BEING USED BY LEO FOR DUTY.</t>
  </si>
  <si>
    <t xml:space="preserve">
Sales Order #: 2273978978
RTD Screening Code: DOD
Reason for Rejection: YF</t>
  </si>
  <si>
    <t>2YTKVK53398379</t>
  </si>
  <si>
    <t xml:space="preserve">
Sales Order #: 2273978973
RTD Screening Code: DOD
Reason for Rejection: YF</t>
  </si>
  <si>
    <t>2YTKVK53398375</t>
  </si>
  <si>
    <t>THIS ITEM IS BEING REQUESTED BY THE SCREVEN COUNTY SHERIFFS OFFICE TO BE USED BY DEPUTIES FOR LAW ENFORCEMENT PURPOSES. THE GENERATOR WILL BE USED BY DEPUTIES TO PROVIDE EMERGENCY POWER IN REMOTE AREAS OF COUNTY DURING DISASTERS.</t>
  </si>
  <si>
    <t xml:space="preserve">
Sales Order #: 2279218690
RTD Screening Code: DOD
Reason for Rejection: YH</t>
  </si>
  <si>
    <t>2YTKVK53327585</t>
  </si>
  <si>
    <t>THIS ITEM IS BEING REQUESTED BY THE SCREVEN COUNTY SHERIFFS OFFICE TO BE USED BY DEPUTIES FOR LAW ENFORCEMENT PURPOSES. THE WELDER WILL BE USED BY DEPUTIES TO WELD TARGET STANDS AT OUTDOOR RANGE.</t>
  </si>
  <si>
    <t xml:space="preserve">
Sales Order #: 2279151376
Reason for Rejection: YH</t>
  </si>
  <si>
    <t>WELDING MACHINE,ARC</t>
  </si>
  <si>
    <t>2YTKVK53327581</t>
  </si>
  <si>
    <t>THIS ITEM IS BEING REQUESTED BY THE SCREVEN COUNTY SHERIFFS OFFICE TO BE USED BY DEPUTIES FOR LAW ENFORCEMENT PURPOSES. THE ATV WILL BE USED BY DEPUTIES TO MOVE PERSONS AND SUPPLIES AROUND TRAINING FACILITY</t>
  </si>
  <si>
    <t xml:space="preserve">
Sales Order #: 2279151382
RTD Screening Code: DOD
Reason for Rejection: YH</t>
  </si>
  <si>
    <t>2YTKVK53327570</t>
  </si>
  <si>
    <t>THIS ITEM IS BEING REQUESTED BY THE SCREVEN COUNTY SHERIFFS OFFICE TO BE USED BY DEPUTIES FOR LAW ENFORCEMENT PURPOSES. THE HEADSET WILL BE USED BY DEPUTIES TO WHILE PILOTING PLANES DURING SEARCHES.</t>
  </si>
  <si>
    <t xml:space="preserve">
Sales Order #: 2279218696
RTD Screening Code: DON
Reason for Rejection: YH</t>
  </si>
  <si>
    <t>2YTKVK53257584</t>
  </si>
  <si>
    <t>THIS ITEM IS BEING REQUESTED BY THE SCREVEN COUNTY SHERIFFS OFFICE TO BE USED BY DEPUTIES FOR LAW ENFORCEMENT PURPOSES. THE WELDER WILL BE USED BY DEPUTIES TO WELD EQUIPMENT AT LAW ENFORCEMENT FLEET SHOP.</t>
  </si>
  <si>
    <t xml:space="preserve">
Sales Order #: 2279151372
RTD Screening Code: DON
Reason for Rejection: YH</t>
  </si>
  <si>
    <t>2YTKVK53257583</t>
  </si>
  <si>
    <t>THIS ITEM IS BEING REQUESTED BY THE SCREVEN COUNTY SHERIFF'S OFFICE TO BE USED BY DEPUTIES AND SUPPORT STAFF FOR LAW ENFORCEMENT PURPOSES. THE REQUESTED GENERATORS WILL BE USED BY DEPUTIES AND SUPPORT STAFF TO POWER REMOTE OPERATIONS DURING NATURAL DISASTERS AS WELL AS PROVIDE ON DEMAND POWER AT REMOTE PORTIONS OF OUTDOOR TRAINING FACILITY.</t>
  </si>
  <si>
    <t xml:space="preserve">
Sales Order #: 2277107871
RTD Screening Code: DOD
Reason for Rejection: YH</t>
  </si>
  <si>
    <t>2YTKVK52834772</t>
  </si>
  <si>
    <t>THIS ITEM IS BEING REQUESTED BY THE SCREVEN COUNTY SHERIFFS OFFICE  TO BE USED BY DEPUTIES FOR LAW ENFORCEMENT PURPOSES. THE REQUESTED SCOOTER WILL BE USED BY DEPUTIES AND SCHOOL RESOURCE OFFICERS FOR PATROLING LARGE EVENTS SUCH AS SCHOOLS DURING SPORTS GAMES, AND FESTIVALS WHERE LAW ENFORCEMENT OFFICERS NEED TO COVER LARGE CROWDED AREAS ALSO WHERE HEAVY SUPPLIES WILL NEED TO BE TRANSPORTED FOR SUPPORT OF THESE ACTIVITIES.</t>
  </si>
  <si>
    <t xml:space="preserve">
Sales Order #: 2276579547
RTD Screening Code: DOD
Reason for Rejection: YH</t>
  </si>
  <si>
    <t>2YTKVK52764042</t>
  </si>
  <si>
    <t>A FOUR-WHEELER ATV WOULD PROVIDE THE POLICE DEPARTMENT WITH INCREASED MOBILITY AND ACCESS TO AREAS THAT STANDARD PATROL VEHICLES CANNOT REACH. MANY INCIDENTS OCCUR IN LOCATIONS SUCH AS WOODED AREAS, PARKS, TRAILS, FIELDS, RIVERBANKS, AND OTHER ROUGH TERRAIN WHERE TRADITIONAL PATROL CARS ARE INEFFECTIVE. AN ATV WOULD ALLOW OFFICERS TO RESPOND MORE QUICKLY TO EMERGENCIES, SEARCH FOR MISSING PERSONS, PURSUE SUSPECTS WHO FLEE INTO OFF-ROAD AREAS, AND PATROL COMMUNITY EVENTS HELD IN OUTDOOR LOCATIO</t>
  </si>
  <si>
    <t xml:space="preserve">
Sales Order #: 2285984645
RTD Screening Code: DOD
Reason for Rejection: Y9</t>
  </si>
  <si>
    <t>2YTKU860866788</t>
  </si>
  <si>
    <t>WOULD BENEFIT THE SHPD IN  PROVIDING OFFICERS WITH A LESS-LETHAL OPTION FOR CONTROLLING VIOLENT OR RESISTING INDIVIDUALS, REDUCING THE LIKELIHOOD THAT OFFICERS MUST USE FIREARMS.</t>
  </si>
  <si>
    <t xml:space="preserve">
Sales Order #: 2285861901
Reason for Rejection: Y9</t>
  </si>
  <si>
    <t>2YTKU860796804</t>
  </si>
  <si>
    <t>DRONES WOULD PROVIDE THE POLICE DEPARTMENT WITH A VALUABLE TOOL TO ENHANCE PUBLIC SAFETY, OFFICER SAFETY, AND OPERATIONAL EFFICIENCY. EQUIPPED WITH CAMERAS AND REAL-TIME VIDEO CAPABILITIES, DRONES ALLOW OFFICERS TO QUICKLY ASSESS SITUATIONS FROM THE AIR WITHOUT PLACING PERSONNEL IN POTENTIALLY DANGEROUS POSITIONS</t>
  </si>
  <si>
    <t xml:space="preserve">
Sales Order #: 2285861902
Reason for Rejection: Y9</t>
  </si>
  <si>
    <t>2YTKU860796789</t>
  </si>
  <si>
    <t xml:space="preserve">
Sales Order #: 2285984629
RTD Screening Code: GSA
Reason for Rejection: Y9</t>
  </si>
  <si>
    <t>2YTKU860796786</t>
  </si>
  <si>
    <t>THIS TOOLKIT WOULD SIGNIFICANTLY BENEFIT THE POLICE DEPARTMENT BY PROVIDING A COST-EFFECTIVE SOLUTION TO MAINTAINING AND REPAIRING ESSENTIAL EQUIPMENT IN-HOUSE. DUE TO ONGOING BUDGET CONSTRAINTS, THE DEPARTMENT HAS LIMITED ABILITY TO OUTSOURCE REPAIRS OR REPLACE MALFUNCTIONING TOOLS AND DEVICES. HAVING THIS TOOLKIT AVAILABLE WOULD REDUCE DOWNTIME, EXTEND THE LIFESPAN OF EXISTING EQUIPMENT, AND ALLOW OFFICERS AND SUPPORT STAFF TO ADDRESS MINOR REPAIRS AND ADJUSTMENTS IMMEDIATELY WITHOUT RELYING O</t>
  </si>
  <si>
    <t xml:space="preserve">
Sales Order #: 2283314698
RTD Screening Code: DOD
Reason for Rejection: YG</t>
  </si>
  <si>
    <t>2YTKU860372506</t>
  </si>
  <si>
    <t>SCOTLAND NECK POLICE DEPT NEEDS THIS RESOURCE FOR A UNDERCOVER SURVEILLANCE VEHICLES THIS RESOURCE WILL BE UTILIZE AS A PLAIN CAR TO DO COVERT OPERATIONS TO BLEND INTO PUBLIC PLACES DURING CRIMINAL AND DRUG INVESTIGATIONS</t>
  </si>
  <si>
    <t xml:space="preserve">
Sales Order #: 2285761801
RTD Screening Code: DOD
Reason for Rejection: Y9</t>
  </si>
  <si>
    <t>2YTKUM60866295</t>
  </si>
  <si>
    <t>SCOTLAND NECK POLICE DEPT IS REQUESTING EYEWEAR PROTECTION BC ITS ESSENTIAL FOR PERSONNEL DUE TO THE HIGH LIKELIHOOD OF EXPOSURE TO AIRBORNE DEBRIS CHEMICAL IRRITANTS BALLISTIC FRAGMENTS AND OTHER HAZARDS ENCOUNTERED DURING PATROL OPERATIONS CRITICAL INCIDENTS AND TRAINING ENVIRONMENTS PROVIDING ANSI RATED PROTECTIVE EYEWEAR HELPS PREVENT AVOIDABLE EYE INJURIES SUPPORTS COMPLIANCE WITH ACCEPTED OCCUPATIONAL SAFETY STANDARDS REDUCES MEDICAL AND OPERATIONAL DOWNTIME AND DEMONSTRATES THE DEPARTMENT</t>
  </si>
  <si>
    <t xml:space="preserve">
Sales Order #: 2285177779
RTD Screening Code: DOD
Reason for Rejection: Y9</t>
  </si>
  <si>
    <t>2YTKUM60655140</t>
  </si>
  <si>
    <t>THE SCOTLAND NECK POLICE DEPARTMENT REQUESTS CAMOUFLAGE NETTING TO ENHANCE THE SAFETY EFFECTIVENESS AND OPERATIONAL CAPABILITY OF OFFICERS CONDUCTING COVERT SURVEILLANCE CAMOUFLAGE NETTING IS A CRITICAL TOOL THAT DIRECTLY SUPPORTS INTELLIGENCE GATHERING EFFORTS REDUCES OPERATIONAL RISKS AND STRENGTHENS INVESTIGATIVE OUTCOMES DURING BOTH SHORT TERM AND LONG TERM SURVEILLANCE OPERATIONS DEPEND ON OFFICERS MAINTAINING CONCEALMENT AND AVOIDING DETECTION BY SUSPECTS IN MANY OPERATIONAL ENVIRONMENTS</t>
  </si>
  <si>
    <t xml:space="preserve">
Sales Order #: 2285179993
RTD Screening Code: DOD
Reason for Rejection: Y9</t>
  </si>
  <si>
    <t>2YTKUM60655139</t>
  </si>
  <si>
    <t>SCOTLAND NECK POLICE DEPARTMENT NEEDS THESE RESOURCES FOR SEARCH A RESCUE OF MISSING AND RUN AWAY CHILDREN AND ELDERLY PEOPLE WITH COGNITIVE IMPAIRMENTS ALONG WITH ASSISTING WITH PARADES AND FESTIVALS FOR MOVING AROUND SUPPORT PERSONAL AND INCLEMENT WEATHER</t>
  </si>
  <si>
    <t>2YTKUM60513252</t>
  </si>
  <si>
    <t xml:space="preserve">THE SCOTLAND COUNT SHERIFF'S OFFICE IS LOOKING FOR A UNMANNED GROUND UNIT TO ASSIST THE AGENCY WITH BOTH TACTICAL AND SEARCH AND RESCUE OPERATIONS.  THIS EQUIPMENT IS ESSENTIAL TO HELPING DEPUTIES ACCOMPLISH THEIR MISSIONS SAFELY AND EFFECTIVELY. THE REQUESTED ITEMS TO ASSIST THE AGENCY SWAT TEAM WITH COUNTER-DRUG AND COUNTER-TERRORISM OPERATIONS. 
</t>
  </si>
  <si>
    <t xml:space="preserve">
Sales Order #: 2279063622
Reason for Rejection: YG</t>
  </si>
  <si>
    <t>2YTKUK53536893</t>
  </si>
  <si>
    <t>SCOTLAND CSO (2YTKUK)</t>
  </si>
  <si>
    <t xml:space="preserve">
Sales Order #: 2279063628
RTD Screening Code: DOD
Reason for Rejection: YH</t>
  </si>
  <si>
    <t>RECON SCOUT XT</t>
  </si>
  <si>
    <t>2YTKUK53466393</t>
  </si>
  <si>
    <t>THE SARDINIA POLICE DEPARTMENT IS REQUESTING RESOURCES FOR THE POLICE DEPARTMENT TRAINING DEPARTMENT. WITH LIMITED AND NO ADDITIONAL FUNDING RESOURCES FOR SAFETY ITEMS NEEDED TO QUALIFY OFFICERS AT THE FIRING RANGE. RECEIPT OF THE REQUESTED ITEM WOULD ASSIST, SUSTAIN, AND REDUCE THE COST FOR SARDINIA POLICE DEPARTMENT TO ISSUE OR PROVIDE SAFETY ITEMS NEEDED TO CONDUCT SIMI AND YEARLY FIREARM QUALIFICATION FOR POLICE OFFICERS.</t>
  </si>
  <si>
    <t xml:space="preserve">
Sales Order #: 2285179009
RTD Screening Code: DOD
Reason for Rejection: Y9</t>
  </si>
  <si>
    <t>CS</t>
  </si>
  <si>
    <t>PROTECTOR,HEARING</t>
  </si>
  <si>
    <t>2YTKSE60724924</t>
  </si>
  <si>
    <t>THE SARDINIA POLICE DEPARTMENT HAS SIGNED A MEMORANDUM OF AGREEMENT WITH THE UNITED STATES IMMIGRATION AND CUSTOMS ENFORCEMENT ICE TO PERFORM FUNCTIONS AS IMMIGRATION AND CUSTOMS ENFORCEMENT OFFICERS. THE REQUESTED RESOURCE WOULD BE USED AS AN IMMIGRATION AND CUSTOMS ENFORCEMENT CANINE VEHICLE TO TRANSPORT THE CANINE TEAM TOO PREFORM THESE FUNCTIONS, REDUCING THE COST OF PURCHASING A CANINE VEHICLE NEEDED FOR THE SARDINIA POLICE DEPARTMENT PERFORMING IMMIGRATION AND CUSTOMS ENFORCEMENT.</t>
  </si>
  <si>
    <t xml:space="preserve">
Sales Order #: 2285152409
RTD Screening Code: DOD
Reason for Rejection: Y9</t>
  </si>
  <si>
    <t>2YTKSE60724923</t>
  </si>
  <si>
    <t>THE SARDINIA POLICE DEPARTMENT HAS SIGNED MOA WITH ICE TO PERFORM FUNCTIONS AS IMMIGRATION AND CUSTOMS ENFORCEMENT OFFICERS. SARDINIA POLICE DEPARTMENT HAS NO K9 ALL-TERRAIN VEHICLES. WITH LIMITED RESOURCES AND NO SUPPLEMENTARY FUNDING, SARDINIA POLICE DEPARTMENT IS REQUESTING RESOURCES THAT CAN BE CONVERTED TO SAFELY TRANSPORT THE K9 FOR DRUG INTERDICTION, AND CRIMINAL SURVEILLANCE SITUATIONS IN REMOTE AREAS. RECEIPT OF REQUESTED ITEMS WOULD REDUCE THE ADDITIONAL COST SARDINIA POLICE DEPT.</t>
  </si>
  <si>
    <t xml:space="preserve">
Sales Order #: 2279647092
RTD Screening Code: DOD
Reason for Rejection: Y9</t>
  </si>
  <si>
    <t>2YTKSE60029683</t>
  </si>
  <si>
    <t>TO BE STORED AT THE SAN MARCOS POLICE DEPARTMENT AND UTILIZED BY OFFICERS FOR THE RESPONDING TO ANY CALLS WITHIN THE OVER 2600 ACRES OF GREEN SPACE AND HIKE BIKE TRAILS.</t>
  </si>
  <si>
    <t xml:space="preserve">
Sales Order #: 2285177781
RTD Screening Code: DOD
Reason for Rejection: Y9</t>
  </si>
  <si>
    <t>2YTKPP60725211</t>
  </si>
  <si>
    <t>TO BE STORED AT THE SAN MARCOS POLICE DEPARTMENT AND UTILIZED FOR THE MAINTENANCE AND REPAIR OF OUR PATROL FLEET.</t>
  </si>
  <si>
    <t xml:space="preserve">
Sales Order #: 2285178118
RTD Screening Code: DOD
Reason for Rejection: Y9</t>
  </si>
  <si>
    <t>2YTKPP60655207</t>
  </si>
  <si>
    <t>THESE NVG'S WILL BE USED BY THE SAN LUIS OBISPO POLICE DEPARTMENT SWAT TEAM IN HOSTAGE RESCUE OPERATIONS, TRAINING, ETC.</t>
  </si>
  <si>
    <t xml:space="preserve">
Sales Order #: 2282252820
RTD Screening Code: DOD
Reason for Rejection: Z2</t>
  </si>
  <si>
    <t>2YTKPM60301778</t>
  </si>
  <si>
    <t>THESE ILLUMINATORS WILL BE USED BY THE SAN LUIS OBISPO POLICE DEPARTMENT SWAT TEAM IN HOSTAGE RESCUE OPERATION, TRAINING, ETC</t>
  </si>
  <si>
    <t xml:space="preserve">
Sales Order #: 2282019334
RTD Screening Code: ACCM
Reason for Rejection: Y9</t>
  </si>
  <si>
    <t>2YTKPM60301472</t>
  </si>
  <si>
    <t>THIS SIGHT WILL BE USED BY THE SAN LUIS OBISPO POLICE DEPARTMENT SWAT TEAM IN TRAINING, AND HOSTAGE RESCUE OPERATIONS</t>
  </si>
  <si>
    <t xml:space="preserve">
Sales Order #: 2281270206
Reason for Rejection: Y9</t>
  </si>
  <si>
    <t>2YTKPM60301470</t>
  </si>
  <si>
    <t>FOR USE BY ST JOSEPH CO SRT TO PROTECT EYES DURING TACTICAL TRAINING AND OPERATIONS</t>
  </si>
  <si>
    <t>2YTKLJ60442950</t>
  </si>
  <si>
    <t>SAINT JOSEPH CTY SHERIFF'S OFFICE (2YTKLJ)</t>
  </si>
  <si>
    <t>THE ST. FRANCOIS COUNTY WILL UTILIZE THIS EQUIPMENT BY ISSUING THEM TO DEPUTIES FOR USE IN WHEN NEEDED WHEN IN MEDICAL SITUATIONS WHEN THEY ARISE IN PERFORMANCE OF THEIR DUTIES.</t>
  </si>
  <si>
    <t xml:space="preserve">
Sales Order #: 2285333690
RTD Screening Code: DOD
Reason for Rejection: Y9</t>
  </si>
  <si>
    <t>2YTKKX60725670</t>
  </si>
  <si>
    <t>SAINT FRANCOIS COUNTY SHERIFF DEPT (2YTKKX)</t>
  </si>
  <si>
    <t>TO BE USED BY DEPUTIES WITH RUSSELL COUNTY SHERIFF'S OFFICE TO ASSIST IN NIGHT TIME DISASTER RELIEF TO HELP CREATE SAFE STAGING AREAS WITH LIGHT.</t>
  </si>
  <si>
    <t>2YTKH160725973</t>
  </si>
  <si>
    <t>TO BE USED BY DEPUTIES WITH RUSSELL COUNTY SHERIFF'S OFFICE IN THE RURAL AREAS OF THE COUNTY TO ASSIST IN OUR DUTIES TO INCLUDE DISASTER RELIEF AND FLOOD RELIEF.</t>
  </si>
  <si>
    <t>2YTKH160513213</t>
  </si>
  <si>
    <t>TO BE USED BY DEPUTIES WITH RUSSELL COUNTY SHERIFF'S OFFICE TO MOVE LARGE ITEMS AS WELL AS TRANSPORT DEPUTIES WITH DISASTER SUPPLIES AND PEOPLE TO AREAS THAT ARE HARD TO REACH BY VEHICLES THAT DO NOT HAVE 4 WHEEL DRIVE.</t>
  </si>
  <si>
    <t xml:space="preserve">
Sales Order #: 2283327118
RTD Screening Code: DOD
Reason for Rejection: Y9</t>
  </si>
  <si>
    <t>2YTKH160372513</t>
  </si>
  <si>
    <t>TO BE USED BY DEPUTIES WITH RUSSELL COUNTY SHERIFF'S OFFICE IN CONJUNCTION WITH ISSUED PATROL RIFLES TO HELP DEPUTIES BETTER COMPLETE TASKS THAT THE RIFLES ARE DESIGNED FOR.</t>
  </si>
  <si>
    <t xml:space="preserve">
Sales Order #: 2279050147
RTD Screening Code: DOD
Reason for Rejection: YH</t>
  </si>
  <si>
    <t>2YTKH153467036</t>
  </si>
  <si>
    <t xml:space="preserve">
Sales Order #: 2278666490
RTD Screening Code: DOD
Reason for Rejection: YH</t>
  </si>
  <si>
    <t>2YTKH153467035</t>
  </si>
  <si>
    <t xml:space="preserve">
Sales Order #: 2279050141
RTD Screening Code: DOD
Reason for Rejection: YH</t>
  </si>
  <si>
    <t>2YTKH153467033</t>
  </si>
  <si>
    <t>THIS MULE WILL SUPPORT LAW ENFORCEMENT OPERATIONS INCLUDING PATROL OF PARKS, WOODED AREAS, AND THE PENNYPACK WALKING TRAIL SYSTEM WHICH EXTENDS OVER 6 MILES THROUGH THE JURISDICTION. THE VEHICLE WILL ENHANCE LAW ENFORCEMENT MOBILITY FOR DRUG ENFORCEMENT, SEARCH OPERATIONS, MISSING PERSON INCIDENTS, AND SWAT SUPPORT. IT WILL ASSIST LAW ENFORCEMENT WITH CROWD CONTROL AND SECURITY DURING LARGE PUBLIC EVENTS, RAPID RESPONSE IN AREAS INACCESSIBLE TO PATROL VEHICLES, AND GENERAL LAW ENFORCEMENT PATROL</t>
  </si>
  <si>
    <t xml:space="preserve">
Sales Order #: 2285872670
RTD Screening Code: DOD
Reason for Rejection: Y9</t>
  </si>
  <si>
    <t>2YTKDD60866485</t>
  </si>
  <si>
    <t>ROCKLEDGE POLICE DEPT (2YTKDD)</t>
  </si>
  <si>
    <t>THIS ATV WILL SUPPORT LAW ENFORCEMENT OPERATIONS INCLUDING PATROL OF PARKS, WOODED AREAS, AND THE PENNYPACK WALKING TRAIL SYSTEM WHICH EXTENDS OVER 6 MILES THROUGH THE JURISDICTION. THE VEHICLE WILL ENHANCE LAW ENFORCEMENT MOBILITY FOR DRUG ENFORCEMENT, SEARCH OPERATIONS, MISSING PERSON INCIDENTS, AND SWAT SUPPORT. IT WILL ASSIST LAW ENFORCEMENT WITH CROWD CONTROL AND SECURITY DURING LARGE PUBLIC EVENTS, RAPID RESPONSE IN AREAS INACCESSIBLE TO PATROL VEHICLES, AND GENERAL LAW ENFORCEMENT PATROL</t>
  </si>
  <si>
    <t xml:space="preserve">
Sales Order #: 2285872650
RTD Screening Code: DOD
Reason for Rejection: Y9</t>
  </si>
  <si>
    <t>2YTKDD60866484</t>
  </si>
  <si>
    <t xml:space="preserve">
Sales Order #: 2285864905
RTD Screening Code: DOD
Reason for Rejection: Y9</t>
  </si>
  <si>
    <t>2YTKDD60866483</t>
  </si>
  <si>
    <t xml:space="preserve">
Sales Order #: 2285872636
RTD Screening Code: DOD
Reason for Rejection: Y9</t>
  </si>
  <si>
    <t>2YTKDD60866481</t>
  </si>
  <si>
    <t>THESE WILL BE USED FOR NIGHT TIME OPERATIONS, MISSING PERSONS, SEARCH WARRANTS, ERT TEAM.</t>
  </si>
  <si>
    <t xml:space="preserve">
Sales Order #: 2286712858
RTD Screening Code: DOD
Reason for Rejection: BQ</t>
  </si>
  <si>
    <t>2YTKB561007833</t>
  </si>
  <si>
    <t>USED FOR SWAT TEAM AND OTHER SITUATIONS WHERE WE COULD SEND A ROBOT INSTEAD OF A PERSON IN.</t>
  </si>
  <si>
    <t>2YTKB560867344</t>
  </si>
  <si>
    <t>TO USE WITH OUR ERT TEAM.</t>
  </si>
  <si>
    <t>2YTKB560867270</t>
  </si>
  <si>
    <t>THESE WILL BE USED FOR NIGHT TIME OPERATIONS WITH OUT ERT TEAM AND OR PATROL.</t>
  </si>
  <si>
    <t>2YTKB560867266</t>
  </si>
  <si>
    <t>THIS WOULD BE UTILIZED FOR OUR NIGHT OPERATIONS WITH OUR SWAT TEAM FOR OUR SNIPER.</t>
  </si>
  <si>
    <t>SKU,LEUPOLD,3.5,LR</t>
  </si>
  <si>
    <t>2YTKB560866359</t>
  </si>
  <si>
    <t>THIS ITEM WILL BE USED FOR NIGHT. OPERATIONS INVOLVING OUR PATROL DIVISION AND ERT TEAM.</t>
  </si>
  <si>
    <t xml:space="preserve">
Sales Order #: 2286155723
RTD Screening Code: DOD
Reason for Rejection: Y9</t>
  </si>
  <si>
    <t>2YTKB560796868</t>
  </si>
  <si>
    <t>THIS UNIT WILL UTILIZED BY OUR SWAT TEAM FOR OPERATIONS TO INCLUDE HOSTAGE RESCUE, SEARCH WARRANTS AND NAY SITUATION WHERE IT COULD USED INSTEAD OF PUTTING AN OFFICER IN HARMS WAY.
THIS ITEM WILL BE USED TO CLEAR BUILDINGS AND ELIMINATE AN AMBUSH OF POLICE OFFICERS.
THIS VEHICLE WILL BE USED TO IDENTIFY SUSPICIOUS PACKAGES WITHOUT PUTTING POLICE OFFICER AT RISK OF AN IED OR ANY OTHER TYPE OF THE DEVICE THAT COULD CAUSE INJURY TO LAW ENFORCEMENT OR THE PUBLIC,</t>
  </si>
  <si>
    <t xml:space="preserve">
Sales Order #: 2285713630
RTD Screening Code: DOD
Reason for Rejection: YG</t>
  </si>
  <si>
    <t>2YTKB560726033</t>
  </si>
  <si>
    <t>THIS MOBILE COMMAND UNIT WILL BE USED FOR EVENTS TO INCLUDE HAZMAT, SWAT CALL OUTS, EVENTS THAT INCLUDE  60,000 PEOPLE IN OUR TOWN FOR A CENTRALIZED FIRE, AND POLICE COMMAND.  WE BORDER TWO MAJOR INTERSTATES, I-39, I-88 WHERE WE HAVE SEEN MAJOR MASS CASUALTY INCIDENTS,  WE HAVE MAJOR COMMERCIAL INDUSTRY WHERE A MASS FIRE OR CHEMICAL INCIDENT REQUIRES A MOBILE COMMAND POST.  WE HAVE OUR OWN AIRPORT WHICH PROPOSES ANOTHER PURPOSE FOR THIS VEHICLE FOR JOINT COMMAND.</t>
  </si>
  <si>
    <t>2YTKB560442579</t>
  </si>
  <si>
    <t>COMMAND TRAILER FOR SWAT CALL OUTS, LARGE EVENTS, LARGE SCALE DISASTER, CENTRAL COMMAND STRUCTURE.</t>
  </si>
  <si>
    <t xml:space="preserve">
Sales Order #: 2281707350
RTD Screening Code: DOD
Reason for Rejection: Y9</t>
  </si>
  <si>
    <t>2YTKB560372176</t>
  </si>
  <si>
    <t>USE FOR SWAT TEAM FOR COMMUNICATION WITH BARACADED SUBJECTS, PROVIDES VIDEO TO THE TEAM DURING OPERATIONS, SEARCH WARRANT INTEL, AND SITUATIONS WHERE THE OPERATOR COULD GET HURT WHEN THE ROBOT WOULD DO IT FOR HIM.</t>
  </si>
  <si>
    <t xml:space="preserve">
Sales Order #: 2280693376
RTD Screening Code: DOD
Reason for Rejection: YG</t>
  </si>
  <si>
    <t>2YTKB560169501</t>
  </si>
  <si>
    <t>THIS UNIT WOULD GIVE SURVEILLANCE TO THE DEPARTMENT FOR PARADE ROUTES, SWAT OPERATIONS.</t>
  </si>
  <si>
    <t xml:space="preserve">
Sales Order #: 2280693402
RTD Screening Code: DOD
Reason for Rejection: YH</t>
  </si>
  <si>
    <t>2YTKB553609503</t>
  </si>
  <si>
    <t>THE ROBSTOWN POLICE DEPARTMENT WILL USE THESE ITEMS FOR THE EXCLUSIVE USE OF THE ROBSTOWN POLICE DEPT. THEY WILL BE USED FOR OFFICIAL BUSINESS ONLY AND WILL BE KEPT AND MAINTAINED BY THE POLICE DEPARTMENT. 
THE MAIN FUNCTION WILL BE TO SUPPORT OUR TACTICAL TEAM HOWEVER THEY WILL ALSO BE USED IN TIMES OF NATURAL DISASTERS REQUIRING OFF ROAD USE.</t>
  </si>
  <si>
    <t xml:space="preserve">
Sales Order #: 2285178180
RTD Screening Code: DOD
Reason for Rejection: Y9</t>
  </si>
  <si>
    <t>2YTKB260725084</t>
  </si>
  <si>
    <t xml:space="preserve">
Sales Order #: 2285178173
RTD Screening Code: DOD
Reason for Rejection: Y9</t>
  </si>
  <si>
    <t>2YTKB260725080</t>
  </si>
  <si>
    <t>THE ROBSTOWN PD WILL USE THESE ITEMS FOR LAW ENFORCEMENT PURPOSES ONLY. THEY WILL BE USED BY DETECTIVES WHILE IN THE FIELD OR AWAY FROM THE DESK. THEY WILL BE USED TO COMPLETE REPORTS AS WELL AS RUN LICENSE AND LICENSE PLATE CHECKS VIA THE COMPUTER.</t>
  </si>
  <si>
    <t xml:space="preserve">
Sales Order #: 2282174047
RTD Screening Code: DOD
Reason for Rejection: Y9</t>
  </si>
  <si>
    <t>2YTKB260372187</t>
  </si>
  <si>
    <t>THIS TRAILER WOULD BE USED FOR THE POLICE DEPARTMENT TO STORE OUR 4-WHEELER PATROL VEHICLES TO KEEP THEM SAFE FROM THE WEATHER. IT WOULD ALSO BE USED TO STORE ANY OTHER LE EQUIPMENT WHICH WOULD BE USED IN A LE ROLE.</t>
  </si>
  <si>
    <t>2YTRSC60795713</t>
  </si>
  <si>
    <t>RIVERTON PD (2YTRSC)</t>
  </si>
  <si>
    <t>WY</t>
  </si>
  <si>
    <t>THESE DEVICES WOULD BE UTILIZED BY OUR SWAT TEAM IN CONJUNCTION WITH OUR NIGHT VISION PROGRAM.  THESE ARE TRACKED AND INVENTORIED ANNUALLY.  I ACKNOWLEDGE THE CONDITION OF THIS UNIT AND I HAVE CONTACTED THE ON SITE MANAGER WHERE THIS IS LOCATED AND CONFIRMED THE FUNCTIONALITY. THESE ARE PART AND COMPONENTS AND SHOULD NOT BE CONSIDERED AS DEVICES WHEN REVIEWING THE NUMBER OF DEVICES IN OUR INVENTORY, WE ARE ALSO RETURNING SEVERAL DEVICES THAT DO NOT FUNCTION.</t>
  </si>
  <si>
    <t xml:space="preserve">
Sales Order #: 2281602899
RTD Screening Code: DOD
Reason for Rejection: Y9</t>
  </si>
  <si>
    <t>2YTRQQ60301474</t>
  </si>
  <si>
    <t>RIVERTON PD (2YTRQQ)</t>
  </si>
  <si>
    <t>UT</t>
  </si>
  <si>
    <t>THE RIVERHEAD POLICE DEPARTMENT WILL USE THIS FOR ITS MARINE PATROL</t>
  </si>
  <si>
    <t>2YTKAT60866520</t>
  </si>
  <si>
    <t>RIVERHEAD POLICE DEPT (2YTKAT)</t>
  </si>
  <si>
    <t>THE RIVERHEAD POLICE DEPARTMENT WOULD USE THIS VEHICLE FOR ITS SPECIAL OPERATION TEAM</t>
  </si>
  <si>
    <t>2YTKAT60584738</t>
  </si>
  <si>
    <t>THE RIVERHEAD POLICE DEPARTMENT WILL USE THIS VEHICLE FOR EMERGENCY OPERATIONS</t>
  </si>
  <si>
    <t>2YTKAT60301723</t>
  </si>
  <si>
    <t>THE RIVER BEND POLICE DEPARTMENT NEEDS THIS EQUIPMENT FOR EMERGENCY PREPAREDNESS AND SEARCH AND RESCUE OPERATIONS. THE TOWN IS ON THE RIVER AND WOULD BE ABLE TO EVACUATE PEOPLE DURING STORMS OR RESCUE PEOPLE FROM SINKING VESSELS</t>
  </si>
  <si>
    <t>2YTSZH60866322</t>
  </si>
  <si>
    <t>THE RIVER BEND POLICE DEPARTMENT IS IN NEED OF THIS EQUIPMENT FOR COUNTER DRUG OPERATIONS AND COUNTER TERRORISM OPERATIONS. THESE BELTS WILL ALLOW THE OFFICERS TO CARRY VITAL EQUIPMENT NEEDED TO SERVE WARRANTS AND APPREHEND HIGH RISK INDIVIDUALS</t>
  </si>
  <si>
    <t xml:space="preserve">
Sales Order #: 2285179951
RTD Screening Code: GSA
Reason for Rejection: YH</t>
  </si>
  <si>
    <t>INDIVIDUAL BELT</t>
  </si>
  <si>
    <t>DSBELT001</t>
  </si>
  <si>
    <t>2YTSZH60654800</t>
  </si>
  <si>
    <t>THE RIVER BEND POLICE DEPARTMENT NEEDS THIS EQUIPMENT FOR COUNTER DRUG AND COUNTER TERRORISM OPERATIONS. THIS EQUIPMENT WILL ENSURE WEAPONS SAFETY AND CLEARING WHEN COMING OFF THE FIRING RANGE</t>
  </si>
  <si>
    <t xml:space="preserve">
Sales Order #: 2285179854
Reason for Rejection: YH</t>
  </si>
  <si>
    <t>CLEARING BARREL,PED</t>
  </si>
  <si>
    <t>2YTSZH60594801</t>
  </si>
  <si>
    <t>THE RIVER BEND POLICE DEPARTMENT NEEDS THIS EQUIPMENT FOR COUNTER DRUG OPERATIONS. SUSPECTS DEALING AND USING DRUGS GET VIOLENT AND HAVING SOMETHING TO CARRY PEPPER SPRAY IS VITAL TO OUR SAFETY</t>
  </si>
  <si>
    <t xml:space="preserve">
Sales Order #: 2283693172
RTD Screening Code: GSA
Reason for Rejection: YH</t>
  </si>
  <si>
    <t>2YTSZH60513511</t>
  </si>
  <si>
    <t>THE RIVER BEND POLICE DEPARTMENT NEEDS THIS EQUIPMENT FOR DRUG OPERATIONS AS WELL AS NATURAL DISASTER PREPAREDNESS. THIS VEHICLE WOULD BE USED AS A MOBILE COMMAND POST WHEN THE SCENE OF A DRUG OPERATION OR NATURAL DISASTER REQUIRES AN ON SITE POST DURING THE OPERATION</t>
  </si>
  <si>
    <t xml:space="preserve">
Sales Order #: 2277940894
RTD Screening Code: DOD
Reason for Rejection: Y9</t>
  </si>
  <si>
    <t>2YTSZH60301768</t>
  </si>
  <si>
    <t>THE RIVER BEND POLICE DEPARTMENT NEEDS THIS EQUIPMENT FOR NATURAL DISASTER PREPAREDNESS. IN THE EVENT A HURRICANE KNOCKS OUT POWER, THE POLICE DEPARTMENT NEEDS TO STILL OPERATE AT NIGHT AS WELL AS ILLUMINATE AREAS OF THE TOWN</t>
  </si>
  <si>
    <t xml:space="preserve">
Sales Order #: 2282336116
RTD Screening Code: RTD2
Reason for Rejection: YF</t>
  </si>
  <si>
    <t>2YTSZH60231883</t>
  </si>
  <si>
    <t>RIVER BEND POLICE DEPARTMENT NEEDS THIS EQUIPMENT FOR NATURAL DISASTER PREPAREDNESS AND SEARCH AND RESCUE OPERATIONS. THE TOWN IS ON THE TRENT RIVER AND THIS BOAT WILL ASSIST IN EVACUATING CITIZENS AS WELL AS RESCUING THEM</t>
  </si>
  <si>
    <t>2YTSZH60080683</t>
  </si>
  <si>
    <t>THE RIVER BEND POLICE DEPARTMENT NEEDS THIS EQUIPMENT FOR DISASTER RELATED PREPAREDNESS</t>
  </si>
  <si>
    <t xml:space="preserve">
Sales Order #: 2276940780
RTD Screening Code: DOD
Reason for Rejection: YH</t>
  </si>
  <si>
    <t>2YTSZH52834626</t>
  </si>
  <si>
    <t>RCSO NEEDS THIS EQUIPMENT TO SUPPORT ITS COUNTER DRUG, DISASTER RELATED EMERGENCY RESPONSE AND PREPAREDNESS, AS WELL AS FOR SEARCH AND RESCUE OPERATIONS.  THE EQUIPMENT WOULD BE USED TO MOBILIZE AND MOVE LARGE EQUIPENT TO SUPPORT THE AGENCY EFFORTS WHERE NO DESIGNATED AGENCY EQUIPMENT NOW EXISTS.</t>
  </si>
  <si>
    <t xml:space="preserve">
Sales Order #: 2285870159
RTD Screening Code: DOD
Reason for Rejection: Y9</t>
  </si>
  <si>
    <t>2YTJ7860866208</t>
  </si>
  <si>
    <t>RCSO NEEDS THIS EQUIPMENT TO SUPPORT ITS EFFORTS IN COUNTER DRUG AND SEARCH AND RESCUE OPEATIONS.  THE ADDITION OF THESE RESOURCES WILL HELP THE RCSO MAINTAIN A HIGH DEGREE OF MISSION READINESS WHEN ACTIVATED.</t>
  </si>
  <si>
    <t xml:space="preserve">
Sales Order #: 2285864884
RTD Screening Code: DOD
Reason for Rejection: Y9</t>
  </si>
  <si>
    <t>2YTJ7860866206</t>
  </si>
  <si>
    <t>RCSO NEEDS THIS EQUIPMENT TO ASSIST WITH EMERGENCY RESPONSE AND DISASTER PREPAREDNESS AS WELL AS FOR COUNTER DRUG OPERATIONS.  THE ABILITY TO EFFECTIVELY COMMUNICATE TO INCLUDE DOCUMENTS FOR RCSO MEMBERS WILL HELP MAINTAIN A HIGH DEGREE OF MISSION READINESS.</t>
  </si>
  <si>
    <t xml:space="preserve">
Sales Order #: 2285177832
RTD Screening Code: DOD
Reason for Rejection: Y9</t>
  </si>
  <si>
    <t>2YTJ7860725160</t>
  </si>
  <si>
    <t>RCSO NEEDS THIS EQUIPMENT TO ASSIST WITH HEALTH AND FITNESS FOR OFFICERS IN THEIR PERFORMANCE OF DUTIES IN SEARCH AND RESCUE, DISASTER RELATED RESPONSE, AS WELL AS DRUG ENFORCEMENT.  THE ADDITION OF SUCH WILL HELP MAINTAIN A HIGH DEGREE OF MISSION READINESS.</t>
  </si>
  <si>
    <t xml:space="preserve">
Sales Order #: 2285179444
RTD Screening Code: DOD
Reason for Rejection: Y9</t>
  </si>
  <si>
    <t>STEPPER</t>
  </si>
  <si>
    <t>DSSTEPPER</t>
  </si>
  <si>
    <t>2YTJ7860724915</t>
  </si>
  <si>
    <t>RCSO NEEDS THIS EQUIPMENT FOR DISASTER PREPAREDNESS AND RESPONSE.  THE AGENCY CURRENTLY DOES NOT HAVE SUCH EQUIPMENT AND THE ADDITION OF SAME WOULD GREATLY IMPROVE MISSION READINESS AND CAPABILITY.</t>
  </si>
  <si>
    <t xml:space="preserve">
Sales Order #: 2285152415
RTD Screening Code: DOD
Reason for Rejection: Y9</t>
  </si>
  <si>
    <t>2YTJ7860724913</t>
  </si>
  <si>
    <t>RCSO NEEDS THIS EQUIPMENT TO SUPPORT COUNTER DRUG OPERATIONS AS THE UNIT WILL SERVE AS MOBILE COMMAND POST FOR LONG TERM SURVEILLANCE, DRUG INTERDICTION AND HARVESTING INTERRUPTIONS. IT WILL ALSO BE USED FOR DISASTER RESPONSE AND PREPAREDNESS AS THE UNIT WILL HELP MANAGE LARGE SCALE EVACUATIONS AND LOGISTICAL SUPPLY CHAINS. THE UNIT WILL ALSO BE USED FOR COUNTER TERRORISM BY TRANSPORTING SOPHISTICATED EQUIPMENT AND ACT AS A SECURE HUB FOR RCSO MEMBERS.</t>
  </si>
  <si>
    <t>2YTJ7860303875</t>
  </si>
  <si>
    <t>RCSO NEEDS THIS EQUIPMENT TO SUPPORT ITS MOBILE OPERATIONS CENTERS TO TRANSPORT TECHNICIANS AND SPECIALIZED EQUIPMENT TO HIGH RISK SCENES IN THE AGENCY'S CONTINUED  EFFORTS TO MAINTAIN A HIGH DEGREE OF MISSION CAPABILITY AND READINESS IN NARCOTICS ENFORCEMENT AND SEARCH AND RESCUE EFFORTS. THE AGENCY CURRENTLY LACKS THE ASSET NEEDED FOR SUCH ACTIVITIES AND THE ADDITION OF SUCH IS WARRANTED.</t>
  </si>
  <si>
    <t xml:space="preserve">
Sales Order #: 2281985680
RTD Screening Code: DOD
Reason for Rejection: Y9</t>
  </si>
  <si>
    <t>2YTJ7860301771</t>
  </si>
  <si>
    <t>RCSO NEEDS THIS EQUIPMENT TO MAINTAIN READINESS FOR DISASTER RELATED EMERGENCY RESPONSE AND PREPAREDNESS AS WELL AS FOR SEARCH AND RESCUE OPERATIONS.  THE AGENCY CURRENTRLY DOES NOT HAVE SUCH EQUIPMENT AND THE ADDITION OF SUCH WILL ALLOW FOR MISSION READINESS WHEN ACTIVATED.</t>
  </si>
  <si>
    <t xml:space="preserve">
Sales Order #: 2281548275
RTD Screening Code: DOD
Reason for Rejection: YH</t>
  </si>
  <si>
    <t>2YTJ7860231007</t>
  </si>
  <si>
    <t>RCSO NEEDS THIS EQUIPMENT TO SUPPORT SURVEILLANCE AND COUNTER SURVEILLANCE MISSIONS IN IS NARCOTICS ENFORCEMENT,  WHEREBY THE AGENCY CURRENTLY DOES HAVE SUCH EQUIPMENT.  THE EDITION OF SUCH WOULD INCREASE READINESS AND CAPABILITIES FOR A SUCCESSFUL OUTCOME.</t>
  </si>
  <si>
    <t xml:space="preserve">
Sales Order #: 2281517411
RTD Screening Code: DOD
Reason for Rejection: YG</t>
  </si>
  <si>
    <t>2YTJ7860230748</t>
  </si>
  <si>
    <t>RCSO NEEDS THIS EQUIPMENT TO SUPPORT ITS EFFORTS IN COUNTER DRUG AND DISASTER RELATED EMERGENCIES BY ENABLING THE AGENCY TO HAUL OVERSIZED EQUIPMENT TO SITES WHERE CALL FOR SERVICE ARE GENERATED AND LAW ENFORCEMENT RESOURCES ARE NEEDED.</t>
  </si>
  <si>
    <t xml:space="preserve">
Sales Order #: 2280602369
RTD Screening Code: DOD
Reason for Rejection: Y9</t>
  </si>
  <si>
    <t>2YTJ7860160691</t>
  </si>
  <si>
    <t>RCSO NEEDS THIS EQUIPMENT TO TRANSPORT LARGE AND OVERSIZED EQUIPMENT IN THE AGENCIES EFFORTS FOR DISASTER RELATED EMERGENCY AND RESPONSE, SEARCH AND RESCUE OPERATIONS AS WELL AS COUNTER-DRUG OPERATIONS.</t>
  </si>
  <si>
    <t xml:space="preserve">
Sales Order #: 2281060178
RTD Screening Code: DOD
Reason for Rejection: Y9</t>
  </si>
  <si>
    <t>2YTJ7860160404</t>
  </si>
  <si>
    <t xml:space="preserve">
Sales Order #: 2280751963
RTD Screening Code: DOD
Reason for Rejection: Y9</t>
  </si>
  <si>
    <t>2YTJ7860090690</t>
  </si>
  <si>
    <t>THE TRUCK WILL BE USED TO ESTABLISH INCIDENT COMMAND IN AN EMERGENCY SITUATION IN COMPLIANCE WITH THE NIMS MODEL.  THE COMMAND BUS WILL AID IN SWAT HIGH-RISK CASES TO ALLOW COMMAND AND CRISIS NEGOTIATORS TO TALK IN THE SAME ROOM.</t>
  </si>
  <si>
    <t>2YTJ5960442667</t>
  </si>
  <si>
    <t>I ACCEPT THE CONDITION CODE OF F, THE RANDOLPH COUNTY SHERIFF'S DEPARTMENT WILL USE THESE SIGHTS TO PUT ON PATROL RIFLES.</t>
  </si>
  <si>
    <t xml:space="preserve">
Sales Order #: 2286288945
RTD Screening Code: DOD
Reason for Rejection: Y9</t>
  </si>
  <si>
    <t>2YTJ2X61077099</t>
  </si>
  <si>
    <t>I CONFIRM THE CONDITION CODE AS B. THE RANDOLPH COUNTY SHERIFF'S SWAT TEAM WOULD USE THIS EQUIPMENT IF AWARDED ON OPERATIONS TO ENSURE OPERATOR SAFETY ON ROOM CLEARING SITUATIONS AND RECON OPERATIONS.</t>
  </si>
  <si>
    <t xml:space="preserve">
Sales Order #: 2285179994
RTD Screening Code: DOD
Reason for Rejection: Y9</t>
  </si>
  <si>
    <t>2YTJ2X61004883</t>
  </si>
  <si>
    <t>I ACCEPT THE CONDITION CODE H, THE RANDOLPH COUNTY SHERIFFS OFFICE WILL USE THIS ITEM TO PLACE ON OUR SNIPER RIFLES ALONG WITH DMR TO AID IN ACCURACY, PID AND SURVEILLANCE.</t>
  </si>
  <si>
    <t>2YTJ2X60937481</t>
  </si>
  <si>
    <t>2YTJ2X60937479</t>
  </si>
  <si>
    <t>2YTJ2X60937473</t>
  </si>
  <si>
    <t>I ACCEPT THE CONDITION CODE, THE RANDOLPH COUNTY SHERIFF'S OFFICE WILL BE ABLE TO USE THIS ITEM TO PLACE ON OUR SNIPER RIFLES ALONG WITH DMR'S TO AID IN ACCURACY, PID AND SURVEILLANCE.</t>
  </si>
  <si>
    <t>2YTJ2X60937465</t>
  </si>
  <si>
    <t>I ACCEPT THE CONDITION CODE H, THE RANDOLPH COUNTY SHERIFF'S OFFICE WILL USE THIS ITEM TO PLACE ON PATROL RIFLES TO AID IN DEPUTY ACCURACY.</t>
  </si>
  <si>
    <t>2YTJ2X60937463</t>
  </si>
  <si>
    <t>I ACCEPT CONDITION CODE H, THE RANDOLPH COUNTY SHERIFF'S OFFICE WILL USE THIS ITEM FOR OUR GYM TO AID IN OFFICER FITNESS AND WELLBEING</t>
  </si>
  <si>
    <t>2YTJ2X60937304</t>
  </si>
  <si>
    <t>I ACCEPT CONDITION CODE H, THE RANDOLPH COUNTY SHERIFF'S OFFICE WILL USE THIS ITEM TO ADD TO OUR GYM TO AID IN OFFICER FITNESS AND WELLBEING.</t>
  </si>
  <si>
    <t xml:space="preserve">
Sales Order #: 2286373300
RTD Screening Code: DOD
Reason for Rejection: Y9</t>
  </si>
  <si>
    <t>2YTJ2X60937303</t>
  </si>
  <si>
    <t>I ACCEPT CONDITION B, THE RANDOLPH COUNTY SHERIFF'S OFFICE WILL USE THESE CASES FOR SECURE PROPERTY STORAGE ALONG WITH TRANSPORTATION.</t>
  </si>
  <si>
    <t xml:space="preserve">
Sales Order #: 2286373312
RTD Screening Code: DOD
Reason for Rejection: Y9</t>
  </si>
  <si>
    <t>2YTJ2X60937301</t>
  </si>
  <si>
    <t>I ACCEPT THE CONDITION CODE, THE RANDOLPH COUNTY SHERIFF'S DEPARTMENT WILL USE THIS CASE TO ORGANIZE GEAR IN OUR MRAP TO KEEP IT SECURE AND PROTECTED.</t>
  </si>
  <si>
    <t xml:space="preserve">
Sales Order #: 2286325401
RTD Screening Code: DOD
Reason for Rejection: Y9</t>
  </si>
  <si>
    <t>CASE, PELICAN, SMALL, &lt;100 SQ IN</t>
  </si>
  <si>
    <t>DSPELCNSM</t>
  </si>
  <si>
    <t>2YTJ2X60937087</t>
  </si>
  <si>
    <t>I ACCEPT THE CONDITION CODE, THE RANDOLPH COUNTY SHERIFF'S DEPARTMENT IS TRYING TO BUILD A DEPARTMENT GYM AND THIS TREADMILL WILL AID IN OUR ULTIMATE GOAL TO AID IN OFFICER FITNESS</t>
  </si>
  <si>
    <t xml:space="preserve">
Sales Order #: 2286288938
RTD Screening Code: DOD
Reason for Rejection: Y9</t>
  </si>
  <si>
    <t>2YTJ2X60937085</t>
  </si>
  <si>
    <t>I ACCEPT CONDITION CODE H. THE RANDOLPH COUNTY SHERIFFS DEPARTMENT, WILL USE THIS ITEM FOR OBSERVATION FROM A SAFE DISTANCE OF SUSPECT.</t>
  </si>
  <si>
    <t>OPTICAL INSTRUMENTS</t>
  </si>
  <si>
    <t>DSOPTICIN</t>
  </si>
  <si>
    <t>2YTJ2X60866880</t>
  </si>
  <si>
    <t>I ACCEPT THE CONDITION CODE F, THE RCSD SWAT TEAM WILL BE ABLE TO USE THESE ITEMS FOR NIGHT OPERATIONS AS WE ARE A COMMUNITY WITH LARGE AMOUNT OF WOODED AREA AND FIELDS</t>
  </si>
  <si>
    <t xml:space="preserve">
Sales Order #: 2285840391
RTD Screening Code: DOD
Reason for Rejection: Y9</t>
  </si>
  <si>
    <t>2YTJ2X60866552</t>
  </si>
  <si>
    <t>I ACCEPT CONDITION CODE B, RCSD WILL BE ABLE TO USE THIS ITEM FOR STORAGE OF ITEMS IN SWAT STRONG ROOM FOR GEAR AND ITEMS IN MRAP.</t>
  </si>
  <si>
    <t>2YTJ2X60866449</t>
  </si>
  <si>
    <t>I ACCEPT CONDITION CODE B, RCSD SWAT WILL BE ABLE TO USE THIS ITEM FOR OUR SNIPER TEAM FOR NIGHT OPERATIONS TO AID IN PID.</t>
  </si>
  <si>
    <t>2YTJ2X60866446</t>
  </si>
  <si>
    <t>I ACCEPT THE CONDITION CODE, THE RCSD WILL BE ABLE TO USE THIS ITEM TO PLACE IN OUR GYM TO AID IN OFFICER AND JAILER FITNESS AS WE ARE TRYING TO BUILD A DEPARTMENT FITNESS CENTER.</t>
  </si>
  <si>
    <t xml:space="preserve">
Sales Order #: 2285713643
RTD Screening Code: DOD
Reason for Rejection: Y9</t>
  </si>
  <si>
    <t>2YTJ2X60796029</t>
  </si>
  <si>
    <t>I ACCEPT THE CONDITION CODE, THE RCSD SWAT TEAM WILL USE THESE COMBAT SHIRTS FOR UNIFORM TOPS ON OPERATIONS.</t>
  </si>
  <si>
    <t xml:space="preserve">
Sales Order #: 2285446136
RTD Screening Code: DOD
Reason for Rejection: Y9</t>
  </si>
  <si>
    <t>SHIRT,COMBAT</t>
  </si>
  <si>
    <t>2YTJ2X60795913</t>
  </si>
  <si>
    <t>THE RANDOLPH COUNTY SWAT TEAM WILL USE THESE WHAT APPEARS TO BE COMBAT SHIRTS FOR OPERATIONS.</t>
  </si>
  <si>
    <t xml:space="preserve">
Sales Order #: 2285383641
RTD Screening Code: DOD
Reason for Rejection: Y9</t>
  </si>
  <si>
    <t>2YTJ2X60725790</t>
  </si>
  <si>
    <t>I ACCEPT THE CONDITION CODE, THE RANDOLPH COUNTY SHERIFFS DEPARTMENT WILL USE THIS ITEM IN OUR GYM FOR DEPUTY FITNESS.</t>
  </si>
  <si>
    <t xml:space="preserve">
Sales Order #: 2285348459
RTD Screening Code: DOD
Reason for Rejection: YG</t>
  </si>
  <si>
    <t>2YTJ2X60725518</t>
  </si>
  <si>
    <t xml:space="preserve">
Sales Order #: 2285358583
RTD Screening Code: DOD
Reason for Rejection: YG</t>
  </si>
  <si>
    <t>2YTJ2X60725517</t>
  </si>
  <si>
    <t>I ACCEPT THE CONDITION CODE OF H AND WOULD LIKE TO REQUESTION THESE ITEMS FOR THE RANDOLPH COUNTY SHERIFF'S DEPARTMENT TO AID IN THE PROTECTION OF DEPUTIES EAR'S</t>
  </si>
  <si>
    <t xml:space="preserve">
Sales Order #: 2285179985
RTD Screening Code: DOD
Reason for Rejection: Y9</t>
  </si>
  <si>
    <t>2YTJ2X60725059</t>
  </si>
  <si>
    <t>TO AD OUR SWAT TEAM MEMBERS IN ENHANCED ACCURACY AND WEAPON AIM WHILE UNDER NVG OR GAS MASK</t>
  </si>
  <si>
    <t>2YTJ2X60513689</t>
  </si>
  <si>
    <t>OUR TACTICAL TEAM COULD USE THESE TO ENHANCE OUR ACCURACY WHILE SHOOTING IN GAS MASK'S AND FOR MARKING AREAS TO SEARCH OR LOOK AT. WE CURRENTLY HAVE 14 OPERATORS ON OUR TEAM.</t>
  </si>
  <si>
    <t>2YTJ2X60513467</t>
  </si>
  <si>
    <t>WILL BE STORED AT QPD FOR THE EMPLOYEES TO USE IN OUR PRIVATE GYM.</t>
  </si>
  <si>
    <t xml:space="preserve">
Sales Order #: 2273671386
RTD Screening Code: DOD
Reason for Rejection: YG</t>
  </si>
  <si>
    <t>2YTJ1C53327432</t>
  </si>
  <si>
    <t>QUINCY POLICE DEPARTMENT (2YTJ1C)</t>
  </si>
  <si>
    <t>PULLMAN PD HAS A MAXXPRO MRV THAT NEEDS NEW TIRES.</t>
  </si>
  <si>
    <t xml:space="preserve">
Sales Order #: 2278527067
RTD Screening Code: DOD
Reason for Rejection: YG</t>
  </si>
  <si>
    <t>2YTJY653469070</t>
  </si>
  <si>
    <t>PULLMAN POLICE DEPT (2YTJY6)</t>
  </si>
  <si>
    <t>FOR THE PROSPECT POLICE DEPARTMENT TO USE TO TRAVEL OFF THE ROAD.</t>
  </si>
  <si>
    <t>2YTJYC60866305</t>
  </si>
  <si>
    <t>FOR THE PROSPECT POLICE DEPARTMENT TO UTILIZE TO TRAVEL OFF THE ROAD.</t>
  </si>
  <si>
    <t>2YTJYC60866303</t>
  </si>
  <si>
    <t>FOR THE PROSPECT POLICE DEPARTMENT TO ISSUE TO OFFICERS TO WEAR AS EYE PROTECTION.</t>
  </si>
  <si>
    <t>2YTJYC60866143</t>
  </si>
  <si>
    <t>FOR THE PROSPECT POLICE DEPARTMENT TO ISSUE TO OFFICERS TO WEAR IN POOR WEATHER CONDITIONS.</t>
  </si>
  <si>
    <t xml:space="preserve">
Sales Order #: 2285426909
RTD Screening Code: DOD
Reason for Rejection: Y9</t>
  </si>
  <si>
    <t>2YTJYC60724869</t>
  </si>
  <si>
    <t>2YTJYC60724866</t>
  </si>
  <si>
    <t>FOR THE PROSPECT POLICE DEPARTMENT TO USE TO SECURE POLICE EQUIPMENT.</t>
  </si>
  <si>
    <t>2YTJYC60654517</t>
  </si>
  <si>
    <t>2YTJYC60654266</t>
  </si>
  <si>
    <t>FOR THE PROSPECT POLICE DEPARTMENT TO ISSUE TO OFFICERS TO WEAR IN THE COLD.</t>
  </si>
  <si>
    <t>OVERALLS FLYERS MENS CWU-104/P</t>
  </si>
  <si>
    <t>2YTJYC60513009</t>
  </si>
  <si>
    <t>2YTJYC60512981</t>
  </si>
  <si>
    <t>FOR PROSPECT POLICE DEPT TO ISSUE TO K9 HANDLER TO USE FOR CALL OUTS AND TRAINING.</t>
  </si>
  <si>
    <t>COVERALLS,FLYERS' A</t>
  </si>
  <si>
    <t>2YTJYC60442819</t>
  </si>
  <si>
    <t>FOR THE PROSPECT POLICE DEPARTMENT TO ISSUE TO OFFICERS TO CARRY POLICE EQUIPMENT.</t>
  </si>
  <si>
    <t>BAG,FLYER'S HELMET</t>
  </si>
  <si>
    <t>2YTJYC60371958</t>
  </si>
  <si>
    <t>FOR THE PROSPECT POLICE DEPARTMENT TO ISSUE TO OFFICERS TO WEAR DURING TRAINING OR SPECIAL ASSIGNMENTS.</t>
  </si>
  <si>
    <t xml:space="preserve">
Sales Order #: 2283353427
RTD Screening Code: DOD
Reason for Rejection: Y9</t>
  </si>
  <si>
    <t>2YTJYC60371932</t>
  </si>
  <si>
    <t>FOR A THE PROSPECT POLICE DEPARTMENT TO USE TO CLEAR ROAD OBSTRUCTIONS IN EMERGENCIES.</t>
  </si>
  <si>
    <t xml:space="preserve">
Sales Order #: 2281895539
RTD Screening Code: DOD
Reason for Rejection: Y9</t>
  </si>
  <si>
    <t>2YTJYC60301510</t>
  </si>
  <si>
    <t>FOR THE PROSPECT POLICE DEPARTMENT TO USE TO CLEAR FALLEN TREES FROM THE ROADWAYS IN POOR WEATHER CONDITIONS.</t>
  </si>
  <si>
    <t xml:space="preserve">
Sales Order #: 2281895546
RTD Screening Code: GSA
Reason for Rejection: Z2</t>
  </si>
  <si>
    <t>2YTJYC60301509</t>
  </si>
  <si>
    <t>FOR THE PROSPECT POLICE DEPARTMENT TO USE TO PROTECT POLICE EQUIPMENT IN POOR WEATHER CONDITIONS.</t>
  </si>
  <si>
    <t xml:space="preserve">
Sales Order #: 2281895543
RTD Screening Code: DOD
Reason for Rejection: Y9</t>
  </si>
  <si>
    <t>2YTJYC60301505</t>
  </si>
  <si>
    <t xml:space="preserve">
Sales Order #: 2282019316
RTD Screening Code: GSA
Reason for Rejection: Z2</t>
  </si>
  <si>
    <t>SHIRT,FLYER'S</t>
  </si>
  <si>
    <t>2YTJYC60301498</t>
  </si>
  <si>
    <t xml:space="preserve">
Sales Order #: 2281895518
RTD Screening Code: DOD
Reason for Rejection: Y9</t>
  </si>
  <si>
    <t>DRAWERS,FLYERS'</t>
  </si>
  <si>
    <t>2YTJYC60301497</t>
  </si>
  <si>
    <t>FOR THE PROSPECT POLICE DEPARTMENT TO USE TO TRANSPORT AND STORE POLICE EQUIPMENT.</t>
  </si>
  <si>
    <t xml:space="preserve">
Sales Order #: 2281895564
RTD Screening Code: DOD
Reason for Rejection: Y9</t>
  </si>
  <si>
    <t>2YTJYC60301494</t>
  </si>
  <si>
    <t xml:space="preserve">
Sales Order #: 2280772794
RTD Screening Code: DOD
Reason for Rejection: Y9</t>
  </si>
  <si>
    <t>2YTJYC60230904</t>
  </si>
  <si>
    <t>FOR THE PROSPECT POLICE DEPT TO ISSUE TO OFFICERS TO WEAR IN THE COLD.</t>
  </si>
  <si>
    <t>2YTJYC60230838</t>
  </si>
  <si>
    <t xml:space="preserve">
Sales Order #: 2281219389
RTD Screening Code: DOD
Reason for Rejection: Y9</t>
  </si>
  <si>
    <t>2YTJYC60230832</t>
  </si>
  <si>
    <t>FOR THE PROSPECT POLICE DEPT TO USE TO TRANSPORT OFFICERS OFF ROAD TO RESPOND TO EMERGENCIES AND CONDUCT SEARCH AND RESCUE.</t>
  </si>
  <si>
    <t xml:space="preserve">
Sales Order #: 2281278425
RTD Screening Code: DOD
Reason for Rejection: Y9</t>
  </si>
  <si>
    <t>2YTJYC60160396</t>
  </si>
  <si>
    <t>FOR THE PROSPECT POLICE TO USE FOR MEDICAL TRAINING.</t>
  </si>
  <si>
    <t xml:space="preserve">
Sales Order #: 2267430789
RTD Screening Code: DOD
Reason for Rejection: YF</t>
  </si>
  <si>
    <t>2YTJYC60090256</t>
  </si>
  <si>
    <t>THESE ITEMS WILL BE USED ONLY BY SWORN PERSONNEL OF THE PRINCE GEORGE POLICE DEPT FOR MISSING PERSONS AND BY OUR SPECIAL RESPONSE TEAM FOR LOW LIGHT OPERATIONS. I CONTACTED DLA WARNER RBBIN ABOUT THERE CONDITION AND WE ARE WILLING TO ACCEPT THEM AS IS</t>
  </si>
  <si>
    <t>2YTJXL60866835</t>
  </si>
  <si>
    <t>THESE ITEMS WILL ONLY BE USED BY SWORN PERSONNEL OF PRINCE GEORGE COUNTY POLICE DURING SEARCH AND RESCUE OPERATIONS AS WELL AS MISSING PERSONS. THESE WILL ALSO BE USED BY OUR SPECIAL RESPONSE TEAM DURING LOW LIGHT OPERATIONS</t>
  </si>
  <si>
    <t>2YTJXL60866601</t>
  </si>
  <si>
    <t>THESE ITEMS WILL ONLY BE USED BY SWORN PERSONNEL OF PRINCE GEORGE POLICE FOR SEARCH AND RESCUE OPERATIONS ALONG WITH MISSING PERSONS. AS WELL AS OUR SPECIAL RESPONSE TEAM</t>
  </si>
  <si>
    <t>2YTJXL60866600</t>
  </si>
  <si>
    <t>THESE ITEMS WOULD BE USED ONLY BY SWORN PERSONNEL OF THE PRINCE GEORGE COUNTY POLICE. MEMBERS OF OUR MARINE AND SPECIAL RESPONSE TEAM WOULD USE THESE FOR VARIOUS OPERATIONS</t>
  </si>
  <si>
    <t>HEADSET</t>
  </si>
  <si>
    <t>DSHEADSET</t>
  </si>
  <si>
    <t>2YTJXL60794989</t>
  </si>
  <si>
    <t>THIS ITEM WOULD BE UTILIZED ONLY BU SWORN PERSONNEL OF THE PRINCE GEORGE COUNTY POLICE VA FOR SEARCH AND RESCUE AS WELL AS BY OUR SPECIAL SPECIAL RESPONSE TEAM DURING OPERATIONS</t>
  </si>
  <si>
    <t>2YTJXL60725471</t>
  </si>
  <si>
    <t>THIS ITEM WILL ONLY BE USED BY SWORN PERSONNEL PRINCE GEORGE COUNTY POLICE VIRGINIA. THIS ITEM WILL BE USED FOR SEARCH AND RESCUE AND LOW LIGHT NO LIGHT SITUATIONS. THIS ITEM WILL ALSO BE USED BY OUR SPECIAL RESPONSE TEAM</t>
  </si>
  <si>
    <t xml:space="preserve">
Sales Order #: 2283341466
RTD Screening Code: DOD
Reason for Rejection: Y9</t>
  </si>
  <si>
    <t>2YTJXL60513295</t>
  </si>
  <si>
    <t xml:space="preserve">
Sales Order #: 2283341464
RTD Screening Code: DOD
Reason for Rejection: Y9</t>
  </si>
  <si>
    <t>2YTJXL60513294</t>
  </si>
  <si>
    <t>THIS ITEM WOULD ONLY BE USED BY SWORN PERSONNEL OF THE PRINCE GEORGE COUNTY POLICE DEPT VIRGINIA. ITEM WILL BE USED FOR MISSING AND WANTED PERSONS IN LOW LIGHT-NO LIGHT SITUATIONS. THIS ITEM WOULD ALSO BE UTILIZED BY OUR SPECIAL RESPONSE TEAM.</t>
  </si>
  <si>
    <t>2YTJXL60513283</t>
  </si>
  <si>
    <t>WILL BE USED BY LAW ENFORCMENT FOR LAW ENFORCMENT.  ITEM WILL BE USED TO WORK ON PATROL CARS AND MAKE REPAIRS.</t>
  </si>
  <si>
    <t xml:space="preserve">
Sales Order #: 2282019328
Reason for Rejection: YH</t>
  </si>
  <si>
    <t>2YTJXJ60301546</t>
  </si>
  <si>
    <t>WILL BE USED BY LAW ENFORCMENT BY LAW ENFORCEMENT.  WILL BE USED BY PATROL OFFICERS, INVESTIGATIONS, BOOKING, AND COMMUNICATIONS TO DO REPORTS AND TO FOR PHOTOS OF SCENES</t>
  </si>
  <si>
    <t xml:space="preserve">
Sales Order #: 2282019344
RTD Screening Code: DOD
Reason for Rejection: Y9</t>
  </si>
  <si>
    <t>2YTJXJ60301531</t>
  </si>
  <si>
    <t>WILL BE USED BY LAW ENFORCMENT BY LAW ENFORCEMENT.  WILL BE USED BY PATROL OFFICERS, INVESTIGATIONS, BOOKING, AND COMMUNICATIONS TO DO REPORTS AND TO ACCESS RECORDS MANAGMENT SYSTEM.</t>
  </si>
  <si>
    <t xml:space="preserve">
Sales Order #: 2282019343
RTD Screening Code: DOD
Reason for Rejection: Y9</t>
  </si>
  <si>
    <t>2YTJXJ60301530</t>
  </si>
  <si>
    <t xml:space="preserve">
Sales Order #: 2281895565
RTD Screening Code: DOD
Reason for Rejection: Y9</t>
  </si>
  <si>
    <t>2YTJXJ60301529</t>
  </si>
  <si>
    <t>WILL BE USED BY LAW ENFORCMENT BY LAW ENFORCMENT FOR COMMUNITY POLICING EVENTS</t>
  </si>
  <si>
    <t xml:space="preserve">
Sales Order #: 2282019322
RTD Screening Code: GSA
Reason for Rejection: Y9</t>
  </si>
  <si>
    <t>MICROPHONE,DYNAMIC</t>
  </si>
  <si>
    <t>2YTJXJ60301527</t>
  </si>
  <si>
    <t>WILL BE USED BY LAW ENFORCEMENT FOR LAW ENFORCEMENT.  WILL BE USED IN POLICE TENTS DURING NATIONAL NIGHT OUT OR OTHER EVENTS. FOR LIGHTING</t>
  </si>
  <si>
    <t xml:space="preserve">
Sales Order #: 2282019333
RTD Screening Code: DOD
Reason for Rejection: Y9</t>
  </si>
  <si>
    <t>2YTJXJ60301525</t>
  </si>
  <si>
    <t>WILL BE USED BY LAW ENFORCEMENT FOR LAW ENFORCEMENT.  WILL BE SENT IN TO TASER FOR RECERTIFICATION AND ANY REPAIRS.  ONCE RETURNED WILL BE ISSUED TO OFFICERS. TO HAVE A LESS THAN LETHAL DEVICE.</t>
  </si>
  <si>
    <t xml:space="preserve">
Sales Order #: 2281895560
Reason for Rejection: Y9</t>
  </si>
  <si>
    <t>2YTJXJ60301523</t>
  </si>
  <si>
    <t>WILL BE USED BY LAW ENFORCEMENT FOR LAW ENFORCMENT. WILL BE USED TO DISPOSE OF PAPERWORK NO LONGER NEEDED.</t>
  </si>
  <si>
    <t xml:space="preserve">
Sales Order #: 2282019338
RTD Screening Code: DOD
Reason for Rejection: YH</t>
  </si>
  <si>
    <t>2YTJXJ60231547</t>
  </si>
  <si>
    <t>WILL BE USED BY LAW ENFORCEMENT FOR LAW ENFORCEMENT.  WILL POWER LAPTOS THE PD ALREADY HAS</t>
  </si>
  <si>
    <t xml:space="preserve">
Sales Order #: 2280619885
RTD Screening Code: GSA
Reason for Rejection: YH</t>
  </si>
  <si>
    <t>DOCKING STATION</t>
  </si>
  <si>
    <t>2YTJXJ60020056</t>
  </si>
  <si>
    <t>WILL BE UDED BY LAY ENFORCMENT FOR LAW INFORCMENT .  WILL BE PLACED IN THE DEPARTMENT TRINING ROOM</t>
  </si>
  <si>
    <t xml:space="preserve">
Sales Order #: 2280829621
RTD Screening Code: DOD
Reason for Rejection: YG</t>
  </si>
  <si>
    <t>2YTJXJ53539532</t>
  </si>
  <si>
    <t>THIS FORKLIFT WILL BE UTILIZED BY LAW ENFORCEMENT OFFICERS OF THE POOLER POLICE DEPARTMENT TO LOAD EMERGENCY SUPPLIES DURING NATURAL DISASTERS.</t>
  </si>
  <si>
    <t xml:space="preserve">
Sales Order #: 2285152397
RTD Screening Code: DOD
Reason for Rejection: Y9</t>
  </si>
  <si>
    <t>2YTJTD60725186</t>
  </si>
  <si>
    <t>POOLER POLICE DEPT (2YTJTD)</t>
  </si>
  <si>
    <t xml:space="preserve">
Sales Order #: 2286464055
RTD Screening Code: DOD
Reason for Rejection: Y9</t>
  </si>
  <si>
    <t>2YTJS060847347</t>
  </si>
  <si>
    <t xml:space="preserve">
Sales Order #: 2286459448
RTD Screening Code: DOD
Reason for Rejection: Y9</t>
  </si>
  <si>
    <t>2YTJS060847346</t>
  </si>
  <si>
    <t>THE POLK COUNTY SHERIFF'S OFFICE WILL USE THE REQUESTED PROPERTY DURING DISASTER-RELATED RESPONSE, RECOVERY AND RELIEF OPERATIONS.</t>
  </si>
  <si>
    <t xml:space="preserve">
Sales Order #: 2285713644
RTD Screening Code: GSA
Reason for Rejection: Y9</t>
  </si>
  <si>
    <t>SINK UNIT,SCRUB,FIE</t>
  </si>
  <si>
    <t>2YTJS060796044</t>
  </si>
  <si>
    <t>THE POLK COUNTY SHERIFF'S OFFICE WILL USE THE REQUESTED PROPERTY TO TRANSPORT EQUIPMENT, MATERIALS AND SUPPLIES DURING DISASTER RELATED EMERGENCIES AND SEARCH AND RESCUE OPERATIONS.</t>
  </si>
  <si>
    <t xml:space="preserve">
Sales Order #: 2285169522
RTD Screening Code: DOD
Reason for Rejection: YH</t>
  </si>
  <si>
    <t>2YTJS060725467</t>
  </si>
  <si>
    <t>THE POLK COUNTY SHERIFF'S OFFICE WILL USE THE REQUESTED PROPERTY DURING SEARCH AND RESCUE OPERATIONS AND DISASTER-RELATED RESPONSE, RECOVERY AND RELIEF OPERATIONS DURING HURRICANES AND OTHER NATURAL DISASTERS.</t>
  </si>
  <si>
    <t xml:space="preserve">
Sales Order #: 2285177794
RTD Screening Code: DOD
Reason for Rejection: Y9</t>
  </si>
  <si>
    <t>2YTJS060725320</t>
  </si>
  <si>
    <t xml:space="preserve">
Sales Order #: 2283434771
RTD Screening Code: DOD
Reason for Rejection: Y9</t>
  </si>
  <si>
    <t>2YTJS060725319</t>
  </si>
  <si>
    <t>THE POLK COUNTY SHERIFF'S OFFICE WILL USE THE REQUESTED PROPERTY TO TRANSPORT EQUIPMENT, MATERIALS AND SUPPLIES USED DURING DISASTER RELATED EMERGENCIES, SEARCH AND RESCUE OPERATIONS AND EVENT SAFETY AND SECURITY OPERATIONS.</t>
  </si>
  <si>
    <t>2YTJS060724965</t>
  </si>
  <si>
    <t>THE POLK COUNTY SHERIFF'S OFFICE WILL USE THE REQUESTED PROPERTY FOR TERRORISM PREPAREDNESS, PROTECTION, PREVENTION, RESPONSE, RECOVERY AND RELIEF OPERATIONS.</t>
  </si>
  <si>
    <t xml:space="preserve">
Sales Order #: 2285178124
RTD Screening Code: DOD
Reason for Rejection: Y9</t>
  </si>
  <si>
    <t>2YTJS060655017</t>
  </si>
  <si>
    <t>THE POLK COUNTY SHERIFF'S OFFICE WILL USE THE REQUESTED PROPERTY DURING RURAL SEARCH AND RESCUE OPERATIONS RELATED TO MISSING PERSONS AND URBAN SEARCH AND RESCUE OPERATIONS RELATED TO NATURAL DISASTERS, SUCH AS HURRICANES.</t>
  </si>
  <si>
    <t xml:space="preserve">
Sales Order #: 2285152384
RTD Screening Code: DOD
Reason for Rejection: Y9</t>
  </si>
  <si>
    <t>2YTJS060654740</t>
  </si>
  <si>
    <t>THE POLK COUNTY SHERIFF'S OFFICE WILL USE THE REQUESTED PROPERTY FOR ACTIVE SHOOTER AND ANTI-TERRORISM PREPAREDNESS AND PROTECTION DURING SAFETY AND SECURITY OPERATIONS AT LARGE-SCALE PUBLIC EVENTS.</t>
  </si>
  <si>
    <t xml:space="preserve">
Sales Order #: 2283276110
RTD Screening Code: DOD
Reason for Rejection: Y9</t>
  </si>
  <si>
    <t>2YTJS060513124</t>
  </si>
  <si>
    <t>THIS VEHICLE WILL BE USED BY THE POLK COUNTY SHERIFF'S OFFICE TO ESTABLISH A BASE OF OPERATION DURING EMERGENCY SITUATIONS SUCH AS NATURAL DISASTERS TO ASSIST THE COMMUNITY.</t>
  </si>
  <si>
    <t>2YTJS060442535</t>
  </si>
  <si>
    <t>NEEDED HIGH PROFILE VEHICLE TO FORD THROUGH FLOODING WATERS DURING A HURRICANE OR STORM INCIDENCE.</t>
  </si>
  <si>
    <t>2YTJ0D60654766</t>
  </si>
  <si>
    <t>2YTJ0D60654765</t>
  </si>
  <si>
    <t>HIGH PROFILE VEHICLE NEEDED FOR FORDING THROUGH FLOODED AREAS DURING HURRICANE OR STORMS IMPACTING THE COMMUNITY.</t>
  </si>
  <si>
    <t>2YTJ0D60654426</t>
  </si>
  <si>
    <t>ROUGH TERRAIN FORKLIFT IS NEEDED FOR OPERATIONAL NEEDS, TO CLEAR ROADWAYS AFTER STORM AND HURRICANE EVENTS, AND OFFLOADING TRUCKS WITH LAW ENFORCEMENT EQUIPMENT.</t>
  </si>
  <si>
    <t xml:space="preserve">
Sales Order #: 2281806433
RTD Screening Code: DOD
Reason for Rejection: YG</t>
  </si>
  <si>
    <t>2YTJ0D60301901</t>
  </si>
  <si>
    <t>TRUCK NEEDED FOR HIGH WATER RESCUE OPERATIONS DURING HURRICANE OR STORM EVENTS.</t>
  </si>
  <si>
    <t xml:space="preserve">
Sales Order #: 2281681626
RTD Screening Code: RTD2
Reason for Rejection: YF</t>
  </si>
  <si>
    <t>2YTJ0D60231898</t>
  </si>
  <si>
    <t>FOR USE BY LEO AND SWAT FOR TRAINING AND CRITICAL INCIDENTS SUCH AS ACTIVE SHOOTER, HOSTAGE SCENARIOS, AND ANY OTHER HIGH-RISK EMERGENCIES. AND TO BETTER SERVE AND PROTECT OUR COMMUNITIES WHICH HOST NUMEROUS POTENTIAL TARGETS SUCH AS SCHOOLS, CASINOS, MOVIE THEATERS, CONCERT VENUES, AND SPORTING EVENTS.</t>
  </si>
  <si>
    <t>2YTJNU60725064</t>
  </si>
  <si>
    <t>PINE COUNTY SHERIFF DEPT (2YTJNU)</t>
  </si>
  <si>
    <t>FOR USE BY LEO AND SWAT FOR TRAINING AND CRITICAL INCIDENTS SUCH AS ACTIVE SHOOTER, HOSTAGE SCENARIOS, AND ANY OTHER HIGH-RISK EMERGENCIES. AND TO BETTER SERVE AND PROTECT OUR COMMUNITIES WHICH HOST NUMEROUS POTENTIAL TARGETS SUCH AS SCHOOLS, CASINOS, MOVIE THEATERS, CONCERT VENUES, AND SPORTING EVENTS. THIS PROPERTY WOULD BE USED FOR APPROACHING RESIDENCES, LOUD EVENTS, TRAINING'S AND FOR CONSERVING OFFICERS HEARING.</t>
  </si>
  <si>
    <t>2YTJNU60725062</t>
  </si>
  <si>
    <t>2YTJNU60655066</t>
  </si>
  <si>
    <t>THIS ITEM WILL BE USED TO THE PIMA POLICE DEPARTMENT. THIS ITEM WILL BE ISSUED TO THE OFFICERS OF THE PIMA POLICE DEPARTMENT FOR SURVEILLANCE AND PATROL. THE ITEM WILL ALSO BE DEPLOYED BY OFFICERS FOR INCIDENTS AND EVENTS WHERE EXTRA VEHICLES WITH THE ABLE FOR ATV FOR TERRAIN AND SIZE FOR LARGE CROWDS.</t>
  </si>
  <si>
    <t>2YTJNL60513390</t>
  </si>
  <si>
    <t>PIMA POLICE DEPARTMENT (2YTJNL)</t>
  </si>
  <si>
    <t>FOR USE ON PATROL RIFLES FOR PCSO FIREARMS INSTRUCTOR CADRE.</t>
  </si>
  <si>
    <t xml:space="preserve">
Sales Order #: 2270173804
RTD Screening Code: DOD
Reason for Rejection: Y9</t>
  </si>
  <si>
    <t>2YTJMP60231102</t>
  </si>
  <si>
    <t>FITNESS AND WELLNESS FOR PIERCE COUNTY SHERIFF'S OFFICE DEPUTIES.</t>
  </si>
  <si>
    <t>2YTJMP60160637</t>
  </si>
  <si>
    <t>2YTJL960372504</t>
  </si>
  <si>
    <t xml:space="preserve">
Sales Order #: 2280363868
RTD Screening Code: DOD
Reason for Rejection: Y9</t>
  </si>
  <si>
    <t>2YTJL960230936</t>
  </si>
  <si>
    <t xml:space="preserve">
Sales Order #: 2271509866
RTD Screening Code: DOD
Reason for Rejection: YG</t>
  </si>
  <si>
    <t>2YTJL960090110</t>
  </si>
  <si>
    <t>TO BE USED BY PICKENS POLICE DEPARTMENT BY PICKENS POLICE OFFICERS FOR EMERGENCIES, TRAINING, NATURAL DISASTERS, AND TO PROVIDE AID IN OFFICIAL DUTIES.</t>
  </si>
  <si>
    <t xml:space="preserve">
Sales Order #: 2283297581
RTD Screening Code: DOD
Reason for Rejection: YH</t>
  </si>
  <si>
    <t>2YTJMC60513441</t>
  </si>
  <si>
    <t>TO BE USED BY PICKENS POLICE DEPARTMENT BY PICKENS POLICE OFFICERS FOR OFFICIAL USE ON DUTY WEAPONS FOR TRAINING, SPECIAL OPERATIONS, AND EMERGENCY RESPONSE.</t>
  </si>
  <si>
    <t xml:space="preserve">
Sales Order #: 2282934493
RTD Screening Code: DOD
Reason for Rejection: Y7</t>
  </si>
  <si>
    <t>2YTJMC60302363</t>
  </si>
  <si>
    <t>TO BE USED BY PICKENS POLICE DEPARTMENT BY PICKENS POLICE OFFICERS FOR OFFICIAL USE ON DUTY WEAPON FOR TRAINING, SPECIAL OPERATIONS, AND EMERGENCY RESPONSE. WE ACKNOWLEDGE THAT THE ITEMS WERE PREVIOUSLY USED AND TURNED IN BY ANOTHER AGENCY.</t>
  </si>
  <si>
    <t>2YTJMC60302291</t>
  </si>
  <si>
    <t>TO BE USED BY THE PICKENS POLICE DEPARTMENT BY PICKENS POLICE OFFICERS FOR OFFICIAL DUTY, ON ISSUED WEAPONS FOR TRAINING, SPECIAL RESPONSE TEAM, AND EMERGENCY SITUATIONS.</t>
  </si>
  <si>
    <t xml:space="preserve">
Sales Order #: 2281665904
RTD Screening Code: DOD
Reason for Rejection: Y9</t>
  </si>
  <si>
    <t>2YTJMC60301506</t>
  </si>
  <si>
    <t>TO BE USED BY PICKENS POLICE DEPARTMENT BY PICKENS POLICE OFFICERS FOR OFFICIAL DUTY IN TRAINING, SPECIAL RESPONSE TEAM, SPECIAL OPERATIONS, INCLUDING TACTICAL OPERATIONS, MISSING PERSONS, AND NATURAL DISASTERS.</t>
  </si>
  <si>
    <t>2YTJMC60231073</t>
  </si>
  <si>
    <t>VIEWER KIT,NIGHT VI</t>
  </si>
  <si>
    <t>2YTJMC60231072</t>
  </si>
  <si>
    <t>TO BE USED BY PICKENS POLICE DEPARTMENT BY PICKENS POLICE OFFICERS FOR OFFICIAL DUTY ON ISSUED WEAPONS FOR TRAINING, SPECIAL RESPONSE TEAM, AND SPECIAL OPERATIONS.</t>
  </si>
  <si>
    <t xml:space="preserve">
Sales Order #: 2281763832
RTD Screening Code: DOD
Reason for Rejection: Y9</t>
  </si>
  <si>
    <t>2YTJMC60231068</t>
  </si>
  <si>
    <t xml:space="preserve">
Sales Order #: 2281766804
RTD Screening Code: DOD
Reason for Rejection: YH</t>
  </si>
  <si>
    <t>2YTJMC60231067</t>
  </si>
  <si>
    <t>TO BE USED BY PICKENS POLICE DEPARTMENT BY PICKENS POLICE OFFICERS FOR OFFICIAL DUTY ON ISSUED WEAPONS FOR TRAINING, SPECIAL RESPONSE TEAM.</t>
  </si>
  <si>
    <t xml:space="preserve">
Sales Order #: 2281766801
RTD Screening Code: DOD
Reason for Rejection: Y9</t>
  </si>
  <si>
    <t>2YTJMC60231063</t>
  </si>
  <si>
    <t>TO BE USED BY THE PICKENS POLICE DEPARTMENT BY PICKENS POLICE OFFICERS FOR OFFICIAL USE.</t>
  </si>
  <si>
    <t>2YTJMC60230973</t>
  </si>
  <si>
    <t>TO BE USED BY PICKENS POLICE DEPARTMENT BY PICKENS POLICE OFFICERS FOR OFFICIAL USE ON DEPARTMENT ISSUED FIREARMS FOR TRAINING, SPECIAL RESPONSE TEAM, AND SPECIAL OPERATIONS WHERE THE ADVANTAGE OF OPTICS ARE CRUCIAL.</t>
  </si>
  <si>
    <t xml:space="preserve">
Sales Order #: 2281971415
RTD Screening Code: DOD
Reason for Rejection: YG</t>
  </si>
  <si>
    <t>2YTJMC60161250</t>
  </si>
  <si>
    <t>TO BE USED BY PICKENS POLICE DEPARTMENT BY PICKENS POLICE OFFICERS FOR OFFICIAL DUTY FOR TRAINING, SPECIAL RESPONSE TEAM, AND SPECIAL OPERATIONS. I ACKNOWLEDGE THAT THIS ITEM WAS PREVIOUSLY TURNED IN BY ANOTHER LEA.</t>
  </si>
  <si>
    <t>BINOCULAR,NIGHT VISION</t>
  </si>
  <si>
    <t>2YTJMC60161071</t>
  </si>
  <si>
    <t>TO BE USED BY PICKENS POLICE DEPARTMENT BY PICKENS POLICE OFFICERS FOR OFFICIAL DUTY ON ISSUED WEAPONS FOR TRAINING, SPECIAL RESPONSE TEAM, AND SPECIAL OPERATIONS. I ACKNOWLEDGE THAT THIS ITEM WAS PREVIOUSLY TURNED IN BY ANOTHER LEA.</t>
  </si>
  <si>
    <t>2YTJMC60161070</t>
  </si>
  <si>
    <t>2YTJMC60161069</t>
  </si>
  <si>
    <t>TO BE USED BY PICKENS POLICE DEPARTMENT BY PICKENS PICKENS POLICE OFFICERS FOR OFFICIAL LAW ENFORCEMENT PURPOSES.</t>
  </si>
  <si>
    <t xml:space="preserve">
Sales Order #: 2280525597
RTD Screening Code: DOD
Reason for Rejection: YG</t>
  </si>
  <si>
    <t>2YTJMC53609560</t>
  </si>
  <si>
    <t>PERSON COUNTY SHERIFFS OFFICE CAN USE THIS ITEM DURING NATURAL DISASTER RESPONSE AS WELL AS RIOT CONTROL AND PUBLIC ANNOUNCEMENTS AND CRISIS NEGOTIATIONS</t>
  </si>
  <si>
    <t xml:space="preserve">
Sales Order #: 2280893026
RTD Screening Code: DOD
Reason for Rejection: YH</t>
  </si>
  <si>
    <t>2YTJKM60029771</t>
  </si>
  <si>
    <t>PERSON CSO (2YTJKM)</t>
  </si>
  <si>
    <t>PERSON COUNTY CAN USE THIS ITEM TO EQUIP RIFLES TO BE ABLE ABLE TO SEE AND OPERATE IN NIGHT TIME CONDITIONS</t>
  </si>
  <si>
    <t xml:space="preserve">
Sales Order #: 2277943823
RTD Screening Code: DOD
Reason for Rejection: YH</t>
  </si>
  <si>
    <t>2YTJKM53468583</t>
  </si>
  <si>
    <t>THE REQUESTED RESOURCE WILL BE UTILIZED BY THE PENDER COUNTY SHERIFF'S OFFICE TO BE USED AS A CONVEYANCE AT OUR LARGE SCHOOL CAMPUSES IN THE COUNTY FOR SAFETY AND SECURITY ON THE CAMPUS. IT WILL ALSO BE USED IN SEARCH AND RESCUE MISSIONS THAT REQUIRE OFF-ROAD VEHICLES.</t>
  </si>
  <si>
    <t xml:space="preserve">
Sales Order #: 2283507457
RTD Screening Code: DOD
Reason for Rejection: Y9</t>
  </si>
  <si>
    <t>2YTJH560513221</t>
  </si>
  <si>
    <t>THE PEA RIDGE POLICE DEPARTMENT WILL USE THIS ITEM TO ACCESS AREAS OF OUR CITY THAT CANNOT BE REACHED BY TRADITIONAL VEHICLES. WE HAVE MANY AREAS THAT ARE OFF THE MAIN ROADWAYS THAT STILL NEED EMERGENCY SERVICES. THIS WILL BE USED FOR LAW ENFORCEMENT PURPOSES ONLY.</t>
  </si>
  <si>
    <t xml:space="preserve">
Sales Order #: 2285180174
RTD Screening Code: DOD
Reason for Rejection: Y9</t>
  </si>
  <si>
    <t>2YTJGP60654494</t>
  </si>
  <si>
    <t>THE PEA RIDGE POLICE DEPARTMENT WILL USE THIS VEHICLE FOR TRANSPORTING PERSONNEL TO AND FROM DIFFERENT LOCATIONS. SPECIFICALLY, INDIVIDUALS TO COURT DATES OR OTHER LOCATIONS AS NEEDED. THIS WILL BE USED FOR LAW ENFORCEMENT PURPOSES ONLY.</t>
  </si>
  <si>
    <t xml:space="preserve">
Sales Order #: 2285178923
RTD Screening Code: DOD
Reason for Rejection: YH</t>
  </si>
  <si>
    <t>2YTJGP60654491</t>
  </si>
  <si>
    <t>THE PEA RIDGE POLICE DEPARTMENT WILL USE THIS VEHICLE TO TRANSPORT LAW ENFORCEMENT RELATED PERSONNEL TO AND FROM SPECIFIC DESTINATIONS. IT WILL BE USED FOR LAW ENFORCEMENT PURPOSES ONLY.</t>
  </si>
  <si>
    <t xml:space="preserve">
Sales Order #: 2282019325
RTD Screening Code: DOD
Reason for Rejection: Y9</t>
  </si>
  <si>
    <t>2YTJGP60231255</t>
  </si>
  <si>
    <t>THE PEA RIDGE POLICE DEPARTMENT WOULD USE THIS TRAILER TO TRANSPORT POLICE VEHICLES THAT NEED MAINTENANCE TO AND FROM LOCATION. THIS WOULD BE USED FOR LAW ENFORCEMENT PURPOSES ONLY.</t>
  </si>
  <si>
    <t>2YTJGP60160727</t>
  </si>
  <si>
    <t>THE PEA RIDGE POLICE DEPARTMENT WILL USE THIS VEHICLE TO TRANSPORT EQUIPMENT TO SITES WHERE EMERGENCY MANAGEMENT IS REQUIRED. PEA RIDGE IS A GROWING COMMUNITY AND HAS MANY AREAS THAT CAN ONLY BE ACCESSED BY TRUCK OR ATV. THIS WOULD BE USED FOR LAW ENFORCEMENT PURPOSES ONLY.</t>
  </si>
  <si>
    <t xml:space="preserve">
Sales Order #: 2273684204
RTD Screening Code: DOD
Reason for Rejection: Y9</t>
  </si>
  <si>
    <t>2YTJGP60160509</t>
  </si>
  <si>
    <t>THE PEA RIDGE POLICE DEPARTMENT WILL USE THIS VEHICLE TO TRANSPORT EQUIPMENT TO SITES WHERE EMERGENCY MANAGEMENT IS REQUIRED. PEA RIDGE IS A GROWING COMMUNITY AND HAS MANY AREAS THAT CAN ONLY BE ACCESSED BY TRUCK. THIS WOULD BE USED FOR LAW ENFORCEMENT PURPOSES ONLY.</t>
  </si>
  <si>
    <t xml:space="preserve">
Sales Order #: 2270382904
RTD Screening Code: DOD
Reason for Rejection: Y9</t>
  </si>
  <si>
    <t>2YTJGP60160507</t>
  </si>
  <si>
    <t>THE PEA RIDGE POLICE DEPARTMENT WOULD USE THIS VEHICLE TO TRANSPORT PERSONNEL FROM ONE LOCATION TO ANOTHER. THE PERSONNEL WOULD BE ASSOCIATED IN SOME CAPACITY WITHIN THE CRIMINAL JUSTICE SYSTEM. THIS WOULD BE USED FOR LAW ENFORCEMENT PURPOSES ONLY.</t>
  </si>
  <si>
    <t xml:space="preserve">
Sales Order #: 2273684202
RTD Screening Code: DOD
Reason for Rejection: Y9</t>
  </si>
  <si>
    <t>2YTJGP60160504</t>
  </si>
  <si>
    <t xml:space="preserve">
Sales Order #: 2270382902
RTD Screening Code: DOD
Reason for Rejection: YH</t>
  </si>
  <si>
    <t>2YTJGP60090503</t>
  </si>
  <si>
    <t xml:space="preserve">
Sales Order #: 2279779806
RTD Screening Code: DOD
Reason for Rejection: YH</t>
  </si>
  <si>
    <t>2YTJGP53609385</t>
  </si>
  <si>
    <t>FOR USE BY THIS LEA ONLY FOR THE TRANSPORTATION AND STORAGE OF LE EQUIPMENT.</t>
  </si>
  <si>
    <t>2YTJFH60584573</t>
  </si>
  <si>
    <t>PATERSON POLICE DEPT (2YTJFH)</t>
  </si>
  <si>
    <t>WILL BE USED AS A CRITICAL EMERGENCY COMMAND CENTER</t>
  </si>
  <si>
    <t>2YTJEV60303900</t>
  </si>
  <si>
    <t>PARSONS POLICE DEPT (2YTJEV)</t>
  </si>
  <si>
    <t>UNDERCOVER DRUG INVESTIGATIONS ENFORCEMENT</t>
  </si>
  <si>
    <t>2YTJEV60303894</t>
  </si>
  <si>
    <t>2YTJEV60303893</t>
  </si>
  <si>
    <t>2YTJEV60303892</t>
  </si>
  <si>
    <t>THIS ITEM WILL BE UTILIZED FOR LAW ENFORCEMENT PURPOSES ONLY BY COMMISSIONED TEXAS PARKS AND WILDLIFE DEPARTMENT OFFICERS WHILE OPERATING IN REMOTE LOCATIONS AND WHILE CONDUCTING SEARCH AND RESCUE OPERATIONS.</t>
  </si>
  <si>
    <t xml:space="preserve">
Sales Order #: 2285870177
RTD Screening Code: DOD
Reason for Rejection: Y9</t>
  </si>
  <si>
    <t>2YTL2660796571</t>
  </si>
  <si>
    <t>TPWD LE DIVISION REQUEST THE REFRIGERATOR FOR STORING BLOOD EVIDENCE IN FOR INTOXICATED OFFENSES.</t>
  </si>
  <si>
    <t xml:space="preserve">
Sales Order #: 2285413711
RTD Screening Code: DOD
Reason for Rejection: YH</t>
  </si>
  <si>
    <t>2YTL2660725886</t>
  </si>
  <si>
    <t>TPWD LE DIVISION REQUEST THE MEDICAL REFRIGERATOR TO STORE BLOOD EVIDENCE IN FOR VARIOUS INTOXICATED RELATED CASE FILES AND EVIDENCE SUBMISSIONS.</t>
  </si>
  <si>
    <t xml:space="preserve">
Sales Order #: 2285426910
RTD Screening Code: DOD
Reason for Rejection: YH</t>
  </si>
  <si>
    <t>REFRIGERATOR,BLOOD</t>
  </si>
  <si>
    <t>2YTL2660725885</t>
  </si>
  <si>
    <t>TPWD LE DIVISION REQUEST THE TRUCK TO BE UTILIZED AS A HIGH WATER RESCUE VEHICLE DURING NATURAL DISASTERS ACROSS THE STATE OF TEXAS.</t>
  </si>
  <si>
    <t xml:space="preserve">
Sales Order #: 2285426912
RTD Screening Code: DOD
Reason for Rejection: YH</t>
  </si>
  <si>
    <t>2YTL2660725883</t>
  </si>
  <si>
    <t>TPWD LE DIVISION REQUEST THE LUMBER TO REPLACE BOARDS ON VARIOUS BOAT TRAILERS AND ATV TRAILERS THROUGHOUT THE STATE AND ALSO ANY OTHER APPLICABLE LAW ENFORCEMENT USE..</t>
  </si>
  <si>
    <t xml:space="preserve">
Sales Order #: 2285086387
RTD Screening Code: DOD
Reason for Rejection: Y9</t>
  </si>
  <si>
    <t>LUMBER,NON-WOOD,DIM</t>
  </si>
  <si>
    <t>2YTL2660725392</t>
  </si>
  <si>
    <t>TPWD LE DIVISION REQUEST THE TOOL KITS TO ISSUE TO LAW ENFORCEMENT OFFICERS TO CARRY IN THEIR PATROL TRUCKS TO MAKE MINOR REPAIRS TO TRUCKS, BOATS, ATVS, AND TRAILERS AS NEEDED.</t>
  </si>
  <si>
    <t xml:space="preserve">
Sales Order #: 2285179826
RTD Screening Code: GSA
Reason for Rejection: YH</t>
  </si>
  <si>
    <t>2YTL2660724911</t>
  </si>
  <si>
    <t>THE TEXAS PARKS AND WILDLIFE DEPARTMENT LAW ENFORCEMENT DIVISION, REGION 2, REQUESTS WELDING EQUIPMENT TO SUPPORT TRAILER AND VESSEL MAINTENANCE, AS WELL AS OTHER AUTHORIZED LAW ENFORCEMENT OPERATIONAL NEEDS.</t>
  </si>
  <si>
    <t xml:space="preserve">
Sales Order #: 2284436740
RTD Screening Code: DOD
Reason for Rejection: Y9</t>
  </si>
  <si>
    <t>2YTL2660654368</t>
  </si>
  <si>
    <t>TPWD LE DIVISION REQUEST THE STORAGE RACK TO BE USED IN STORAGE LOCATIONS TO SAFELY STORE MISC. ITEMS AND ANY OTHER APPLICABLE LE USE.</t>
  </si>
  <si>
    <t xml:space="preserve">
Sales Order #: 2285086396
RTD Screening Code: GSA
Reason for Rejection: YH</t>
  </si>
  <si>
    <t>RACK, COMMERCIAL STORAGE</t>
  </si>
  <si>
    <t>DSRACK002</t>
  </si>
  <si>
    <t>2YTL2660635393</t>
  </si>
  <si>
    <t xml:space="preserve">
Sales Order #: 2282334345
RTD Screening Code: DOD
Reason for Rejection: Y9</t>
  </si>
  <si>
    <t>2YTL2660371993</t>
  </si>
  <si>
    <t>TPW LAW ENFORCEMENT DIVISION IS REQUESTING THE USE OF A CARGO CONTAINER TO SERVE AS SECURE, DRY STORAGE FOR MISCELLANEOUS EQUIPMENT AND SUPPLIES THAT MUST BE PROTECTED FROM WEATHER AND UNAUTHORIZED ACCESS. THE CONTAINER WILL SUPPORT OPERATIONAL NEEDS AND MAY BE USED FOR OTHER APPLICABLE LAW ENFORCEMENT PURPOSES AS REQUIRED.</t>
  </si>
  <si>
    <t xml:space="preserve">
Sales Order #: 2281895562
RTD Screening Code: DOD
Reason for Rejection: Y9</t>
  </si>
  <si>
    <t>2YTL2660301417</t>
  </si>
  <si>
    <t>THESE OPTICS ARE REQUIRED TO EQUIP 15 DEPARTMENT ISSUED 40MM LESS LETHAL LAUNCHERS. THE OPTICS IMPROVE ACCURACY, TARGET DISCRIMINATION, AND SAFE EMPLOYMENT OF IMPACT AND CHEMICAL MUNITIONS, REDUCING THE RISK OF UNINTENDED INJURY AND COLLATERAL DAMAGE. STANDARDIZING OPTICS ACROSS LAUNCHERS ENSURES CONSISTENT TRAINING, DEPLOYMENT, AND ACCOUNTABILITY DURING CROWD CONTROL AND CRITICAL INCIDENT RESPONSE.</t>
  </si>
  <si>
    <t xml:space="preserve">
Sales Order #: 2271636463
RTD Screening Code: DOD
Reason for Rejection: YG</t>
  </si>
  <si>
    <t>2YTJCA60511193</t>
  </si>
  <si>
    <t>THIS INFRARED ILLUMINATOR SUPPORTS PALMER POLICE DEPARTMENT NIGHT OPERATIONS BY PROVIDING COVERT ILLUMINATION COMPATIBLE WITH ISSUED NIGHT VISION DEVICES. IT ENHANCES OFFICER SAFETY AND SITUATIONAL AWARENESS DURING SEARCHES, SURVEILLANCE, AND HIGH RISK INCIDENTS IN LOW OR NO LIGHT ENVIRONMENTS. THE DEVICE ALLOWS EFFECTIVE TARGET IDENTIFICATION WITHOUT VISIBLE LIGHT THAT COULD COMPROMISE OFFICER POSITION OR ALERT SUSPECTS.</t>
  </si>
  <si>
    <t xml:space="preserve">
Sales Order #: 2281759761
RTD Screening Code: DOD
Reason for Rejection: Y9</t>
  </si>
  <si>
    <t>2YTJCA60231033</t>
  </si>
  <si>
    <t>BINOCULAR NIGHT VISION GOGGLES PROVIDE PALMER POLICE DEPARTMENT OFFICERS WITH ENHANCED DEPTH PERCEPTION, SITUATIONAL AWARENESS, AND SAFETY DURING LOW LIGHT AND NO LIGHT OPERATIONS. BINO NVGS IMPROVE TARGET DISCRIMINATION, NAVIGATION, AND COORDINATION DURING SEARCHES, TACTICAL OPERATIONS, RESCUES, AND PERIMETER SECURITY, REDUCING RISK TO OFFICERS AND THE PUBLIC WHILE INCREASING OPERATIONAL EFFECTIVENESS IN ALASKA EXTENDED HOURS OF DARKNESS.</t>
  </si>
  <si>
    <t xml:space="preserve">
Sales Order #: 2281759762
RTD Screening Code: DOD
Reason for Rejection: YH</t>
  </si>
  <si>
    <t>2YTJCA60161086</t>
  </si>
  <si>
    <t xml:space="preserve">
Sales Order #: 2281759753
RTD Screening Code: DOD
Reason for Rejection: YH</t>
  </si>
  <si>
    <t>2YTJCA60161085</t>
  </si>
  <si>
    <t xml:space="preserve">
Sales Order #: 2281759759
RTD Screening Code: DOD
Reason for Rejection: YH</t>
  </si>
  <si>
    <t>2YTJCA60161084</t>
  </si>
  <si>
    <t>COMPACT MOUNTED LASER AND IR ILLUMINATOR USED FOR LOW LIGHT TARGET IDENTIFICATION, SUSPECT TRACKING, OFFICER SAFETY, AND PRECISION AIMING DURING INVESTIGATIONS AND TACTICAL OPERATIONS BY PALMER POLICE DEPARTMENT.</t>
  </si>
  <si>
    <t xml:space="preserve">
Sales Order #: 2281759764
Reason for Rejection: YH</t>
  </si>
  <si>
    <t>ILLUMINATOR,INTEGRA</t>
  </si>
  <si>
    <t>2YTJCA60160526</t>
  </si>
  <si>
    <t>ILLUMINATOR FOR LOW LIGHT INVESTIGATIONS, PERIMETER OVERWATCH, SUSPECT TRACKING, ILLUMINATION, AND OFFICER SAFETY IN DARK ENVIRONMENTS. WEAPON MOUNTABLE AIMING LASER AND LIGHT COMBINATION REDUCES EQUIPMENT LOAD, IMPROVES TARGET IDENTIFICATION, AND INCREASES SAFETY DURING NIGHT OPERATIONS IN ALASKA CONDITIONS. SUPPORTS INVESTIGATIONS UNIT FIELD EQUIPMENT MODERNIZATION.</t>
  </si>
  <si>
    <t>2YTJCA60090661</t>
  </si>
  <si>
    <t>THIS VEHICLE WOULD BE USEFUL FOR TRANSPORTING INMATES, BEING USED AS EXTRA VEHICLE WHEN PATROL VEHICLES ARE DOWN FOR MAINTENANCE. OZARK COUNTY IS A SMALL COUNTY WITH A VERY SMALL BUDGET. THIS VEHICLE WOULD BE USEFUL IN MANY DIFFERENT WAYS. THIS VEHICLE COULD BE USED AS AN UNMARKED VEHICLE TO MONITOR DRUG ACTIVITY WITHOUT ALERTING COMMUNITIES LAW ENFORCEMENT IS IN THE AREA.</t>
  </si>
  <si>
    <t>2YT19C60796883</t>
  </si>
  <si>
    <t>OZARK COUNTY HAS EXPERIENCED NUMEROUS NATURAL DISASTERS, INCLUDING FIRES, TORNADOES, AND FLOODS THAT LEAVE ROADS BLOCKED, HOMES DAMAGED, AND RESIDENTS IN URGENT NEED OF ASSISTANCE. A TRACTOR WITH A BACKHOE WOULD BE A VITAL TOOL FOR RESPONSE, ALLOWING CREWS TO QUICKLY CLEAR DEBRIS, CREATE PATHWAYS TO REACH VICTIMS, AND MOVE MATERIALS THAT THREATEN HOMES AND INFRASTRUCTURE. HAVING THIS EQUIPMENT LOCALLY WOULD SIGNIFICANTLY IMPROVE THE COUNTY'S ABILITY TO RESPOND QUICKLY, PROTECT ASSETS</t>
  </si>
  <si>
    <t xml:space="preserve">
Sales Order #: 2285072206
RTD Screening Code: DOD
Reason for Rejection: Y9</t>
  </si>
  <si>
    <t>2YT19C60655412</t>
  </si>
  <si>
    <t>OZARK COUNTY'S  LOCATION ON MISSOURI'S SOUTHERN BORDER NEAR THE NEW MADRID FAULT LINE MAKES IT VULNERABLE TO EARTHQUAKES, TORNADOES, FLOODING AND FOREST FIRES. BECAUSE OF OUR RURAL LOCATION, NECESSARY TOOLS LIKE THIS ARE NOT EASILY ACCESSIBLE WHEN DISASTERS STRIKE. A BACKHOE WOULD ALLOW RESCUE CREWS TO QUICKLY CLEAR DEBRIS, REPAIR ROADS, DIG DRAINAGE, AND CREATE FIRE BREAKS, IMPROVING RESPONSE TIME AND PUBLIC SAFETY.</t>
  </si>
  <si>
    <t xml:space="preserve">
Sales Order #: 2285152401
RTD Screening Code: DOD
Reason for Rejection: Y9</t>
  </si>
  <si>
    <t>2YT19C60654521</t>
  </si>
  <si>
    <t xml:space="preserve">
Sales Order #: 2285177017
RTD Screening Code: DOD
Reason for Rejection: Y9</t>
  </si>
  <si>
    <t>2YT19C60654520</t>
  </si>
  <si>
    <t>OZARK COUNTY SHERIFF'S OFFICE NEEDS A ROAD GRADER TO SUPPORT EMERGENCY RESPONSE DURING NATURAL DISASTERS. STORM DEBRIS, FLOODING, AND WINTER WEATHER CAN BLOCK ROADS AND DELAY DEPUTIES, FIRE, AND EMS. A ROAD GRADER WILL ALLOW QUICK CLEARING OF ROUTES, IMPROVE ACCESS TO REMOTE AREAS, AND SUPPORT EVACUATIONS AND RESCUE OPERATIONS WHEN MINUTES MATTER.</t>
  </si>
  <si>
    <t xml:space="preserve">
Sales Order #: 2283350952
RTD Screening Code: DOD
Reason for Rejection: YD</t>
  </si>
  <si>
    <t>2YT19C60513368</t>
  </si>
  <si>
    <t>OZARK COUNTY IS REQUESTING ANIMAL PEN CAGES TO SAFELY HOUSE OUR K9S DURING TRANSPORT. THESE CAGES ARE SPECIFICALLY DESIGNED TO FIT SECURELY WITHIN OUR K9 UNIT, ENSURING PROPER RESTRAINT AND PROTECTION WHILE IN TRANSIT. HAVING APPROPRIATELY FITTED PEN CAGES WILL SAFEGUARD THE ANIMALS FROM INJURY DURING SUDDEN STOPS OR EMERGENCY RESPONSES AND PROVIDE A STABLE, CONTROLLED ENVIRONMENT. THIS EQUIPMENT IS ESSENTIAL TO MAINTAINING THE SAFETY, READINESS, AND WELLBEING OF OUR K9 PARTNERS.</t>
  </si>
  <si>
    <t xml:space="preserve">
Sales Order #: 2283363744
RTD Screening Code: DOD
Reason for Rejection: YG</t>
  </si>
  <si>
    <t>ANIMAL PEN/CAGE</t>
  </si>
  <si>
    <t>DSANIMPEN</t>
  </si>
  <si>
    <t>2YT19C60513333</t>
  </si>
  <si>
    <t>THE OZARK COUNTY SHERIFFS OFFICE REQUESTS A MECHANIC TOOL SET THROUGH THE LESO PROGRAM TO MAINTAIN AND REPAIR EXISTING LESO ISSUED EQUIPMENT INCLUDING HUMVEES AND OTHER HEAVY ASSETS. LIMITED BUDGET RESOURCES AND HIGH REPAIR COSTS MAKE IN HOUSE MAINTENANCE NECESSARY. THESE TOOLS WILL IMPROVE READINESS SAFETY AND SERVICE LIFE OF EQUIPMENT USED FOR EMERGENCY RESPONSE TRAINING AND PUBLIC SAFETY OPERATIONS.</t>
  </si>
  <si>
    <t xml:space="preserve">
Sales Order #: 2282334347
RTD Screening Code: DOD
Reason for Rejection: Y9</t>
  </si>
  <si>
    <t>2YT19C60372020</t>
  </si>
  <si>
    <t>THE OZARK COUNTY SHERIFFS OFFICE REQUIRES THE 2010 FORD EXPEDITION LISTED ON LESO TO REPLACE AGING AND FAILING PATROL VEHICLES. THE VEHICLE WILL BE USED FOR EMERGENCY RESPONSE, PATROL OPERATIONS, AND TRANSPORT OF PERSONNEL AND EQUIPMENT. ACQUIRING THIS VEHICLE THROUGH LESO ALLOWS THE AGENCY TO MAINTAIN PUBLIC SAFETY SERVICES IN A COST EFFECTIVE MANNER WHILE ENSURING RELIABLE EMERGENCY COVER</t>
  </si>
  <si>
    <t xml:space="preserve">
Sales Order #: 2278282265
RTD Screening Code: DOD
Reason for Rejection: Z2</t>
  </si>
  <si>
    <t>2YT19C60301396</t>
  </si>
  <si>
    <t xml:space="preserve">
Sales Order #: 2281895535
RTD Screening Code: DOD
Reason for Rejection: Y9</t>
  </si>
  <si>
    <t>2YT19C60301395</t>
  </si>
  <si>
    <t xml:space="preserve">
Sales Order #: 2278282259
RTD Screening Code: DOD
Reason for Rejection: Y9</t>
  </si>
  <si>
    <t>2YT19C60301394</t>
  </si>
  <si>
    <t xml:space="preserve">
Sales Order #: 2281895556
RTD Screening Code: DOD
Reason for Rejection: Y9</t>
  </si>
  <si>
    <t>2YT19C60301393</t>
  </si>
  <si>
    <t xml:space="preserve">
Sales Order #: 2281895515
RTD Screening Code: DOD
Reason for Rejection: Z2</t>
  </si>
  <si>
    <t>2YT19C60301392</t>
  </si>
  <si>
    <t xml:space="preserve">
Sales Order #: 2281895544
RTD Screening Code: DOD
Reason for Rejection: Y9</t>
  </si>
  <si>
    <t>2YT19C60301388</t>
  </si>
  <si>
    <t>OZARK COUNTY SHERIFF'S OFFICE NEEDS A BACKHOE THROUGH THE LESO PROGRAM TO IMPROVE EMERGENCY RESPONSE, ROAD CLEARANCE, AND DISASTER RECOVERY. A BACKHOE WILL HELP REMOVE STORM DEBRIS, CLEAR DITCHES AND CULVERTS, REPAIR WASHED OUT RURAL ROADS, ASSIST WITH FLOOD CLEANUP, AND SUPPORT SEARCH AND RESCUE OPERATIONS. THIS EQUIPMENT INCREASES PUBLIC SAFETY WHILE REDUCING COSTS TO TAXPAYERS.</t>
  </si>
  <si>
    <t xml:space="preserve">
Sales Order #: 2281230548
RTD Screening Code: DOD
Reason for Rejection: Y9</t>
  </si>
  <si>
    <t>2YT19C60160516</t>
  </si>
  <si>
    <t>OZARK COUNTY SHERIFFS OFFICE NEEDS A SKID STEER THROUGH THE LESO PROGRAM TO IMPROVE EMERGENCY RESPONSE ROAD CLEARANCE AND DISASTER RECOVERY. IT WILL HELP DEPUTIES REMOVE STORM DEBRIS CLEAR BLOCKED RURAL ROADS AND DRIVEWAYS ASSIST WITH FLOOD CLEANUP AND SUPPORT SEARCH AND RESCUE OPERATIONS. THIS EQUIPMENT IMPROVES PUBLIC SAFETY WHILE REDUCING COSTS TO TAXPAYERS.</t>
  </si>
  <si>
    <t xml:space="preserve">
Sales Order #: 2281230569
RTD Screening Code: DOD
Reason for Rejection: Y9</t>
  </si>
  <si>
    <t>2YT19C60160515</t>
  </si>
  <si>
    <t>OZARK COUNTY NEEDS A BACKHOE THROUGH THE LESO PROGRAM TO IMPROVE EMERGENCY RESPONSE AND RECOVERY OPERATIONS. DURING NATURAL DISASTERS SUCH AS FLOODS, TORNADOES, AND SEVERE STORMS, IT WOULD BE USED TO REMOVE DEBRIS, CLEAR BLOCKED ROADS, AND RESTORE ACCESS FOR FIRST RESPONDERS. THE BACKHOE WOULD ALSO ASSIST WITH DRAINAGE REPAIR, TRENCHING, AND LIFTING HEAVY MATERIALS, HELPING PROTECT LIVES AND SPEED UP RECOVERY EFFORTS.</t>
  </si>
  <si>
    <t>INDICATOR SERVICE</t>
  </si>
  <si>
    <t>2YT19C60160375</t>
  </si>
  <si>
    <t>OZARK COUNTY SHERIFF'S OFFICE NEEDS A MOBILE MONITORING TRAILER THROUGH THE LESO PROGRAM TO SUPPORT EMERGENCY OPERATIONS DURING NATURAL DISASTERS AND CRITICAL INCIDENTS. THE TRAILER WILL PROVIDE A SECURE LOCATION FOR COORDINATION AND COMMUNICATIONS WHEN RADIO SYSTEMS ARE DOWN. IT WILL IMPROVE COMMAND AND CONTROL, ALLOW DEPUTIES TO RELAY INFORMATION, AND STRENGTHEN PUBLIC SAFETY RESPONSE WHILE REDUCING COSTS TO TAXPAYERS.</t>
  </si>
  <si>
    <t xml:space="preserve">
Sales Order #: 2281230557
RTD Screening Code: DOD
Reason for Rejection: Y9</t>
  </si>
  <si>
    <t>2YT19C60090518</t>
  </si>
  <si>
    <t>OZARK COUNTY SHERIFFS OFFICE NEEDS THIS ROAD GRADER TO MAINTAIN RURAL ROADS ESSENTIAL FOR PATROL AND EMERGENCY RESPONSE. SEVERE WEATHER AND RUGGED TERRAIN OFTEN DAMAGE ROUTES AND DELAY LAW ENFORCEMENT ACCESS. THIS EQUIPMENT WILL SUPPORT SAFER TRAVEL REDUCE RESPONSE TIMES AND IMPROVE THE DEPARTMENTS ABILITY TO SERVE THE COMMUNITY.</t>
  </si>
  <si>
    <t xml:space="preserve">
Sales Order #: 2279553291
RTD Screening Code: DOD
Reason for Rejection: YH</t>
  </si>
  <si>
    <t>2YT19C53397999</t>
  </si>
  <si>
    <t>ON BEHALF OF THE OZARK COUNTY SHERIFF'S DEPARTMENT WE REQUEST A CHEVROLET TAHOE TO SUPPORT TACTICAL OPERATIONS. THE TAHOE'S DURABILITY, OFF-ROAD ABILITY, AND CARGO SPACE ALLOW SAFE AND RAPID TRANSPORT OF TEAMS TO HIGH-RISK WARRANTS OR BARRICADED SUBJECTS. ITS CIVILIAN LOOK PROVIDES DISCREET SURVEILLANCE AND COVERT APPROACH, WHILE INTERIOR SPACE SECURES GEAR AND SUPPORTS CASUALTY EVACUATION, IMPROVING OFFICER SAFETY AND RESPONSE.</t>
  </si>
  <si>
    <t xml:space="preserve">
Sales Order #: 2276937519
RTD Screening Code: DOD
Reason for Rejection: YH</t>
  </si>
  <si>
    <t>2YT19C52834623</t>
  </si>
  <si>
    <t>THIS EQUIPMENT WILL BE USED TO PROVIDE RELIABLE POWER AND CHARGING CAPABILITIES FOR DEPARTMENTAL ELECTRONIC DEVICES, COMMUNICATIONS EQUIPMENT, AND MISSION-CRITICAL SYSTEMS, BOTH AT FIXED FACILITIES AND DURING OFF-SITE OPERATIONS. THIS SUPPORTS OPERATIONAL CONTINUITY, OFFICER SAFETY, AND SUSTAINED LAW ENFORCEMENT AND PUBLIC SAFETY ACTIVITIES IN FIELD, TRAINING, AND EMERGENCY RESPONSE ENVIRONMENTS.</t>
  </si>
  <si>
    <t xml:space="preserve">
Sales Order #: 2281582566
RTD Screening Code: DOD
Reason for Rejection: YH</t>
  </si>
  <si>
    <t>2YT18X60301664</t>
  </si>
  <si>
    <t>THESE ITEMS WILL BE USED TO SECURE, PULL, OR HOIST LARGER DEPARTMENTAL EQUIPMENT DURING TRANSPORT, STAGING, OR MAINTENANCE ACTIVITIES, SUPPORTING SAFE HANDLING, ASSET PROTECTION, AND EFFICIENT OPERATIONAL SUPPORT.</t>
  </si>
  <si>
    <t xml:space="preserve">
Sales Order #: 2281582564
RTD Screening Code: DOD
Reason for Rejection: Z2</t>
  </si>
  <si>
    <t>WIRE ROPE ASSEMBLY,</t>
  </si>
  <si>
    <t>2YT18X60301657</t>
  </si>
  <si>
    <t>THIS EQUIPMENT WILL BE USED TO REMOVE OR DIVERT EXCESSIVE WATER FROM DEPARTMENTAL FACILITIES IN ORDER TO PROTECT STRUCTURAL INTEGRITY, PREVENT DAMAGE TO CRITICAL INFRASTRUCTURE, AND PRESERVE SENSITIVE AND MISSION-ESSENTIAL EQUIPMENT HOUSED WITHIN THE FACILITIES.</t>
  </si>
  <si>
    <t xml:space="preserve">
Sales Order #: 2281586792
RTD Screening Code: DOD
Reason for Rejection: Z2</t>
  </si>
  <si>
    <t>2YT18X60301651</t>
  </si>
  <si>
    <t>THE VILLAGE OF OWEGO POLICE DEPARTMENT WOULD USE THIS PROPERTY TO EQUIP OFFICERS DURING COLD WEATHER OPERATIONS WHICH WOULD INCLUDE EMERGENCY SITUATIONS AS WELL AS DISASTER MITIGATION EFFORTS.</t>
  </si>
  <si>
    <t xml:space="preserve">
Sales Order #: 2283355333
RTD Screening Code: DOD
Reason for Rejection: Y9</t>
  </si>
  <si>
    <t>2YT18K60442815</t>
  </si>
  <si>
    <t>THE VILLAGE OF OWEGO POLICE DEPARTMENT WOULD USE THIS PROPERTY TO EQUIP OFFICERS WHEN THEY NEED TO BE IN THE FIELD FOR LONGER PERIODS OF TIME, SUCH AS EMERGENCY SITUATIONS AND DISASTER MITIGATION EFFORTS.</t>
  </si>
  <si>
    <t xml:space="preserve">
Sales Order #: 2283355349
RTD Screening Code: DOD
Reason for Rejection: Y9</t>
  </si>
  <si>
    <t>2YT18K60442803</t>
  </si>
  <si>
    <t>THE VILLAGE OF OWEGO POLICE DEPARTMENT WOULD USE THIS PROPERTY TO OUTFIT OFFICERS WHEN THEY NEED TO PERFORM TASKS IN COLD WEATHER CONDITIONS. THIS WOULD INCLUDE EMERGENCY SITUATIONS AS WELL AS DISASTER MITIGATION EFFORTS.</t>
  </si>
  <si>
    <t>2YT18K60442800</t>
  </si>
  <si>
    <t>THE OWEGO VILLAGE POLICE DEPARTMENT WOULD USE THIS PROPERTY TO HELP MAINTAIN AN M923A1 CARGO TRUCK, ALREADY IN INVENTORY. THIS TRUCK IS USED IN EMERGENCY SITUATIONS AND IN OUR DISASTER MITIGATION EFFORTS.</t>
  </si>
  <si>
    <t xml:space="preserve">
Sales Order #: 2278282261
RTD Screening Code: GSA
Reason for Rejection: Z2</t>
  </si>
  <si>
    <t>CYLINDER ASSEMBLY,A</t>
  </si>
  <si>
    <t>2YT18K60301533</t>
  </si>
  <si>
    <t>THE VILLAGE OF OWEGO POLICE DEPARTMENT WOULD USE THIS PROPERTY TO HELP MAINTAIN THE M923A1 CARGO TRUCK, ALREADY IN OUR INVENTORY. THIS TRUCK IS USED IN EMERGENCY SITUATIONS AND OUR DISASTER MITIGATION EFFORTS.</t>
  </si>
  <si>
    <t xml:space="preserve">
Sales Order #: 2281971421
RTD Screening Code: GSA
Reason for Rejection: YF</t>
  </si>
  <si>
    <t>BRAKE SHOE SET</t>
  </si>
  <si>
    <t>2YT18K60231532</t>
  </si>
  <si>
    <t>THE VILLAGE OF OWEGO POLICE DEPARTMENT WOULD USE THIS PROPERTY TO OUTFIT VARIOUS DUTY WEAPON PLATFORMS FOR OFFICERS AND ADDITIONAL DEPARTMENT TRAINING WEAPON PLATFORMS. THIS WOULD EXCEED THE TYPICAL ALLOCATION LIMIT.</t>
  </si>
  <si>
    <t xml:space="preserve">
Sales Order #: 2281230538
RTD Screening Code: DOD
Reason for Rejection: Y9</t>
  </si>
  <si>
    <t>2YT18K60160582</t>
  </si>
  <si>
    <t>TO BE USED FOR SPECIAL EVENTS, OFF ROAD PATROLS, AND SEARCH AND RESCUES WHERE PATROL VEHICLES ARE IMPRACTICAL TO USE</t>
  </si>
  <si>
    <t xml:space="preserve">
Sales Order #: 2281570822
RTD Screening Code: DOD
Reason for Rejection: Y9</t>
  </si>
  <si>
    <t>2YT18E60160742</t>
  </si>
  <si>
    <t>TO BE USED FOR TOOLS AND EQUIPMENT FOR GENERAL MAINTENANCE OF BUILDING AND VEHICLES</t>
  </si>
  <si>
    <t xml:space="preserve">
Sales Order #: 2280890463
RTD Screening Code: DOD
Reason for Rejection: YG</t>
  </si>
  <si>
    <t>2YT18E53609847</t>
  </si>
  <si>
    <t>TO UTILIZE FOR EVIDENCE STORAGE</t>
  </si>
  <si>
    <t>CART, STORAGE</t>
  </si>
  <si>
    <t>DSCART005</t>
  </si>
  <si>
    <t>2YT17P60372653</t>
  </si>
  <si>
    <t>OTSEGO CSO (2YT17P)</t>
  </si>
  <si>
    <t>THE OSAGE COUNTY SHERIFF'S OFFICE WILL USE THIS VEHICLE TO DETECT AND DETER CRIMINAL ACTIVITY. OUR DETECTIVES WILL USE THIS VEHICLE COVERTLY IN AREA THAT HAVE HIGHER CRIMINAL ACTIVITY. THE VEHICLE WOULD BE UNKNOWN TO CRIMINAL ELEMENTS OF THE COMMUNITY.</t>
  </si>
  <si>
    <t xml:space="preserve">
Sales Order #: 2259195393
RTD Screening Code: DOD
Reason for Rejection: Y9</t>
  </si>
  <si>
    <t>2YT16P60160408</t>
  </si>
  <si>
    <t>THE SHERIFFS OFFICE REQUESTS APPROVAL TO OBTAIN A MEDIUM-DUTY WRECKER TO SUPPORT LAW ENFORCEMENT OPERATIONS, EQUIPMENT MOVEMENT, AND SEARCH WARRANT SEIZURES. CURRENTLY, THE OFFICE RELIES ON OUTSIDE TOWING SERVICES TO TRANSPORT SEIZED VEHICLES HEAVY EQUIPMENT AND DEPARTMENTAL ASSETS, WHICH RESULTS IN INCREASED COSTS, DELAYS, AND LIMITED AVAILABILITY DURING CRITICAL OPERATIONS.
A MEDIUM WRECKER WILL ALLOW THE SHERIFFS OFFICE TO SAFELY AND EFFICIENTLY MOVE ITS OWN EQUIPMENT INCLUDING PATROL</t>
  </si>
  <si>
    <t xml:space="preserve">
Sales Order #: 2279226554
RTD Screening Code: DOD
Reason for Rejection: YG</t>
  </si>
  <si>
    <t>2YT16P53609232</t>
  </si>
  <si>
    <t>THE OREGON COUNTY SHERIFF'S OFFICE WILL USE THE TOOLS DURING DAY TO DAY OPERATIONS AND HIGH RISK EMERGENCY SITUATIONS TO PROMOTE EMPLOYEE AND CITIZEN SAFETY.</t>
  </si>
  <si>
    <t xml:space="preserve">
Sales Order #: 2285427221
RTD Screening Code: DOD
Reason for Rejection: Y9</t>
  </si>
  <si>
    <t>TOOL KIT,URBAN OPS</t>
  </si>
  <si>
    <t>2YT15P61075787</t>
  </si>
  <si>
    <t>THE OREGON COUNTY SHERIFF'S OFFICE WILL USE THE UNIT AS A TACTICAL COMMAND CENTER FOR BOTH ROUTINE AND HIGH-RISK OPERATIONS, SERVING AS A MOBILE HUB FOR COMMAND.</t>
  </si>
  <si>
    <t xml:space="preserve">
Sales Order #: 2285872663
RTD Screening Code: DOD
Reason for Rejection: Y9</t>
  </si>
  <si>
    <t>2YT15P60866371</t>
  </si>
  <si>
    <t>THE OREGON COUNTY SHERIFF'S OFFICE WILL USE THE VEHICLE TO TRANSPORT PERSONNEL, EQUIPMENT, AND SUPPLIES DURING DAY TO DAY AND HIGH-RISK OPERATIONS.</t>
  </si>
  <si>
    <t>2YT15P60796877</t>
  </si>
  <si>
    <t>THE OREGON COUNTY SHERIFF'S OFFICE WILL USE THE CLEANER TO CLEAN AND MAINTAIN PREVIOUSLY AWARDED AND EXISTING EQUIPMENT TO EXTEND THE LIFE SPAN AND ENHANCE MISSION READINESS.</t>
  </si>
  <si>
    <t>CLEANER,STEAM,PRESSURE JET</t>
  </si>
  <si>
    <t>2YT15P60796876</t>
  </si>
  <si>
    <t>THE OREGON COUNTY SHERIFF'S OFFICE WILL USE THE VEHICLE FOR THE TRANSPORTATION OF PERSONNEL, SUPPLIES, EQUIPMENT, AND DETAINEES DURING DAY TO DAY OPERATIONS AND HIGH RISK RESPONSE OPERATIONS.</t>
  </si>
  <si>
    <t xml:space="preserve">
Sales Order #: 2285180201
RTD Screening Code: DOD
Reason for Rejection: Y9</t>
  </si>
  <si>
    <t>2YT15P60724985</t>
  </si>
  <si>
    <t>THE OREGON COUNTY SHERIFF'S OFFICE WILL USE THE DEVICES TO ENHANCE AND PRESERVE LIFE AND SAFETY OF PERSONNEL IN HIGH RISK OPERATIONS. I HAVE CONTACTED THE SITE WHERE THE PROPERTY IS LOCATED AND I ACCEPT THE CONDITION OF NIGHT VISION DEVICES.</t>
  </si>
  <si>
    <t xml:space="preserve">
Sales Order #: 2285180130
RTD Screening Code: DOD
Reason for Rejection: Y9</t>
  </si>
  <si>
    <t>2YT15P60655072</t>
  </si>
  <si>
    <t>THE OREGON COUNTY SHERIFF'S OFFICE WILL USE THE DEVICES TO ENHANCE AND PROMOTE OFFICER AND CIVILIAN SAFETY DURING DAY TO DAY AND EMERGENCY OPERATIONS.</t>
  </si>
  <si>
    <t>2YT15P60585478</t>
  </si>
  <si>
    <t>THE OREGON COUNTY SHERIFF'S OFFICE WILL USE THE VEHICLE TO TRANSPORT PERSONNEL, DETAINEES, EQUIPMENT, AND SUPPLIES DURING DAY TO DAY OPERATIONS AND EMERGENCY SITUATIONS.</t>
  </si>
  <si>
    <t xml:space="preserve">
Sales Order #: 2285237318
RTD Screening Code: ACCM
Reason for Rejection: Y9</t>
  </si>
  <si>
    <t>2YT15P60584727</t>
  </si>
  <si>
    <t xml:space="preserve">
Sales Order #: 2285188815
RTD Screening Code: ACCM
Reason for Rejection: Y9</t>
  </si>
  <si>
    <t>2YT15P60584726</t>
  </si>
  <si>
    <t xml:space="preserve">
Sales Order #: 2285188778
RTD Screening Code: ACCM
Reason for Rejection: Y9</t>
  </si>
  <si>
    <t>2YT15P60584725</t>
  </si>
  <si>
    <t>KITS WILL BE STAGED IN EACH OF THE OREGON COUNTY SHERIFF'S OFFICE PATROL VEHICLES TO PROVIDE RAPID CARE TO LAW ENFORCEMENT AND SAR K9S DURING EMERGENCY OPERATIONS.</t>
  </si>
  <si>
    <t xml:space="preserve">
Sales Order #: 2283350941
RTD Screening Code: DOD
Reason for Rejection: Z2</t>
  </si>
  <si>
    <t>2YT15P60513362</t>
  </si>
  <si>
    <t>THIS ITEM IS REQUESTED BY THE ORANGEBURG COUNTY SHERIFF'S OFFICE FOR USE BY ORANGEBURG COUNTY SHERIFF DEPUTIES FOR DEPLOYMENT DURING HIGH RISK AND CRISIS EVENTS.  THE REQUESTER UNDERSTANDS THIS ITEM MAY BE OF PREVIOUS ISSUE AND HAS CONFIRMED CONDITION OF THE ITEM.</t>
  </si>
  <si>
    <t xml:space="preserve">
Sales Order #: 2278908305
RTD Screening Code: DOD
Reason for Rejection: YG</t>
  </si>
  <si>
    <t>2YT15H53469031</t>
  </si>
  <si>
    <t>FOR THE USE BY THIS LAW ENFORCEMENT AGENCY, ORANGE POLICE ONLY.  THE TARGET AIMING LASER WILL BE UTILIZED BY SPECIAL RESPONSE OPERATORS DURING NIGHT OPERATIONS AND THE EXECUTION OF SEARCH WARRANTS. IT ENHANCES SITUATIONAL AWARENESS BY PROVIDING VISIBILITY IN LOW- OR NO-LIGHT ENVIRONMENTS, ALLOWING CONTROLLED AND DELIBERATE TACTICAL RESPONSES WHILE PROMOTING OFFICER SAFETY. BASE PERSONNEL CONFIRMED THE OPTICS ARE REPAIRABLE, FUNCTIONAL, AND MEET OPERATIONAL STANDARDS.</t>
  </si>
  <si>
    <t xml:space="preserve">
Sales Order #: 2285810355
RTD Screening Code: DOD
Reason for Rejection: Y9</t>
  </si>
  <si>
    <t>2YT15D60866150</t>
  </si>
  <si>
    <t>ORANGE POLICE DEPARTMENT (2YT15D)</t>
  </si>
  <si>
    <t>2YT15D60866148</t>
  </si>
  <si>
    <t>FOR THE USE BY THIS AGENCY, ORANGE POLICE ONLY. THE PICKUP WILL BE ASSIGNED TO THE TRAFFIC UNIT TO SUPPORT DAILY OPERATIONS. IT WILL ASSIST WITH TASKS SUCH AS TRAFFIC ACCIDENTS, CLOSURES, AND HAZARDOUS SITUATIONS, PROVIDING VITAL SUPPORT AND ENHANCING OFFICER SAFETY. THE VEHICLE WILL ALSO ASSIST DURING WINTER STORMS AND TOW THE DEPARTMENTS TRAILER, OFFERING RELIABLE PERFORMANCE AND SERVING AS A VALUABLE ASSET TO TRAFFIC ENFORCEMENT EFFORTS.</t>
  </si>
  <si>
    <t xml:space="preserve">
Sales Order #: 2285864913
RTD Screening Code: DOD
Reason for Rejection: Y9</t>
  </si>
  <si>
    <t>2YT15D60866141</t>
  </si>
  <si>
    <t>FOR USE BY THIS LAW ENFORCEMENT AGENCY. ORANGE POLICE DEPARTMENT ONLY. THE VEHICLE WILL BE UTILIZED BY PATROL EMERGENCY SERVICES UNIT OFFICERS FOR DAILY OPERATIONS AND CRITICAL INCIDENTS SUCH AS BARRICADED SUBJECTS, HOSTAGE SITUATIONS, AND ACTIVE THREAT EVENTS. IT WILL PROVIDE RAPID RESPONSE CAPABILITY, TRANSPORT ESSENTIAL EQUIPMENT, AND SUPPORT ACCESS CONTROL DURING EMERGENCY SITUATIONS.</t>
  </si>
  <si>
    <t xml:space="preserve">
Sales Order #: 2285870127
RTD Screening Code: DOD
Reason for Rejection: Y9</t>
  </si>
  <si>
    <t>2YT15D60866139</t>
  </si>
  <si>
    <t>FOR USE BY THIS LAW ENFORCEMENT AGENCY. ORANGE POLICE DEPARTMENT ONLY. THE VEHICLE WILL BE ASSIGNED TO EMERGENCY SERVICE UNIT WHERE OFFICERS WILL UTILIZE FOR DAILY OPERATIONS AND CRITICAL INCIDENT RESPONSE. PURPOSE WILL PROVIDE IMMEDIATE RESPONSE CAPABILITY, HOUSE ESSENTIAL EQUIPMENT, AND SUPPORT ACCESS CONTROL DURING BOTH ROUTINE AND EMERGENCY SITUATIONS. ADDITIONALLY, IT WILL SUPPORT SPECIAL RESPONSE IN INCIDENTS SUCH AS BARRICADED SUBJECTS AND ACTIVE THREAT SITUATIONS.</t>
  </si>
  <si>
    <t xml:space="preserve">
Sales Order #: 2285319292
RTD Screening Code: DOD
Reason for Rejection: Y9</t>
  </si>
  <si>
    <t>2YT15D60795810</t>
  </si>
  <si>
    <t xml:space="preserve">
Sales Order #: 2285347996
RTD Screening Code: DOD
Reason for Rejection: Y9</t>
  </si>
  <si>
    <t>2YT15D60795809</t>
  </si>
  <si>
    <t xml:space="preserve">
Sales Order #: 2285348002
RTD Screening Code: DOD
Reason for Rejection: YG</t>
  </si>
  <si>
    <t>2YT15D60795808</t>
  </si>
  <si>
    <t xml:space="preserve">
Sales Order #: 2285319296
RTD Screening Code: DOD
Reason for Rejection: Y9</t>
  </si>
  <si>
    <t>2YT15D60795807</t>
  </si>
  <si>
    <t>FOR THE USE BY THIS LAW ENFORCEMENT AGENCY, ORANGE POLICE ONLY. THE FLASHLIGHTS EQUIPMENT WILL BE ISSUED TO SPECIAL RESPONSE TEAM OPERATORS FOR OPERATIONAL DEPLOYMENTS AND THE EXECUTION OF WARRANTS. THIS EQUIPMENT WILL BE MOUNTED ON TACTICAL HELMETS AND WILL ENHANCE SITUATIONAL AWARENESS BY PROVIDING IMPROVED VISIBILITY IN LOW LIGHT CONDITIONS. IT SUPPORTS DELIBERATE TACTICAL RESPONSES WHILE PROMOTING OFFICER OVERALL SAFETY.</t>
  </si>
  <si>
    <t xml:space="preserve">
Sales Order #: 2285152399
RTD Screening Code: DOD
Reason for Rejection: Y9</t>
  </si>
  <si>
    <t>2YT15D60725032</t>
  </si>
  <si>
    <t>FOR USE BY THIS LAW ENFORCEMENT AGENCY, ORANGE POLICE DEPARTMENT ONLY! THE REQUESTED TRUCK WILL BE UTILIZED BY SPECIAL RESPONSE TEAM OPERATIONS AS A MOBILE AND EQUIPMENT UNIT. IT WILL BE DEPLOYED DURING HOSTAGE RESCUES, EVACUATIONS, ACTIVE SHOOTER INCIDENTS, AND NATURAL DISASTERS. SECURE EQUIPMENT STORAGE WILL ENHANCE READINESS, IMPROVE DEPLOYMENT EFFICIENCY, STRENGTHEN RESPONSE CAPABILITIES, AND SUPPORT MUTUAL AID OPERATIONS.</t>
  </si>
  <si>
    <t xml:space="preserve">
Sales Order #: 2285179958
RTD Screening Code: DOD
Reason for Rejection: Y9</t>
  </si>
  <si>
    <t>2YT15D60654760</t>
  </si>
  <si>
    <t>FOR THE USE BY THIS LAW ENFORCEMENT AGENCY, ORANGE POLICE ONLY.  THE SPECTACLES WILL BE UTILIZED BY POLICE OFFICERS TO PROVIDE RELIABLE EYE PROTECTION IN DYNAMIC OPERATIONAL ENVIRONMENTS THROUGH A DURABLE FRAME AND INTERCHANGEABLE LENSES THAT MEET ESTABLISHED SAFETY STANDARDS. THE SPECTACLES ENHANCE VISION CLARITY AND OFFICER COMFORT AND EQUIPMENT SUPPORTS EFFECTIVENESS DURING DAILY FIELD OPERATIONS.</t>
  </si>
  <si>
    <t xml:space="preserve">
Sales Order #: 2285180134
RTD Screening Code: DOD
Reason for Rejection: Y9</t>
  </si>
  <si>
    <t>2YT15D60654357</t>
  </si>
  <si>
    <t>FOR USE BY THIS AGENCY, ORANGE POLICE DEPARTMENT ONLY. THE TRAILER WILL BE USE BY COMMUNITY SERVICE BUREAU AS A MOBILE SUPPORT UNIT DURING DEPARTMENT FUNCTIONS SUCH A LARGE PUBLIC GATHERINGS, COMMUNITY OUTREACH EVENTS, AND FUNDRAISERS. THE TRAILER WILL HOUSE EQUIPMENT AND ALLOW FOR EFFICIENT DEPLOYMENT TO OPERATE AS CENTRALIZE RESOURCE IN THE FIELD. IT WILL ENHANCE THE DEPARTMENT'S ABILITY TO ACT EFFECTIVELY AND MAINTAIN A STRONG PRESENCE DURING COMMUNITY-FOCUSED ACTIVITIES.</t>
  </si>
  <si>
    <t xml:space="preserve">
Sales Order #: 2260374059
RTD Screening Code: DOD
Reason for Rejection: Y9</t>
  </si>
  <si>
    <t>2YT15D60371918</t>
  </si>
  <si>
    <t>2YT15D60303934</t>
  </si>
  <si>
    <t>2YT15D60303932</t>
  </si>
  <si>
    <t>2YT15D60303931</t>
  </si>
  <si>
    <t xml:space="preserve">
Sales Order #: 2281343560
RTD Screening Code: DOD
Reason for Rejection: Y9</t>
  </si>
  <si>
    <t>2YT15D60301279</t>
  </si>
  <si>
    <t xml:space="preserve">
Sales Order #: 2282049433
RTD Screening Code: DOD
Reason for Rejection: Y9</t>
  </si>
  <si>
    <t>2YT15D60301278</t>
  </si>
  <si>
    <t xml:space="preserve">
Sales Order #: 2281343555
RTD Screening Code: DOD
Reason for Rejection: Y9</t>
  </si>
  <si>
    <t>2YT15D60301277</t>
  </si>
  <si>
    <t xml:space="preserve">
Sales Order #: 2282049436
RTD Screening Code: DOD
Reason for Rejection: Y9</t>
  </si>
  <si>
    <t>2YT15D60301275</t>
  </si>
  <si>
    <t>THIS ITEM WILL BE USED  BY THE ORANGE COUNTY SHERIFF'S DEPARTMENT. THIS ITEM COULD BE ISSUED TO SEARCH AND RESCUE TO HELP POWER OUTDOOR OPERATIONS DURING CALLS FOR SERVICE. OUR TRAINING AND RANGE HAVE ASKED FOR POWER SOURCES TO POWER OUTDOOR TRAINING AIDS AND LIGHTING. OUR HARBOR DIVISION HAS ALSO ASKED FOR A GENERATOR TO POWER A MACHINE SHOP AND DIVE OFFICE.</t>
  </si>
  <si>
    <t>2YT14Z60937091</t>
  </si>
  <si>
    <t xml:space="preserve">
Sales Order #: 2285840401
RTD Screening Code: DOD
Reason for Rejection: Y9</t>
  </si>
  <si>
    <t>2YT14Z60866714</t>
  </si>
  <si>
    <t>THESE ITEMS WOULD BE USED BY THE ORANGE COUNTY SHERIFF'S DEPARTMENT. THESE ITEMS COULD BE ISSUED TO SEARCH AND RESCUE TO ASSIST IN CALLS FOR SERVICE AND CALL OUTS. THE ITEMS COULD ALSO BE USED BY INVESTIGATORS DURING SEARCH AND ARREST WARRANTS. OUR HARBOR DIVISION HAS ALSO ASKED FOR SIMILAR LIGHTING SOLUTIONS TO USE WHILE ON PATROL AND FIRE BOATS WHILE AT OUR HARBORS.</t>
  </si>
  <si>
    <t xml:space="preserve">
Sales Order #: 2285178960
RTD Screening Code: DOD
Reason for Rejection: Y9</t>
  </si>
  <si>
    <t>2YT14Z60725219</t>
  </si>
  <si>
    <t>THESE ITEMS WOULD BE USED BY THE ORANGE COUNTY SHERIFF'S DEPARTMENT. SEVERAL OF OUR CITY PATROL DIVISIONS, OUR RTOC AND ECB DIVISION AND OUR TRANSPORTATION DIVISION HAVE ALL ASKED FOR LOCKERS AND SHELVES TO HELP WITH DUTY GEAR, PERSONAL ITEMS WHILE ON DUTY, RESPONSE GEAR AND MISC. EQUIPMENT STORAGE SOLUTIONS.</t>
  </si>
  <si>
    <t xml:space="preserve">
Sales Order #: 2285179822
RTD Screening Code: DOD
Reason for Rejection: Y9</t>
  </si>
  <si>
    <t>L0CKER,SECRETARY,AN</t>
  </si>
  <si>
    <t>2YT14Z60654488</t>
  </si>
  <si>
    <t xml:space="preserve">
Sales Order #: 2285178161
RTD Screening Code: DOD
Reason for Rejection: Y9</t>
  </si>
  <si>
    <t>2YT14Z60654487</t>
  </si>
  <si>
    <t xml:space="preserve">
Sales Order #: 2285176964
RTD Screening Code: DOD
Reason for Rejection: Y9</t>
  </si>
  <si>
    <t>2YT14Z60654485</t>
  </si>
  <si>
    <t xml:space="preserve">
Sales Order #: 2285179914
RTD Screening Code: DOD
Reason for Rejection: Y9</t>
  </si>
  <si>
    <t>2YT14Z60654484</t>
  </si>
  <si>
    <t>THESE ITEMS WOULD BE USED BY THE ORANGE COUNTY SHERIFF'S DEPARTMENT. THESE ITEMS WOULD BE ISSUED TO OUR PATROL UNITS IN THE FIELD OR INVESTIGATORS TO BE USED DURING SEARCHES, RECON, PERIMETERS, STAKE OUTS, OR ANY OTHER FIELD WORK.</t>
  </si>
  <si>
    <t>2YT14Z60654418</t>
  </si>
  <si>
    <t>THIS TRUCK WOULD BE USED BY THE ORANGE COUNTY SHERIFF'S DEPARTMENT. THIS ITEM WOULD BE USED THROUGHOUT THE DEPARTMENT AND SERVE AS A MOBILE BREAK AND REPORT WRITING ROOM FOR DEPUTIES AND OTHER FIELD DISPATCHED STAFFING. THE ITEM COULD BE USED AT EVENTS SUCH AS THE COUNTY FAIR, OUTDOOR CONCERTS AND COMMUNITY EVENTS, RECRUITING AND TRAINING EVENTS, AND THE UP COMING ASSIGNMENTS RELATED TO THE OLYMPICS IN LOS ANGELES</t>
  </si>
  <si>
    <t>2YT14Z60442635</t>
  </si>
  <si>
    <t>THESE ITEMS WOULD BE USED BY THE ORANGE COUNTY SHERIFF'S DEPARTMENT. THESE ITEMS COULD BE ISSUED OUT TO OUR SEARCH AND RESCUE DIVISION TO USE ON SEARCH OR CALLS FOR SERVICE. THE ITEMS COULD ALSO BE USED AS GO BAGS FOR PATROL OR FIELD UNITS TO STORE DUTY GEAR OR EQUIPMENT.</t>
  </si>
  <si>
    <t xml:space="preserve">
Sales Order #: 2281667428
RTD Screening Code: DOD
Reason for Rejection: Y9</t>
  </si>
  <si>
    <t>2YT14Z60372144</t>
  </si>
  <si>
    <t>THESE ITEMS WOULD BE USED BY THE ORANGE COUNTY SHERIFF'S DEPARTMENT. THESE ITEMS WOULD BE USED BY SOME OF OUR SWORN STAFF THAT OCCASIONALLY NEED VARIOUS TYPES OF TOOLS WHILE CONDUCTING SEARCHES DURING WARRANTS OR ARRESTS. OUR RANGE AND TRAINING DIVISIONS BUILD TRAINING AIDES AND TARGETS FOR QUALIFICATIONS AND TRAINING. OUR RESEARCH AND DEVELOPMENT DIVISION IS TASKED TO FIX AND MAINTAIN SEVERAL COUNTY BUILDING AND ASSETS AND ROUTINELY NEED TOOLS AND EQUIPMENT FOR THAT</t>
  </si>
  <si>
    <t xml:space="preserve">
Sales Order #: 2281667420
RTD Screening Code: DOD
Reason for Rejection: Y9</t>
  </si>
  <si>
    <t>SAW, POWER</t>
  </si>
  <si>
    <t>DSSAW0002</t>
  </si>
  <si>
    <t>2YT14Z60372141</t>
  </si>
  <si>
    <t>THESE ITEMS WOULD BE USED BY THE ORANGE COUNTY SHERIFF'S DEPARTMENT. THESE ITEMS WOULD BE ISSUED TO THE OUR SWAT DIVISION TO BE USED ON THEIR RIFLES. THE ITEMS COULD ALSO BE ISSUED TO OUR PATROL, SRT AND CERT DEPUTIES THAT ARE ASSIGNED RIFLES IN THE FIELD.</t>
  </si>
  <si>
    <t xml:space="preserve">
Sales Order #: 2260374057
RTD Screening Code: DOD
Reason for Rejection: Y9</t>
  </si>
  <si>
    <t>COVER,ACOG</t>
  </si>
  <si>
    <t>2YT14Z60372134</t>
  </si>
  <si>
    <t>THESE ITEMS WOULD BE USED BY THE ORANGE COUNTY SHERIFF'S DEPARTMENT. THE ITEMS WOULD BE ISSUED OR ASSIGNED TO OUR RANGE AND TRAINING DIVISIONS TO USE ON LETHAL AND NON LETHAL WEAPONS THAT ARE DEPLOYED IN THE FIELD TO OUR SWORN PERSONNEL. THE ITEMS WOULD HELP ENSURE WEAPON PLATFORMS ARE FIRING SAFELY AND WITHIN IN LEGAL LIMITS.</t>
  </si>
  <si>
    <t xml:space="preserve">
Sales Order #: 2260374061
RTD Screening Code: DOD
Reason for Rejection: Y9</t>
  </si>
  <si>
    <t>CHRONOGRAPH,SMALL A</t>
  </si>
  <si>
    <t>2YT14Z60372127</t>
  </si>
  <si>
    <t xml:space="preserve">
Sales Order #: 2281667430
RTD Screening Code: DOD
Reason for Rejection: BQ</t>
  </si>
  <si>
    <t>TOOLBAG</t>
  </si>
  <si>
    <t>DSTOOLBAG</t>
  </si>
  <si>
    <t>2YT14Z60302142</t>
  </si>
  <si>
    <t xml:space="preserve">
Sales Order #: 2260374062
RTD Screening Code: DOD
Reason for Rejection: Y9</t>
  </si>
  <si>
    <t>2YT14Z60302139</t>
  </si>
  <si>
    <t>THESE ITEMS WOULD BE USED BY THE ORANGE COUNTY SHERIFF'S DEPARTMENT. THESE CLOTHING ITEMS COULD BE ISSUED TO OUR HARBOR DIVISION DEPUTIES DURING COLD WET WEATHER DEPLOYMENTS OR CALLS FOR SERVICE. OUR SEARCH AND RESCUE DIVISION COULD ALSO USE THE ITEMS FOR THE SAME REASONS.</t>
  </si>
  <si>
    <t xml:space="preserve">
Sales Order #: 2273970639
RTD Screening Code: DOD
Reason for Rejection: Y8</t>
  </si>
  <si>
    <t>2YT14Z52340611</t>
  </si>
  <si>
    <t>ONSLOW COUNTY SHERIFF'S OFFICE IS REQUESTING THE NVG EQUIPMENT FOR USE DURING LOW LIGHT OPERATIONS INVOLVING COUNTER-DRUG OPERATIONS AND DISASTER RESPONSE AND RESCUE MISSIONS FOR THE BOAT AND SWAT TEAMS.  I HAVE CONTACTED THE DLA SITE ADVISING WE WILL ACCEPT CURRENT CONDITION</t>
  </si>
  <si>
    <t>2YT13W60867219</t>
  </si>
  <si>
    <t>ONSLOW CSO (2YT13W)</t>
  </si>
  <si>
    <t>ONEONTA POLICE DEPARTMENT WILL USE THIS TRAILER TO HELP US PICK UP ITEMS FROM DLA.  WE WILL ALSO USE THIS TRAILER TO MOVE OUR SIDE BY SIDE TO AREAS NEEDED.</t>
  </si>
  <si>
    <t xml:space="preserve">
Sales Order #: 2285870140
RTD Screening Code: DOD
Reason for Rejection: Y9</t>
  </si>
  <si>
    <t>2YT13U60866289</t>
  </si>
  <si>
    <t>ONEONTA POLICE DEPTMENT (2YT13U)</t>
  </si>
  <si>
    <t>ONEONTA POLICE DEPARTMENT WOULD TRANSFER THIS VEHICLE TO A ON SCENE COMMAND CENTER FOR CRITICAL INCIDENTS AND NATURAL DISASTERS.</t>
  </si>
  <si>
    <t xml:space="preserve">
Sales Order #: 2285864846
RTD Screening Code: DOD
Reason for Rejection: Y9</t>
  </si>
  <si>
    <t>2YT13U60866280</t>
  </si>
  <si>
    <t>ONEONTA POLICE DEPARTMENT WILL USE THIS SUV AS A FULL TIME SCHOOL RESOURCE OFFICER PATROL VEHICLE.</t>
  </si>
  <si>
    <t xml:space="preserve">
Sales Order #: 2285870179
RTD Screening Code: DOD
Reason for Rejection: Y9</t>
  </si>
  <si>
    <t>2YT13U60866279</t>
  </si>
  <si>
    <t>THE ONEONTA POLICE DEPARTMENT WILL USE THAT AS A SRO VEHICLE AND WILL BE USED BY THE SRO MONDAY - FRIDAY AND SOME DAYS ON SATURDAY .</t>
  </si>
  <si>
    <t xml:space="preserve">
Sales Order #: 2285369341
RTD Screening Code: DOD
Reason for Rejection: Y9</t>
  </si>
  <si>
    <t>2YT13U60795861</t>
  </si>
  <si>
    <t>ONEONTA POLICE DEPARTMENT WILL USE THIS TRAILER TO MOVE OUR SIDE BY SIDE ATV AROUND TO AREAS OF NEED FOR ERAID</t>
  </si>
  <si>
    <t xml:space="preserve">
Sales Order #: 2285178959
RTD Screening Code: DOD
Reason for Rejection: Y9</t>
  </si>
  <si>
    <t>2YT13U60725117</t>
  </si>
  <si>
    <t>ONEONTA POLICE DEPARTMENT WOULD USE THIS SUV FOR GOING TO TRAINING CLASSES.  OPD WOULD ALSO REWRAP THIS AND USE IT FOR RECRUITING FOR THE POLICE DEPARTMENT.</t>
  </si>
  <si>
    <t xml:space="preserve">
Sales Order #: 2285177803
RTD Screening Code: DOD
Reason for Rejection: Y9</t>
  </si>
  <si>
    <t>2YT13U60725116</t>
  </si>
  <si>
    <t>THE OLIVER SPRINGS POLICE DEPARTMENT IS NEEDING A TANK TO MOVE WATER WATER IN CASES OF NATURAL DISASTERS AND TO MOVE WATER TO OUR TRAINING FACILITY FOR OUR SWAT TEAM TRAINING ON COUNTER DRUG AND TERRORISM TRAINING.</t>
  </si>
  <si>
    <t xml:space="preserve">
Sales Order #: 2282934720
RTD Screening Code: RTD2
Reason for Rejection: Z2</t>
  </si>
  <si>
    <t>2YT12V60302428</t>
  </si>
  <si>
    <t>THE OLIVER SPRINGS POLICE DEPARTMENT IS NEEDING TO ADD TO THEIR UNIT NVGS FOR ENFORCEMENT ON COUNTER DRUG AND COUNTER TERRORISM.  WE ACCEPT THESE IN THEIR CURRENT CONDITION.</t>
  </si>
  <si>
    <t xml:space="preserve">
Sales Order #: 2257491405
RTD Screening Code: DOD
Reason for Rejection: YG</t>
  </si>
  <si>
    <t>2YT12V60090111</t>
  </si>
  <si>
    <t>THE OLIVER SPRINGS POLICE DEPARTMENT SRT TEAM IS ALSO A REGIONAL TEAM THAT PROTECTS THE CITY OF HARRIMAN AS WELL WITH A LOT OF WATERWAYS THAT WE DO NOT HAVE WAYS TO NAVIGATE FOR DISASTER RELIEF, RESPONSE TO FLOODING, ANY ONE IN NEED OF HELP IN THE WATERS, AS WELL AS RESPONSE FOR COUNTER DRUG AND TERRORISM ON THE WATER FOR LAW ENFORCEMENT.</t>
  </si>
  <si>
    <t xml:space="preserve">
Sales Order #: 2269715588
RTD Screening Code: RTD2
Reason for Rejection: YH</t>
  </si>
  <si>
    <t>2YT12V60080660</t>
  </si>
  <si>
    <t>THE OLEAN POLICE DEPARTMENT WILL USE THIS FOR OUR EMERGENCY RESPONSE TEAM FOR TRANSPORTATION TO TRAINING AND RESPONSES AS WE DO NOT CURRENTLY HAVE A VEHICLE.</t>
  </si>
  <si>
    <t xml:space="preserve">
Sales Order #: 2285864858
RTD Screening Code: DOD
Reason for Rejection: Y9</t>
  </si>
  <si>
    <t>2YT12Q60866316</t>
  </si>
  <si>
    <t>THE OLEAN POLICE DEPARTMENT WILL USE THIS FOR OUR EMERGENCY RESPONSE TEAM FOR TRANSPORTATION AS WE DO NOT CURRENTLY HAVE A VEHICLE TO TRANSPORT OUR TEAM.</t>
  </si>
  <si>
    <t xml:space="preserve">
Sales Order #: 2285572589
RTD Screening Code: GSA
Reason for Rejection: Y9</t>
  </si>
  <si>
    <t>2YT12Q60795981</t>
  </si>
  <si>
    <t xml:space="preserve">
Sales Order #: 2283429798
RTD Screening Code: DOD
Reason for Rejection: Y9</t>
  </si>
  <si>
    <t>2YT12Q60583568</t>
  </si>
  <si>
    <t xml:space="preserve">
Sales Order #: 2283355345
RTD Screening Code: DOD
Reason for Rejection: Y9</t>
  </si>
  <si>
    <t>2YT12Q60442826</t>
  </si>
  <si>
    <t>THE OLEAN POLICE DEPARTMENT WILL USE THESE FOR OUR DEFENSIVE TACTICS TRAINING PROGRAM AS WE DO NOT CURRENTLY HAVE ANY.</t>
  </si>
  <si>
    <t xml:space="preserve">
Sales Order #: 2283007641
RTD Screening Code: DOD
Reason for Rejection: Y9</t>
  </si>
  <si>
    <t>2YT12Q60372489</t>
  </si>
  <si>
    <t>THE OLEAN POLICE DEPARTMENT WILL USE THIS FOR OUR EMERGENCY RESPONSE TEAM FOR NIGHTTIME TRAINING AND RESPONSES AS WE DO NOT CURRENTLY HAVE ANY.</t>
  </si>
  <si>
    <t xml:space="preserve">
Sales Order #: 2282566513
RTD Screening Code: DOD
Reason for Rejection: BQ</t>
  </si>
  <si>
    <t>2YT12Q60372067</t>
  </si>
  <si>
    <t xml:space="preserve">
Sales Order #: 2282049453
RTD Screening Code: DOD
Reason for Rejection: YG</t>
  </si>
  <si>
    <t>2YT12Q60301624</t>
  </si>
  <si>
    <t>2YT12Q60231205</t>
  </si>
  <si>
    <t>THE OLEAN POLICE DEPARTMENT WILL USE THESE FOR OUR EMERGENCY RESPONSE TEAM FOR NIGHTTIME TRAINING AND RESPONSES AS WE DO NOT HAVE ENOUGH FOR OUR TEAM.</t>
  </si>
  <si>
    <t xml:space="preserve">
Sales Order #: 2281763837
RTD Screening Code: DOD
Reason for Rejection: YH</t>
  </si>
  <si>
    <t>2YT12Q60160910</t>
  </si>
  <si>
    <t xml:space="preserve">
Sales Order #: 2270382885
RTD Screening Code: DOD
Reason for Rejection: Y9</t>
  </si>
  <si>
    <t>2YT12Q60029992</t>
  </si>
  <si>
    <t>THIS EQUIPMENT WILL BE UTILIZED BY THE OLDHAM COUNTY POLICE DET TO OUTFIT OUR NEW FITNESS FACILITY. THIS EQUIPMENT WILL BE VERY BENEFICIAL FOR OUR OFFICERS HEALTH AND WELLNESS AS THEY STRIVE TO IMPROVE AND MAINTAIN THEIR PHYSICAL FITNESS IN ORDER TO BETTER SERVE OUR COMMUNITY.</t>
  </si>
  <si>
    <t>2YT12060796014</t>
  </si>
  <si>
    <t xml:space="preserve">
Sales Order #: 2283438359
RTD Screening Code: DOD
Reason for Rejection: YG</t>
  </si>
  <si>
    <t>2YT12060584109</t>
  </si>
  <si>
    <t>THESE DEVICES WILL BE USED BY OUR AGENCY TO IMPROVE OUR TACTICAL TEAM'S CAPABILITY IN LOW LIGHT AND NO LIGHT SITUATIONS WHERE NIGHT VISION IS REQUIRED. THE DEVICES WILL IMPROVE OUR OFFICERS ABILITY TO ACCURATELY IDENTIFY AND ACQUIRE POTENTIAL THREATS AS THEY SERVE THE COMMUNITY.</t>
  </si>
  <si>
    <t xml:space="preserve">
Sales Order #: 2283922722
RTD Screening Code: DOD
Reason for Rejection: YG</t>
  </si>
  <si>
    <t>2YT12060513799</t>
  </si>
  <si>
    <t>THIS GYM EQUIPMENT WILL BE UTILIZED AT OUR AGENCY TO ALLOW OFFICERS TO IMPROVE THEIR PHYSICAL CONDITIONING. OFFICERS WHO ARE MORE PHYSICALLY FIT ARE OFTEN TIMES BETTER PREPARED TO ASSIST THE COMMUNITY IN EMERGENCY SITUATIONS AND GENERALLY HAVE BETTER OVERALL HEALTH.</t>
  </si>
  <si>
    <t>2YT12060160682</t>
  </si>
  <si>
    <t>ITEMS WILL BE MOUNTED ON PATROL RIFLES FOR DEPUTIES</t>
  </si>
  <si>
    <t xml:space="preserve">
Sales Order #: 2286596076
RTD Screening Code: DOD
Reason for Rejection: BQ</t>
  </si>
  <si>
    <t>2YT1YR60867399</t>
  </si>
  <si>
    <t>OGLETHORPE COUNTY SHERIFF OFFICE (2YT1YR)</t>
  </si>
  <si>
    <t>THE ODUM POLICE DEPARTMENT IS IN NEED OF SEVERAL STORAGE CONTAINERS TO STORE SUPPLIES SUCH AS RECORDS AND ORANGE CONES AND GUN RANGE SUPPLIES</t>
  </si>
  <si>
    <t>2YTTAP60847233</t>
  </si>
  <si>
    <t>THE ODUM POLICE DEPARTMENT IS IN NEED OF THIS LIFT TO HANG SECURITY CAMERAS AROUND THE  POLICE DEPARTMENT. CAN ALSO BE USED AT FESTIVALS TO RAISE UP OVER THE CROWDS AND WATCH FOR ANY ILLEGAL ACTIVITY.</t>
  </si>
  <si>
    <t>2YTTAP60654811</t>
  </si>
  <si>
    <t>REQUESTING GENERATOR FOR POLICE EMERGENCIES SUCH AS POWER OUTAGES AND HURRICANES. AND HAVE POWER AT THE POLICE OFFICE.</t>
  </si>
  <si>
    <t xml:space="preserve">
Sales Order #: 2279882234
RTD Screening Code: DOD
Reason for Rejection: YF</t>
  </si>
  <si>
    <t>2YTTAP53398620</t>
  </si>
  <si>
    <t>THESE UNITS WOULD BE ISSUED TO OCEANA COUNTY SHERIFF'S DEPUTIES FOR USE DURING REGULAR PATROLS AND NIGHT OPERATIONS, PROVIDING CRITICAL ADVANTAGE DURING SUSPECT APPREHENSION. THE CONDITION OF THESE UNITS WERE VERIFIED WITH DLA WARNER ROBINS</t>
  </si>
  <si>
    <t xml:space="preserve">
Sales Order #: 2285810344
RTD Screening Code: DOD
Reason for Rejection: Y9</t>
  </si>
  <si>
    <t>2YT1XS60866433</t>
  </si>
  <si>
    <t>THESE CONVERSION KITS WOULD BE USED BY THE OCEANA COUNTY SHERIFF'S OFFICE TRAINING DIVISION TO BETTER TRAIN OFFICERS ON USE OF FORCE TACTICS DURING SCENARIO BASED TRAININGS.</t>
  </si>
  <si>
    <t xml:space="preserve">
Sales Order #: 2285179818
RTD Screening Code: DOD
Reason for Rejection: Y9</t>
  </si>
  <si>
    <t>2YT1XS60725008</t>
  </si>
  <si>
    <t>THESE UNITS WOULD BE ISSUED TO OCEANA COUNTY SHERIFF'S DEPUTIES FOR USE ON THEIR PATROL RIFLES IN CONJUNCTION WITH DLA PROVIDED NIGHT VISION DEVICES. THE CONDITION OF THESE UNITS WAS VERIFIED WITH DLA COLUMBUS</t>
  </si>
  <si>
    <t xml:space="preserve">
Sales Order #: 2284083700
RTD Screening Code: DOD
Reason for Rejection: YG</t>
  </si>
  <si>
    <t>2YT1XS60654537</t>
  </si>
  <si>
    <t>THIS UNIT WOULD BE UTILIZED BY THE OCEANA COUNTY SHERIFF'S OFFICE FOR BODY RECOVERY DURING RESCUE OPERATIONS UNDER WATER. THIS UNIT WOULD PROVIDE OFFICERS WITH A SAFE, AND QUICK OPTION OF DIVING TO PERFORM A SEARCH PRIOR TO SENDING DIVERS UNDER WATER. CONDITION OF THE UNIT WAS VERIFIED WITH DLA WARNER ROBINS</t>
  </si>
  <si>
    <t xml:space="preserve">
Sales Order #: 2284072020
RTD Screening Code: DOD
Reason for Rejection: YH</t>
  </si>
  <si>
    <t>2YT1XS60583780</t>
  </si>
  <si>
    <t>THIS MOTOR WOULD BE UTILIZED ON THE OCEANA COUNTY SHERIFF'S OFFICE PATROL BOAT FOR USE DURING MARINE PATROL</t>
  </si>
  <si>
    <t xml:space="preserve">
Sales Order #: 2281667429
RTD Screening Code: DOD
Reason for Rejection: Y9</t>
  </si>
  <si>
    <t>2YT1XS60372147</t>
  </si>
  <si>
    <t>THESE OPTICS WOULD BE UTILIZED ON DLA ACQUIRED FN303 PEPPERBALL LAUNCHERS TO PROVIDE OCEANA COUNTY DEPUTIES WITH BETTER ACCURACY DURING DEPLOYMENT ON SUSPECTS. THE CONDITION OF THESE OPTICS WERE VERIFIED WITH DLA SUSQUEHANNA</t>
  </si>
  <si>
    <t xml:space="preserve">
Sales Order #: 2280803874
RTD Screening Code: DOD
Reason for Rejection: Y9</t>
  </si>
  <si>
    <t>2YT1XS60309893</t>
  </si>
  <si>
    <t>TO BE UTILIZED BY LEOS OF THIS LEA AS EYE PROTECTION DURING MANDATED FIREARM TRAINING.</t>
  </si>
  <si>
    <t xml:space="preserve">
Sales Order #: 2286242354
RTD Screening Code: DOD
Reason for Rejection: Y9</t>
  </si>
  <si>
    <t>2YT1WQ60936994</t>
  </si>
  <si>
    <t>OAKLAND PD (2YT1WQ)</t>
  </si>
  <si>
    <t>TO BE UTILIZED BY LEOS OF THIS LEA IN THE PRESENTATION OF TRAINING MATERIALS</t>
  </si>
  <si>
    <t>2YT1WQ60867511</t>
  </si>
  <si>
    <t>TO BE USED BY LEOS OF THIS LEA IN THE MAINTENANCE AND UPKEEP OF ELECTRICAL EQUIPMENT IN OUR HEADQUARTERS</t>
  </si>
  <si>
    <t xml:space="preserve">
Sales Order #: 2285840399
RTD Screening Code: DOD
Reason for Rejection: Y9</t>
  </si>
  <si>
    <t>TOOL KIT,ELECTRICIA</t>
  </si>
  <si>
    <t>2YT1WQ60866675</t>
  </si>
  <si>
    <t>TO BE USED BY LEOS OF THIS LEA FOR INVESTIGATIVE WORK AND REPORT WRITING</t>
  </si>
  <si>
    <t xml:space="preserve">
Sales Order #: 2285840410
RTD Screening Code: DOD
Reason for Rejection: Y9</t>
  </si>
  <si>
    <t>2YT1WQ60866670</t>
  </si>
  <si>
    <t>TO BE UTILIZED BY LEOS OF THIS LEA IN THE REPAIR AND MAINTENANCE OF DEPARTMENTAL-ISSUED FIREARMS AND EQUIPMENT</t>
  </si>
  <si>
    <t xml:space="preserve">
Sales Order #: 2285864892
RTD Screening Code: DOD
Reason for Rejection: Y9</t>
  </si>
  <si>
    <t>2YT1WQ60866581</t>
  </si>
  <si>
    <t>TO BE UTILIZED LEOS OF THIS LEA TO ILLUMINATE AREAS DURING EMERGENT POWER OUTAGES</t>
  </si>
  <si>
    <t xml:space="preserve">
Sales Order #: 2285872659
RTD Screening Code: DOD
Reason for Rejection: Y9</t>
  </si>
  <si>
    <t>2YT1WQ60866577</t>
  </si>
  <si>
    <t>TO BE UTILIZED BY LEOS OF THIS LEA TO PATROL AREAS AND RECOVER VICTIMS FROM AREAS NOT ACCESSIBLE BY REGULAR PATROL VEHICLES</t>
  </si>
  <si>
    <t xml:space="preserve">
Sales Order #: 2285872629
RTD Screening Code: DOD
Reason for Rejection: Y9</t>
  </si>
  <si>
    <t>2YT1WQ60866576</t>
  </si>
  <si>
    <t>FOR USE BY OSD PERSONNEL FOR DEPLOYMENT OF EQUIPMENT AND TRANSPORT TRAILERS WITHIN THE JURISDICTION. SEVERAL PIECES OF EQUIPMENT REQUIRE HEAVY DUTY PICKUP TRUCKS TO TOW AND THE AGENCY HAS A VERY LIMITED NUMBER OF THESE VEHICLES IN SERVICE.</t>
  </si>
  <si>
    <t xml:space="preserve">
Sales Order #: 2285942618
RTD Screening Code: DOD
Reason for Rejection: BQ</t>
  </si>
  <si>
    <t>2YT1WK60866734</t>
  </si>
  <si>
    <t>FOR USE BY ON DUTY OSD OFFICERS ASSIGNED TO THE SHERIFF'S SEARCH AND RESCUE TEAM FOR EXTRACTION OF VICTIMS IN TECHNICAL RESCUE INCIDENTS, AS WELL AS THE SELF-RESCUE OF PERSONNEL DEPLOYED ON MAJOR INCIDENTS AND RESCUE SCENES.</t>
  </si>
  <si>
    <t>2YT1WK60866500</t>
  </si>
  <si>
    <t>FOR USE BY OAKLAND COUNTY SHERIFF'S DEPARTMENT FOR MARINE POLICE PATROL AND POLICE DIVE OPERATIONS. AGENCY IS RESPONSIBLE FOR OVER 400 LAKES WITHIN OUR JURISDICTION.</t>
  </si>
  <si>
    <t>2YT1WK60866498</t>
  </si>
  <si>
    <t>THE OAKLAND COUNTY SHERIFFS OFFICE REQUESTS AN AMBULANCE TO SUPPORT EMERGENCY RESPONSE AND LAW ENFORCEMENT OPERATIONS REQUIRING IMMEDIATE MEDICAL CARE AND TRANSPORT. THIS RESOURCE WOULD ALLOW PERSONNEL TO PROVIDE RAPID TREATMENT AND EVACUATION DURING CRITICAL INCIDENTS, TACTICAL OPERATIONS, AND LARGE-SCALE EVENTS WHERE MEDICAL SUPPORT IS REQUIRED. HAVING A DEDICATED AMBULANCE IMPROVES RESPONDER SAFETY AND ENSURES TIMELY CARE FOR INJURED PERSONNEL OR CIVILIANS DURING HIGH-RISK SITUATIONS.</t>
  </si>
  <si>
    <t>2YT1WK60866177</t>
  </si>
  <si>
    <t>THE OAKLAND COUNTY SHERIFFS OFFICE REQUESTS A HEAVY-HAULING TRAILER TO TRANSPORT ARMORED VEHICLES, UTVS, AND OTHER SPECIALIZED EQUIPMENT USED DURING TACTICAL AND CRITICAL INCIDENT RESPONSES. WE CURRENTLY DO NOT HAVE A HEAVY TRAILER, PREVENTING US FROM MOVING THESE ASSETS WHEN NEEDED. THIS CAPABILITY IS ESSENTIAL TO ENSURE TIMELY DEPLOYMENT, OPERATIONAL READINESS, AND SAFE TRANSPORT OF MISSION-CRITICAL VEHICLES.</t>
  </si>
  <si>
    <t xml:space="preserve">
Sales Order #: 2285179855
RTD Screening Code: DOD
Reason for Rejection: Y9</t>
  </si>
  <si>
    <t>2YT1WK60725145</t>
  </si>
  <si>
    <t>THE OAKLAND COUNTY SHERIFFS OFFICE REQUESTS A MOBILE COMMAND TRAILER TO SUPPORT MAJOR INCIDENTS, LARGE-SCALE EVENTS, AND CRITICAL LAW ENFORCEMENT OPERATIONS. OUR CURRENT MOBILE COMMAND PLATFORM IS 27 YEARS OLD AND NO LONGER RELIABLY SUPPORTS MODERN COMMUNICATIONS, COORDINATION, OR OPERATIONAL DEMANDS. A NEW TRAILER IS ESSENTIAL TO PROVIDE SECURE COMMAND, INTEROPERABLE COMMUNICATIONS, AND INCIDENT MANAGEMENT CAPABILITY DURING PROLONGED OR COMPLEX LAW ENFORCEMENT RESPONSES.</t>
  </si>
  <si>
    <t xml:space="preserve">
Sales Order #: 2283438355
RTD Screening Code: DOD
Reason for Rejection: Y9</t>
  </si>
  <si>
    <t>2YT1WK60654369</t>
  </si>
  <si>
    <t>FOR USE BY ON DUTY DEPUTIES ASSIGNED TO THE SHERIFF'S SEARCH AND RESCUE TEAM TO RESPOND TO CRITICAL SEARCH AND RESCUE INCIDENTS. THE DEPARTMENT CURRENTLY DOES NOT HAVE A HEAVY RESCUE VEHICLE TO TRANSPORT PERSONNEL AND EQUIPMENT TO THESE SCENES.</t>
  </si>
  <si>
    <t xml:space="preserve">
Sales Order #: 2283438352
RTD Screening Code: DOD
Reason for Rejection: Y9</t>
  </si>
  <si>
    <t>2YT1WK60654312</t>
  </si>
  <si>
    <t>FOR USE BY ON DUTY OSD OFFICERS FOR POWERING EQUIPMENT ON LONG DURATION SCENES.</t>
  </si>
  <si>
    <t xml:space="preserve">
Sales Order #: 2285178993
RTD Screening Code: GSA
Reason for Rejection: Y9</t>
  </si>
  <si>
    <t>2YT1WK60584495</t>
  </si>
  <si>
    <t>FOR USE BY OSD PERSONNEL ASSIGNED TO SWAT AND THE SHERIFF'S SEARCH AND RESCUE TEAM WHEN RESPONDING TO TACTICAL INCIDENTS OR RESCUE SCENES IN LOW LIGHT ENVIRONMENTS.</t>
  </si>
  <si>
    <t xml:space="preserve">
Sales Order #: 2283339672
RTD Screening Code: DOD
Reason for Rejection: Y9</t>
  </si>
  <si>
    <t>2YT1WK60583711</t>
  </si>
  <si>
    <t xml:space="preserve">
Sales Order #: 2284333772
RTD Screening Code: DOD
Reason for Rejection: Z2</t>
  </si>
  <si>
    <t>2YT1WK6054JG01</t>
  </si>
  <si>
    <t>FOR USE BY OSD OFFICERS EQUIPPED WITH NIGHT VISION DEVICES. THESE WILL ALLOW OFFICERS TO MOUNT THE NIGHT VISION DEVICES TO THEIR HELMETS WHEN RESPONDING TO TACTICAL INCIDENTS IN LOW LIGHT. CURRENTLY ISSUED NIGHT VISION DOES NOT HAVE COMPATIBLE HELMET MOUNTS.</t>
  </si>
  <si>
    <t xml:space="preserve">
Sales Order #: 2283623346
RTD Screening Code: DOD
Reason for Rejection: Y9</t>
  </si>
  <si>
    <t>2YT1WK60443159</t>
  </si>
  <si>
    <t>THE OAKLAND COUNTY SHERIFFS OFFICE REQUESTS A MOBILE COMMAND VEHICLE TO SUPPORT LARGE-SCALE INCIDENTS, SPECIAL EVENTS, AND CRITICAL OPERATIONS. AS THE THIRD-LARGEST LAW ENFORCEMENT AGENCY IN MICHIGAN SERVING OVER 1.2 MILLION RESIDENTS, OUR CURRENT MOBILE COMMAND UNIT IS 27 YEARS OLD AND BARELY FUNCTIONAL. A MODERN PLATFORM IS ESSENTIAL TO PROVIDE RELIABLE COMMUNICATIONS, COORDINATION, AND OPERATIONAL CONTROL DURING MAJOR LAW ENFORCEMENT INCIDENTS.</t>
  </si>
  <si>
    <t>2YT1WK60442584</t>
  </si>
  <si>
    <t>FOR USE BY OSD PERSONNEL FOR ACCESSING EQUIPMENT AT HEIGHT IN THE SHERIFF'S STORAGE FACILITY.</t>
  </si>
  <si>
    <t xml:space="preserve">
Sales Order #: 2281586789
RTD Screening Code: DOD
Reason for Rejection: YG</t>
  </si>
  <si>
    <t>2YT1WK60301730</t>
  </si>
  <si>
    <t>FOR USE BY ON DUTY OSD OFFICERS ASSIGNED TO SHERIFF'S SEARCH AND RESCUE TEAM AND OR SWAT. THESE ARE INTENDED TO PROVIDE NIGHT VISION CAPABILITIES TO OFFICERS DURING NIGHT RESCUE RESPONSE AND TACTICAL DEPLOYMENT.</t>
  </si>
  <si>
    <t xml:space="preserve">
Sales Order #: 2276316883
Reason for Rejection: Y9</t>
  </si>
  <si>
    <t>2YT1WK60301619</t>
  </si>
  <si>
    <t xml:space="preserve">
Sales Order #: 2276316884
Reason for Rejection: YG</t>
  </si>
  <si>
    <t>2YT1WK60301617</t>
  </si>
  <si>
    <t>FOR USE BY OSD OFFICERS ASSIGNED TO THE SHERIFF'S SEARCH AND RESCUE TEAM AND SWAT TEAMS. THESE WILL PROVIDE TEAM MEMBERS WITH COMMUNICATION CAPABLE HEARING PROTECTION WHEN ASSIGNED TO HELICOPTER AND HOVERCRAFT ASSETS, OR ON TACTICAL DEPLOYMENT. NOT ALL TEAM MEMBERS HAVE THIS CAPABILITY.</t>
  </si>
  <si>
    <t xml:space="preserve">
Sales Order #: 2280803884
RTD Screening Code: DOD
Reason for Rejection: Y9</t>
  </si>
  <si>
    <t>2YT1WK60090046</t>
  </si>
  <si>
    <t>FOR USE BY OSD OFFICERS FOR PATROLLING AND RESPONDING TO INCIDENTS IN RURAL AREAS, STATE AND COUNTY PARKLAND.</t>
  </si>
  <si>
    <t xml:space="preserve">
Sales Order #: 2268966266
Reason for Rejection: YF</t>
  </si>
  <si>
    <t>2YT1WK60090044</t>
  </si>
  <si>
    <t>FOR USE BY OSD OFFICERS ASSIGNED TO THE SHERIFF'S SEARCH AND RESCUE TEAM TO SUPPORT TECHNICAL RESCUE OPERATIONS REQUIRING ACCESS TO VICTIMS IN ELEVATED POSITIONS.</t>
  </si>
  <si>
    <t xml:space="preserve">
Sales Order #: 2268966255
RTD Screening Code: DOD
Reason for Rejection: Y9</t>
  </si>
  <si>
    <t>2YT1WK60020048</t>
  </si>
  <si>
    <t>FOR USE BY ON DUTY OSD OFFICERS ASSIGNED TO THE SHERIFF'S SEARCH AND RESCUE TEAM. THE TEAM'S CURRENT SYSTEM IS NOT OPERATIONAL DUE TO HYDRAULIC PUMP FAILURE, THIS WOULD SUPPLEMENT OR REPLACE THAT UNIT.</t>
  </si>
  <si>
    <t xml:space="preserve">
Sales Order #: 2279482089
RTD Screening Code: DOD
Reason for Rejection: YH</t>
  </si>
  <si>
    <t>RESCUE AND SALVAGING KIT,HYDRAULIC</t>
  </si>
  <si>
    <t>2YT1WK53468469</t>
  </si>
  <si>
    <t>FOR USE BY SHERIFF'S DEPARTMENT FOR SECURE STORAGE OF RIFLES.</t>
  </si>
  <si>
    <t xml:space="preserve">
Sales Order #: 2278001053
RTD Screening Code: DOD
Reason for Rejection: YH</t>
  </si>
  <si>
    <t>2YT1WK53257052</t>
  </si>
  <si>
    <t>THE NORTHAMPTON COUNTY SHERIFF'S OFFICE, A LAW ENFORCEMENT AGENCY REQUEST'S THIS VEHICLE BE ISSUED TO OUR AGENCY.  WE NEED THIS VEHICLE FOR USE AS A CRIME SCENE RESPONSE VEHICLE.  IT WILL BE STOCKED WITH OUR LARGER CRIME SCENE EQUIPMENT WHICH WILL NOT FIT IN A REGULAR PATROL VEHICLE.  THIS VEHICLE WILL RESPOND TO CRIME SCENES AND HELP US TO CARRY OUT TIMELY INVESTIGATIONS MAKING OUR JOB EASIER AND MORE PROFESSIONAL.  WE CANNOT CURRENTLY AFFORD TO PURCHASE THIS TYPE OF VEHICLE.</t>
  </si>
  <si>
    <t xml:space="preserve">
Sales Order #: 2285864917
RTD Screening Code: DOD
Reason for Rejection: Y9</t>
  </si>
  <si>
    <t>2YT1QG60866233</t>
  </si>
  <si>
    <t>THE NORTHAMPTON COUNTY SHERIFF'S OFFICE, A LAW ENFORCEMENT AGENCY, REQUEST'S THIS PIECE OF EQUIPMENT BE ISSUED TO OUR AGENCY.  THIS VEHICLE WILL BE ISSUED TO OUR NARCOTICS DIVISION FOR USE BY ONE OF NARCOTIC INVESTIGATORS FOR USE AS HIS UNDERCOVER VEHICLE.  IT WILL BE USED TO WORK CRIMINAL CASES AND FOR SURVEILLANCE IN NARCOTIC ENFORCEMENT.</t>
  </si>
  <si>
    <t xml:space="preserve">
Sales Order #: 2285870186
RTD Screening Code: DOD
Reason for Rejection: Y9</t>
  </si>
  <si>
    <t>2YT1QG60866218</t>
  </si>
  <si>
    <t>THE NORTHAMPTON COUNTY SHERIFF'S OFFICE REQUESTS THIS EQUIPMENT BE ISSUED TO OUR AGENCY.  THIS EQUIPMENT WILL BE ISSUED TO OUR INVESTIGATORS FOR CRIMINAL AND NARCOTIC CASE DOCUMENTATION.</t>
  </si>
  <si>
    <t xml:space="preserve">
Sales Order #: 2278331079
RTD Screening Code: DOD
Reason for Rejection: YD</t>
  </si>
  <si>
    <t>2YT1QG60301295</t>
  </si>
  <si>
    <t>THE NORTHAMPTON COUNTY SHERIFF'S OFFICE, A LAW ENFORCEMENT AGENCY, REQUESTS THIS EQUIPMENT BE ISSUED TO OUR AGENCY.  THIS EQUIPMENT WILL BE ISSUED TO OUR INVESTIGATORS FOR USE IN CRIMINAL AND NARCOTIC INVESTIGATION DOCUMENTATION.</t>
  </si>
  <si>
    <t xml:space="preserve">
Sales Order #: 2282071327
RTD Screening Code: DOD
Reason for Rejection: YG</t>
  </si>
  <si>
    <t>2YT1QG60301287</t>
  </si>
  <si>
    <t>THE NORTHAMPTON COUNTY SHERIFF'S OFFICE, A LAW ENFORCEMENT AGENCY REQUEST'S THIS EQUIPMENT BE ISSUED TO OUR AGENCY.  THIS EQUIPMENT WILL BE USED IN THE EVENT OF A MEDICAL EMERGENCY BY OUR DEPUTIES TO AID OUR CITIZENS.</t>
  </si>
  <si>
    <t xml:space="preserve">
Sales Order #: 2280774559
RTD Screening Code: DOD
Reason for Rejection: YH</t>
  </si>
  <si>
    <t>DIFIBRILLATOR,AUTOM</t>
  </si>
  <si>
    <t>2YT1QG60029690</t>
  </si>
  <si>
    <t>THE NORTHAMPTON COUNTY SHERIFF'S OFFICE REQUEST'S THIS EQUIPMENT BE ISSUED TO OUR AGENCY.  THIS CAMERA WILL BE ISSUED TO OUR NARCOTICS DIVISION FOR USE IN DOCUMENTATION OF  EVIDENCE IN NARCOTIC INVESTIGATIONS.</t>
  </si>
  <si>
    <t xml:space="preserve">
Sales Order #: 2280774561
RTD Screening Code: DOD
Reason for Rejection: YG</t>
  </si>
  <si>
    <t>2YT1QG60029686</t>
  </si>
  <si>
    <t>THE NORTHAMPTON COUNTY SHERIFF'S OFFICE, A LAW ENFORCEMENT AGENCY, REQUESTS THIS PIECE OF EQUIPMENT BE ISSUED TO OUR AGENCY.  THIS CAMERA SYSTEM WILL BE ISSUED TO OUR CRIMINAL AND NARCOTIC INVESTIGATORS FOR CRIME SCENE DOCUMENTATION.</t>
  </si>
  <si>
    <t xml:space="preserve">
Sales Order #: 2278338085
RTD Screening Code: DOD
Reason for Rejection: YH</t>
  </si>
  <si>
    <t>2YT1QG53609138</t>
  </si>
  <si>
    <t>THE NORTHAMPTON COUNTY SHERIFF'S OFFICE, A LAW ENFORCEMENT AGENCY, REQUESTS THIS PIECE OF EQUIPMENT BE ISSUED TO OUR AGENCY.  THIS CAMERA WILL BE ISSUED TO ONE OF OUR INVESTIGATORS FOR CRIME SCENE AND NARCOTIC SCENE DOCUMENTATION.</t>
  </si>
  <si>
    <t xml:space="preserve">
Sales Order #: 2278970265
RTD Screening Code: DOD
Reason for Rejection: YH</t>
  </si>
  <si>
    <t>2YT1QG53609137</t>
  </si>
  <si>
    <t>REQUESTED BY NORTH MYRTLE BEACH POLICE DEPARTMENT TO BE USED BY NMB POLICE OFFICERS AS A MOBILE OFFICE SPACE DURING HURRICANES, LARGE SCALE EVENTS AND OTHER NATURAL DISASTERS.</t>
  </si>
  <si>
    <t xml:space="preserve">
Sales Order #: 2283438356
RTD Screening Code: DOD
Reason for Rejection: Y9</t>
  </si>
  <si>
    <t>2YT1PG60654213</t>
  </si>
  <si>
    <t>REQUESTED BY NORTH MYRTLE BEACH POLICE DEPARTMENT FOR USE BY NMB POLICE STAFF FOR CLEANING AGENCY EQUIPMENT.</t>
  </si>
  <si>
    <t xml:space="preserve">
Sales Order #: 2283314715
RTD Screening Code: DOD
Reason for Rejection: Y9</t>
  </si>
  <si>
    <t>2YT1PG60442555</t>
  </si>
  <si>
    <t>THE NORTH MYRTLE BEACH POLICE DEPARTMENT IS REQUESTING THIS VEHICLE FOR NON-TACTICAL USE AS A MOBILE OFFICE AND STAGING AREA TO SUPPORT EMERGENCY RESPONSE OPERATIONS. THE VEHICLE WILL BE UTILIZED DURING CRITICAL INCIDENTS, SEVERE WEATHER EVENTS, HURRICANES, EVACUATIONS, AND LARGE PUBLIC GATHERINGS TO IMPROVE COORDINATION, COMMUNICATIONS, AND LOGISTICAL SUPPORT.
THIS ASSET WILL PROVIDE A CENTRALIZED WORKSPACE FOR BRIEFINGS, RESOURCE MANAGEMENT, AND OPERATIONAL CONTINUITY.</t>
  </si>
  <si>
    <t>2YT1PG60442553</t>
  </si>
  <si>
    <t>REQUESTED BY NORTH MYRTLE BEACH POLICE DEPARTMENT FOR USE BY NMB POLICE MARINE PATROL.</t>
  </si>
  <si>
    <t xml:space="preserve">
Sales Order #: 2260374060
RTD Screening Code: DOD
Reason for Rejection: Y9</t>
  </si>
  <si>
    <t>2YT1PG60371934</t>
  </si>
  <si>
    <t xml:space="preserve">
Sales Order #: 2278282252
RTD Screening Code: DOD
Reason for Rejection: Y9</t>
  </si>
  <si>
    <t>2YT1PG60301583</t>
  </si>
  <si>
    <t>REQUESTED BY NORTH MYRTLE BEACH POLICE DEPARTMENT TO BE USED BY NMB POLICE OFFICERS DURING COMMUNITY AND TRAINING EVENTS.</t>
  </si>
  <si>
    <t xml:space="preserve">
Sales Order #: 2273965463
RTD Screening Code: DOD
Reason for Rejection: YH</t>
  </si>
  <si>
    <t>2YT1PG53398048</t>
  </si>
  <si>
    <t xml:space="preserve">
Sales Order #: 2273965470
RTD Screening Code: DOD
Reason for Rejection: YH</t>
  </si>
  <si>
    <t>2YT1PG53398047</t>
  </si>
  <si>
    <t>REQUESTED BY NORTH MYRTLE BEACH POLICE 
DEPARTMENT FOR USE BY NMB POLICE OFFICERS FOR THE STORAGE AND TRANSPORTATION OF AGENCY EQUIPMENT.</t>
  </si>
  <si>
    <t xml:space="preserve">
Sales Order #: 2276940784
RTD Screening Code: GSA
Reason for Rejection: YH</t>
  </si>
  <si>
    <t>2YT1PG52834601</t>
  </si>
  <si>
    <t>FOR LAW ENFORCEMENT USE BY THE NORTH LITTLE ROCK POLICE DEPARTMENT. TO BE UTILIZED FOR THE REPLACEMENT OF OUTDATED EQUIPMENT USED FOR OFF-LOADING AND TRANSFERRING DEPARTMENT OWNED EQUIPMENT AND SUPPLIES. ALSO USED FOR MOVEMENT OF MATERIALS DURING INCIDENTS INVOLVING DISASTER AID AND RECOVERY.</t>
  </si>
  <si>
    <t xml:space="preserve">
Sales Order #: 2285179899
RTD Screening Code: DOD
Reason for Rejection: Y9</t>
  </si>
  <si>
    <t>2YT10760725103</t>
  </si>
  <si>
    <t>FOR LAW ENFORCEMENT USE BY OFFICERS OF THE NORTH LITTLE ROCK POLICE DEPARTMENT. TO BE ISSUED TO THE TRAINING DIVISION FOR USE DURING HIGH TEMPERATURE TRAINING INCIDENTS INVOLVING COUNTER NARCOTICS COUNTER TERRORISM SCENARIOS. ALSO FOR USE DURING INCIDENTS INVOLVING NATURAL DISASTER AID AND RECOVERY IN COOLING STATIONS.</t>
  </si>
  <si>
    <t xml:space="preserve">
Sales Order #: 2283007722
RTD Screening Code: DOD
Reason for Rejection: Y9</t>
  </si>
  <si>
    <t>2YT10760372460</t>
  </si>
  <si>
    <t xml:space="preserve">
Sales Order #: 2283007682
RTD Screening Code: DOD
Reason for Rejection: Y9</t>
  </si>
  <si>
    <t>2YT10760372459</t>
  </si>
  <si>
    <t xml:space="preserve">
Sales Order #: 2283007688
RTD Screening Code: DOD
Reason for Rejection: Y9</t>
  </si>
  <si>
    <t>2YT10760372458</t>
  </si>
  <si>
    <t>FOR THIS LEA ONLY. THE NORTH BERGEN POLICE DEPARTMENT IS REQUESTING THIS VEHICLE FOR OUR PATROL DIVISION. THIS WILL ALLOW US TO DEPLOY ADDITIONAL UNITS THEREFORE INCREASING OFFICER AND COMMUNITY SAFETY. THANK YOU FOR YOUR CONSIDERATION.</t>
  </si>
  <si>
    <t xml:space="preserve">
Sales Order #: 2285840394
RTD Screening Code: DOD
Reason for Rejection: Y9</t>
  </si>
  <si>
    <t>2YT1NW60866636</t>
  </si>
  <si>
    <t>NORTH BERGEN POLICE DEPT (2YT1NW)</t>
  </si>
  <si>
    <t>FOR THIS LEA ONLY. THE NORTH BERGEN POLICE DEPARTMENT WOULD LIKE TO REQUEST THIS VEHICLE FOR OUR SPECIAL SERVICES UNIT. THIS WILL ALLOW US TO DEPLOY WATERCRAFT IN OUR RIVERFRONT TO INCREASE OFFICER AND COMMUNITY SAFETY. THANK YOU FOR YOUR CONSIDERATION.</t>
  </si>
  <si>
    <t>2YT1NW60866387</t>
  </si>
  <si>
    <t>FOR THIS LEA ONLY. THE NORTH BERGEN POLICE DEPARTMENT WOULD LIKE TO REQUEST THIS VEHICLE FOR OUR TRAFFIC UNIT. THIS WILL ALLOW US TO DEPLOY TRAFFIC CONTROL DEVICES AND AN ADDITION UNIT TO INCREASE OFFICER AND COMMUNITY SAFETY. THANK YOU FOR YOUR CONSIDERATION.</t>
  </si>
  <si>
    <t xml:space="preserve">
Sales Order #: 2285872635
RTD Screening Code: DOD
Reason for Rejection: Y9</t>
  </si>
  <si>
    <t>2YT1NW60866383</t>
  </si>
  <si>
    <t>FOR THIS LEA ONLY. THE NBPD WOULD LIKE TO REQUEST THIS VEHICLE FOR OUR SPECIAL SERVICES UNIT. WE WOULD BE ABLE TO DEPLOY OUR UAS SYSTEMS AT LARGE SCALE EVENTS AS WELL AS ADDITION LE EQUIPMENT TO SUPPLY OFFICERS IN THE FIELD. THANK YOU FOR YOUR CONSIDERATION.</t>
  </si>
  <si>
    <t xml:space="preserve">
Sales Order #: 2282070874
RTD Screening Code: DOD
Reason for Rejection: Y9</t>
  </si>
  <si>
    <t>2YT1NW60301769</t>
  </si>
  <si>
    <t>TO BE UTILIZED BY THE NORTH ARLINGTON POLICE DEPARTMENT TO TRANSFER AND STORE POLICE MOTORCYCLES AND NECESSARY SAFETY EQUIPMENT.</t>
  </si>
  <si>
    <t xml:space="preserve">
Sales Order #: 2285872662
RTD Screening Code: DOD
Reason for Rejection: Y9</t>
  </si>
  <si>
    <t>2YT1NQ60866234</t>
  </si>
  <si>
    <t>NORTH ARLINGTON POLICE DEPT (2YT1NQ)</t>
  </si>
  <si>
    <t>THE NORMANDY POLICE DEPARTMENT WILL UTILIZE THIS TOTAL CONTAINEMENT VESSEL FOR POLICE OFFICERS FOR DEPLOYMENT WITH THE AGENCY'S BOMB DEPLOYMENT UNIT AND EOD ROBOTS.</t>
  </si>
  <si>
    <t xml:space="preserve">
Sales Order #: 2283507456
RTD Screening Code: DOD
Reason for Rejection: BQ</t>
  </si>
  <si>
    <t>2YT0M460723119</t>
  </si>
  <si>
    <t>THE NORMANDY POLICE DEPARTMENT WILL UTILIZE THESE PORTABLE ELECTRIC DRILLS FOR POLICE OFFICERS ASSIGNED TO NATURAL DISASTER RESPONSE AND INCLEMENT WEATHER RESPONSE FOR TREE AND DEBRIS REMOVAL.</t>
  </si>
  <si>
    <t>2YT0M460655497</t>
  </si>
  <si>
    <t>THE NORMANDY POLICE DEPARTMENT WILL UTILIZE THESE POWER SAWS FOR POLICE OFFICERS FOR USE DURING NATURAL DISASTER RECOVERY EFFORTS AND INCLEMENT WEATHER FOR TREE AND DEBRIS REMOVAL.</t>
  </si>
  <si>
    <t>2YT0M460655496</t>
  </si>
  <si>
    <t>THE NORMANDY POLICE DEPARTMENT WILL UTILIZE THIS TRAILER TO TRANSPORT AND STORE LAW ENFORCEMENT EQUIPMENT.</t>
  </si>
  <si>
    <t xml:space="preserve">
Sales Order #: 2283719914
RTD Screening Code: DOD
Reason for Rejection: YG</t>
  </si>
  <si>
    <t>2YT0M460654192</t>
  </si>
  <si>
    <t>THE NORMANDY POLICE DEPARTMENT WILL UTILIZE THIS TRAILER AS A MOBILE COMMAND CENTER FOR POLICE OFFICERS DURONG CRITICAL INCIDENTS SUCH AS CIVIL UNREST, MASS CASUALTY EVENTS, OR NATURAL DISASTERS, AS WELL AS A TEMPORAARY STATION DURING UPCOMING STATION RENOVATIONS.</t>
  </si>
  <si>
    <t>2YT0M460654189</t>
  </si>
  <si>
    <t>THE NORMANDY POLICE DEPARTMENT WILL UTILIZE THIS SUV FOR POLICE OFFICERS FOR UNDERCOVER ACTIVITIES DURING ANTI-NARCOTICS OPEARTIONS, FOR DETECTIVE AND INVESTIGATION USE, AND FOR DRIVER TRAINING.</t>
  </si>
  <si>
    <t xml:space="preserve">
Sales Order #: 2285188817
RTD Screening Code: ACCM
Reason for Rejection: Y9</t>
  </si>
  <si>
    <t>2YT0M460584724</t>
  </si>
  <si>
    <t>THE NORMANDY POLICE DEPARTMENT WILL UTILIZE THIS EMERGENCY RESPONSE TRUCK AS A MOBILE COMMAND CENTER FOR POLICE OFFICERS DURING SWAT DEPLOYMENTS REQUIRING THE USE OF THE AGENCY ROBOTS DURING CRITICAL INCIDENTS SUCH AS BARRICADED SUBJECTS AND CIVIL UNREST.</t>
  </si>
  <si>
    <t xml:space="preserve">
Sales Order #: 2285179006
RTD Screening Code: DOD
Reason for Rejection: YG</t>
  </si>
  <si>
    <t>2YT0M460584719</t>
  </si>
  <si>
    <t>THE NORMANDY POLICE DEPARTMENT WILL UTILIZE THIS MOBILE DENTAL UNIT FOR POLICE OFFICERS BY REPURPOSING THE VEHICLE INTO A MOBILE COMMAND CENTER FOR USE DURING CRITICAL INCIDENTS SUCH AS MASS CASUALTY EVENTS, NATURAL DISASTERS, AND CIVIL UNREST.</t>
  </si>
  <si>
    <t xml:space="preserve">
Sales Order #: 2283337268
RTD Screening Code: DOD
Reason for Rejection: BQ</t>
  </si>
  <si>
    <t>2YT0M460583853</t>
  </si>
  <si>
    <t>THE NORMANDY POLICE DEPARTMENT WILL UTILIZE THESE MOTORIZED CARTS TO CONVEY OFFICERS AND PATRONS AT SPECIALIZED EVENTS REQUIRING ROAD CLOSURES AND NON-TRADTIONAL SECURITY PATROLS.</t>
  </si>
  <si>
    <t xml:space="preserve">
Sales Order #: 2283623354
RTD Screening Code: DOD
Reason for Rejection: Y9</t>
  </si>
  <si>
    <t>2YT0M460513117</t>
  </si>
  <si>
    <t>THE NORMANDY POLICE DEPARTMENT WILL UTILIZE THIS MOTORIZED CART TO CONVEY OFFICERS AND PATRONS AT SPECIALIZED EVENTS REQUIRING ROAD CLOSURES AND NON-TRADTIONAL SECURITY PATROLS.</t>
  </si>
  <si>
    <t xml:space="preserve">
Sales Order #: 2283623331
RTD Screening Code: DOD
Reason for Rejection: Y9</t>
  </si>
  <si>
    <t>2YT0M460513116</t>
  </si>
  <si>
    <t>THE NORMANDY POLICE DEPARTMENT WILL UTILIZE THIS NON-LETHAL CAPABILITIES SET TO EQUIP POLICE OFFICERS WITH ESSENTIAL LESS LETHAL OPTION DURING RESPONSE TO INCIDENTS OF CIVIL UNREST AND LARGE GATHERINGS.</t>
  </si>
  <si>
    <t xml:space="preserve">
Sales Order #: 2280363906
RTD Screening Code: DOD
Reason for Rejection: YH</t>
  </si>
  <si>
    <t>CAPABILITIES SET,NO</t>
  </si>
  <si>
    <t>2YT0M460510925</t>
  </si>
  <si>
    <t>THE NORMANDY POLICE DEPARTMENT WILL USE THIS SHIPPING CONTAINER FOR LAW ENFORCEMENT EQUIPMENT STORAGE.</t>
  </si>
  <si>
    <t xml:space="preserve">
Sales Order #: 2283623350
RTD Screening Code: DOD
Reason for Rejection: YH</t>
  </si>
  <si>
    <t>2YT0M460443120</t>
  </si>
  <si>
    <t>THE NORMANDY POLICE DEPARTMENT WILL UTILIZE THESE RECONNAISSANCE CAMERAS FOR POLICE OFFICERS TO DEPLOY TO ASSIST IN LOCATING DANGEROUS SUBJECTS FLEEING APPREHENSION.</t>
  </si>
  <si>
    <t xml:space="preserve">
Sales Order #: 2283507424
Reason for Rejection: YG</t>
  </si>
  <si>
    <t>2YT0M460442956</t>
  </si>
  <si>
    <t>THE NORMANDY POLICE DEPARTMENT WILL UTILIZE THIS SEDAN FOR POLICE OFFICERS ASSIGNED TO THE DETECTIVE BUREAU FOR USE CONDUCTING INVESTIGATION.</t>
  </si>
  <si>
    <t>2YT0M460442559</t>
  </si>
  <si>
    <t>2YT0M460442557</t>
  </si>
  <si>
    <t>THE NORMANDY POLICE DEPARTMENT WILL UTILIZE THIS MOBILE COMMAND CENTER FOR POLICE OFFICERS GATHERING FOR CRITICAL INCIDENTS SUCH AS REGIONAL DISASTER RELIEF EFFORTS, CIVIL UNREST, OR LARGE SCALE EVENTS REQUIRING HEIGHTENED LAW ENFORCEMENT PRESENCE AND RESPONSE.</t>
  </si>
  <si>
    <t>2YT0M460442543</t>
  </si>
  <si>
    <t>THE NORMANDY POLICE DEPARTMENT WILL UTILIZE THIS THERMAL CAMERA FOR POLICE OFFICERS ASSIGNED TO SWAT  SPECIAL OPERATIONS FOR CRITICAL INCIDENTS AND FOR PATROL OFFICERS ATTEMPTING TO LOCATE DANGEROUS SUBJECTS ATTEMPTING TO AVOID CAPTURE.</t>
  </si>
  <si>
    <t xml:space="preserve">
Sales Order #: 2282934632
RTD Screening Code: DOD
Reason for Rejection: YH</t>
  </si>
  <si>
    <t>THERMAL CAMERA</t>
  </si>
  <si>
    <t>DSTHRMCAM</t>
  </si>
  <si>
    <t>2YT0M460372413</t>
  </si>
  <si>
    <t>THE NORMANDY POLICE DEPARTMENT WILL UTILIZE THESE GOGGLE HEADBANDS FOR THE GOGGLES ALREADY REQUESTED AS ALTERNATES IN CASE THE ORIGINALS ARE DAMAGED BY POLICE OFFICERS DURING MISSIONS OR TRAINING.</t>
  </si>
  <si>
    <t xml:space="preserve">
Sales Order #: 2282334340
RTD Screening Code: GSA
Reason for Rejection: YG</t>
  </si>
  <si>
    <t>2YT0M460372111</t>
  </si>
  <si>
    <t>THE NORMANDY POLICE DEPARTMENT WILL UTILIZE THESE DARK COLORED GOGGLE LENSES FOR THE GOGGLES ALREADY REQUESTED AS ALTERNATE LENSES IN CASE THE ORIGINALS ARE DAMAGED BY POLICE OFFICERS DURING MISSIONS OR TRAINING.</t>
  </si>
  <si>
    <t xml:space="preserve">
Sales Order #: 2282428287
RTD Screening Code: GSA
Reason for Rejection: YG</t>
  </si>
  <si>
    <t>2YT0M460372110</t>
  </si>
  <si>
    <t>THE NORMANDY POLICE DEPARTMENT WILL UTILIZE THESE GOGGLE LENSES FOR THE GOGGLES ALREADY REQUESTED AS ALTERNATE LENSES IN CASE THE ORIGINALS ARE DAMAGED BY POLICE OFFICERS DURING MISSIONS OR TRAINING.</t>
  </si>
  <si>
    <t xml:space="preserve">
Sales Order #: 2282428261
RTD Screening Code: GSA
Reason for Rejection: YG</t>
  </si>
  <si>
    <t>2YT0M460372109</t>
  </si>
  <si>
    <t>THE NORMANDY POLICE DEPARTMENT WILL UTILIZE THESE GOGGLES FOR POLICE OFFICERS FOR FIREARMS AND SIMUNITION TRAINING, AND FOR POLICE OFFICERS ASSIGNED TO SWAT FOR USE ON CRITICAL INCIDENTS.</t>
  </si>
  <si>
    <t xml:space="preserve">
Sales Order #: 2282428278
RTD Screening Code: DOD
Reason for Rejection: Y9</t>
  </si>
  <si>
    <t>2YT0M460372108</t>
  </si>
  <si>
    <t>THE NORMANDY POLICE DEPARTMENT WILL UTILIZE THIS GASOLINE OUTBOARD MARINE MOTOR TO ASSIST STANDING UP A SMALL LAW ENFORCEMENT WATER RESPONSE UNIT CONSISTING OF POLICE OFFICERS WITH SPECIALIZED TRAINING.</t>
  </si>
  <si>
    <t>2YT0M460371955</t>
  </si>
  <si>
    <t>2YT0M460371953</t>
  </si>
  <si>
    <t>2YT0M460371951</t>
  </si>
  <si>
    <t>2YT0M460371945</t>
  </si>
  <si>
    <t>2YT0M460371942</t>
  </si>
  <si>
    <t>2YT0M460371941</t>
  </si>
  <si>
    <t>THE NORMANDY POLICE DEPARTMENT WILL UTILIZE THESE SUV AUTOMOBILES FOR POLICE OFFICERS ASSIGNED TO OUR DETECTIVE BUREAU AND SUPPORT SERVICES.</t>
  </si>
  <si>
    <t>2YT0M460303988</t>
  </si>
  <si>
    <t>THE NORMANDY POLICE DEPARTMENT WILL UTILIZE THESE TRAINING AIDS TO ASSIST IN THE TRAINING OF POLICE OFFICERS.</t>
  </si>
  <si>
    <t xml:space="preserve">
Sales Order #: 2282934601
RTD Screening Code: GSA
Reason for Rejection: YH</t>
  </si>
  <si>
    <t>2YT0M460302405</t>
  </si>
  <si>
    <t>THE NORMANDY POLICE DEPARTMENT WILL UTILIZE THIS EOD TRUCK FOR POLICE OFFICERS ASSIGNED TO SWAT EQUIPPED WITH ROBOTS FOR BOMB RESPONSE, SERVICE OF HIGH RISK SEARCH WARRANTS, AND BARRICADED SUBJECTS.</t>
  </si>
  <si>
    <t xml:space="preserve">
Sales Order #: 2282070876
RTD Screening Code: DOD
Reason for Rejection: Y9</t>
  </si>
  <si>
    <t>2YT0M460301781</t>
  </si>
  <si>
    <t>THE NORMANDY POLICE DEPARTMENT WILL UTILIZE THIS TRUCK WITH DUMP BED FOR POLICE OFFICERS ASSIGNED TO NATURAL DISASTER RESPONSE AND CRITICAL INCIDENTS AND FOR TRANSPORTATION AND STORAGE OF LAW ENFORCEMENT EQUIPMENT.</t>
  </si>
  <si>
    <t xml:space="preserve">
Sales Order #: 2281895533
RTD Screening Code: DOD
Reason for Rejection: Y9</t>
  </si>
  <si>
    <t>2YT0M460301385</t>
  </si>
  <si>
    <t>THE NORMANDY POLICE DEPARTMENT WILL UTILIZE THIS PICKUP TRUCK FOR POLICE OFFICERS ASSIGNED TP SUPPORT SERVICES FOR LAW ENFORCMEENT VEHICLE AND FACILITY MAINTENANCE.</t>
  </si>
  <si>
    <t xml:space="preserve">
Sales Order #: 2281895559
RTD Screening Code: DOD
Reason for Rejection: Y9</t>
  </si>
  <si>
    <t>2YT0M460301381</t>
  </si>
  <si>
    <t>THE NORMANDY POLICE DEPARTMENT WILL UTILIZE THIS STAKE TRUCK FOR STORAGE AND TRANSPORTATION OF LAW ENFORCEMENT EQUIPMENT</t>
  </si>
  <si>
    <t>2YT0M460301380</t>
  </si>
  <si>
    <t>THE NORMANDY POLICE DEPARTMENT WILL UTILIZE THIS TRUCK WITH DUMP BED FOR POLICE OFFICERS FOR DISASTER RESPONSE AND EQUIPMENT TRANSPORTATION DURING CRTICAL INCIDENTS.</t>
  </si>
  <si>
    <t xml:space="preserve">
Sales Order #: 2278282271
RTD Screening Code: DOD
Reason for Rejection: Y9</t>
  </si>
  <si>
    <t>2YT0M460301378</t>
  </si>
  <si>
    <t>THE NORMANDY POLICE DEPARTMENT WILL UTILIZE THIS BOX TRUCK FOR ASSIGNMENT TO OUR SWAT POLICE OFFICERS WHERE IT WIL BE CONVERTED TO BE A COMMAND VEHICLE.</t>
  </si>
  <si>
    <t>2YT0M460301374</t>
  </si>
  <si>
    <t>2YT0M460301373</t>
  </si>
  <si>
    <t xml:space="preserve">
Sales Order #: 2281895523
RTD Screening Code: DOD
Reason for Rejection: Y9</t>
  </si>
  <si>
    <t>2YT0M460301366</t>
  </si>
  <si>
    <t xml:space="preserve">
Sales Order #: 2281895516
RTD Screening Code: DOD
Reason for Rejection: Y9</t>
  </si>
  <si>
    <t>2YT0M460301361</t>
  </si>
  <si>
    <t xml:space="preserve">
Sales Order #: 2281895519
RTD Screening Code: DOD
Reason for Rejection: Y9</t>
  </si>
  <si>
    <t>2YT0M460301358</t>
  </si>
  <si>
    <t xml:space="preserve">
Sales Order #: 2281895542
RTD Screening Code: DOD
Reason for Rejection: Y9</t>
  </si>
  <si>
    <t>2YT0M460301356</t>
  </si>
  <si>
    <t xml:space="preserve">
Sales Order #: 2278282266
RTD Screening Code: DOD
Reason for Rejection: Y9</t>
  </si>
  <si>
    <t>2YT0M460301354</t>
  </si>
  <si>
    <t xml:space="preserve">
Sales Order #: 2281895527
RTD Screening Code: DOD
Reason for Rejection: Y9</t>
  </si>
  <si>
    <t>2YT0M460301352</t>
  </si>
  <si>
    <t xml:space="preserve">
Sales Order #: 2281895534
RTD Screening Code: DOD
Reason for Rejection: Y9</t>
  </si>
  <si>
    <t>2YT0M460301351</t>
  </si>
  <si>
    <t>THE NORMANDY POLICE DEPARTMENT WILL UTILIZE THESE HEATERS FOR THE MGPTS TENTS THE AGENCY ALREADY HAS IN ADDITION TO SUPPLEMENTING THE ONE HEATER IT CURRENTY POSSESSES.</t>
  </si>
  <si>
    <t>2YT0M460231882</t>
  </si>
  <si>
    <t>THE NORMANDY POLICE DEPARTMENT WILL UTILIZE THIS MOTORIZED CART FOR POLICE OFFICERS TO MOVE EQUIPMENT.</t>
  </si>
  <si>
    <t>2YT0M460231881</t>
  </si>
  <si>
    <t>THE NORMANDY POLICE DEPARTMENT WILL UTILIZE THIS TORQUE WRENCH FOR POLICE OFFICERS ASSIGNED TO SUPPORT SERVICES FOR FLEET VEHICLE MAINTENANCE AND REPAIR.</t>
  </si>
  <si>
    <t>2YT0M460231880</t>
  </si>
  <si>
    <t>THE NORMANDY POLICE DEPARTMENT WILL UTILIZE THESE WEAPON MOUNTED FLASHLIGHTS FOR THE RIFLES THE AGENCY IS AQUIRING FOR ALL POLICE OFFICERS FOR USE ON PATROL AND WHILE RESPONDING THE CRITICAL INCIDENTS SUCH AS SHOOTINGS, NARCOTICS SEARCH WARRANTS, AND MASS CASUALTY EVENTS.</t>
  </si>
  <si>
    <t>2YT0M460231055</t>
  </si>
  <si>
    <t>THE NORMANDY POLICE DEPARTMENT WILL UTILIZE THIS TRAILER FOR POLICE OFFICERS TO TRANSPORT AND STORE LAW ENFORCEMENT EQUIPMENT DURING NATURAL DISASTERS, INCLEMENT WEATHER, AND INCIDENTS OF CIVIL UNREST.</t>
  </si>
  <si>
    <t>2YT0M460230949</t>
  </si>
  <si>
    <t>2YT0M460230948</t>
  </si>
  <si>
    <t>2YT0M460230947</t>
  </si>
  <si>
    <t>2YT0M460230946</t>
  </si>
  <si>
    <t>THE NORMANDY POLICE DEPARTMENT WILL UTILIZE THESE BREATHING MASK FACEPIECES TO ISSUE TO POLICE OFFICERS WHEN RESPONDING TO INCIDENTS OF CIVIL UNREST OR CBRNE INCIDENTS.</t>
  </si>
  <si>
    <t xml:space="preserve">
Sales Order #: 2280363905
Reason for Rejection: YH</t>
  </si>
  <si>
    <t>2YT0M460230892</t>
  </si>
  <si>
    <t xml:space="preserve">
Sales Order #: 2280363874
RTD Screening Code: DOD
Reason for Rejection: YH</t>
  </si>
  <si>
    <t>2YT0M460230891</t>
  </si>
  <si>
    <t xml:space="preserve">
Sales Order #: 2280363895
RTD Screening Code: DOD
Reason for Rejection: YH</t>
  </si>
  <si>
    <t>2YT0M460230890</t>
  </si>
  <si>
    <t>2YT0M460230889</t>
  </si>
  <si>
    <t>2YT0M460230888</t>
  </si>
  <si>
    <t>THE NORMANDY POLICE DEPARTMENT WILL UTILIZE THIS ALL TERRAIN VEHICLE FOR POLICE OFFICERS ASSIGNED TO PARK PATROL FOR USE ON TRAILS AND FIELDS WHERE PATROL VEHICLES ARE UNABLE TO SAFELY NAVIGATE.</t>
  </si>
  <si>
    <t xml:space="preserve">
Sales Order #: 2280363891
RTD Screening Code: DOD
Reason for Rejection: YH</t>
  </si>
  <si>
    <t>2YT0M460230779</t>
  </si>
  <si>
    <t>THE NORMANDY POLICE DEPARTMENT WILL UTILIZE THIS TRUCK FOR POLICE OFFICERS TO TRANSPORT LAW ENFORCEMENT EQUIPMENT AND PERSONNEL.</t>
  </si>
  <si>
    <t>2YT0M460230778</t>
  </si>
  <si>
    <t>THE NORMANDY POLICE DEPARTMENT WILL UTILIZE THIS DUMP TRUCK FOR NATURAL DISASTER RESPONSE FOR ROAD CLEARINF AND FOR USE DURING INCLEMENT WEATHER.</t>
  </si>
  <si>
    <t>2YT0M460230776</t>
  </si>
  <si>
    <t>THE NORMANDY POLICE DEPARTMENT WILL UTILIZE THIS ARMORED VEHICLE FOR POLICE OFFICERS DURING HIGH RISK INCIDENT RESPONSE SUCH AS NARCOTICS SEARCH WARRANT SERVICE AND ARMED BARRICADED SUBJECTS.</t>
  </si>
  <si>
    <t>TRUCK,ARMORED</t>
  </si>
  <si>
    <t>2YT0M460230761</t>
  </si>
  <si>
    <t>THE NORMANDY POLICE DEPARTMENT WILL UTILIZE THIS CARGO TRUCK FOR POLICE OFFICERS TO TRANSPORT LAW ENFORCMEENT EQUIPMENT AND PERSONNEL.</t>
  </si>
  <si>
    <t xml:space="preserve">
Sales Order #: 2280363893
RTD Screening Code: DOD
Reason for Rejection: YH</t>
  </si>
  <si>
    <t>2YT0M460230755</t>
  </si>
  <si>
    <t>THE NORMANDY POLICE DEPARTMENT WILL UTILIZE THIS MICROSCOPE FOR POLICE DETECTIVES TO EXAMINE EVIDENTIARY ITEMS</t>
  </si>
  <si>
    <t>MICROSCOPE,OPTICAL</t>
  </si>
  <si>
    <t>2YT0M460221833</t>
  </si>
  <si>
    <t>THE NORMANDY POLICE DEPARTMENT WILL UTILIZE THESE POWER BANKS FOR POLICE DEPARRMENT COMPUTERS TO PREVENT DAMAGE AND LOST INFORMATION DURING POWER OUTAGES CAUSED BY INCLEMENT WEATHER.</t>
  </si>
  <si>
    <t>UNINTERRUPTIBLE POWER SUPPLY/BACKUP</t>
  </si>
  <si>
    <t>DSUPS0002</t>
  </si>
  <si>
    <t>2YT0M460221832</t>
  </si>
  <si>
    <t>MICROSCOPE</t>
  </si>
  <si>
    <t>DSMICROSC</t>
  </si>
  <si>
    <t>2YT0M460221831</t>
  </si>
  <si>
    <t>THE NORMANDY POLICE DEPARTMENT WILL UTILIZE THIS MICROSCOPE FOR POLICE DETECTIVES TO EXAMINE EVIDENTIARY ITEMS.</t>
  </si>
  <si>
    <t>2YT0M460221830</t>
  </si>
  <si>
    <t>THE NORMANDY POLICE DEPARTMENT WILL UTILIZE THIS MINIVAN FOR POLICE OFFICERS, TASK FORCE OFFICERS, AND DETECTIVES TO CONDUCT UNDERCOVER NARCOTICS OPERATIONS AND SURVEILLANCE.</t>
  </si>
  <si>
    <t>2YT0M460221827</t>
  </si>
  <si>
    <t>THE NORMANDY POLICE DEPARTMENT WILL UTILIZE THIS REFLEX SIGHT RIFLE OPTICS FOR A POLICE OFFICER ASSIGNED PATROL RIFLE FOR USE ON DUTY.</t>
  </si>
  <si>
    <t xml:space="preserve">
Sales Order #: 2280106124
RTD Screening Code: DOD
Reason for Rejection: Y9</t>
  </si>
  <si>
    <t>2YT0M460168829</t>
  </si>
  <si>
    <t xml:space="preserve">
Sales Order #: 2280106117
RTD Screening Code: DOD
Reason for Rejection: Y9</t>
  </si>
  <si>
    <t>2YT0M460168820</t>
  </si>
  <si>
    <t>THE NORMANDY POLICE DEPARTMENT WILL UTILIZE THIS CBRNE SPECIALIZED ROBOT FOR OUR POLICE OFFICER ASSIGNED TO BOMB AND CBRNE RESPONSE FOR CRITICAL INCIDENT RESPONSE.</t>
  </si>
  <si>
    <t xml:space="preserve">
Sales Order #: 2281496990
RTD Screening Code: DOD
Reason for Rejection: YG</t>
  </si>
  <si>
    <t>2YT0M460161053</t>
  </si>
  <si>
    <t>THE NORMANDY POLICE DEPARTMENT WILL UTILIZE THIS SUV FOR POLICE OFFICERS ASSIGNED TO THE NARCOTICS UNIT AND SWAT AS AN UNDERCOVER VEHICLE OR FOR DEPLOYMENT DURING DRUG OPERATIONS OR SERVICE OF SEARCH WARRANTS.</t>
  </si>
  <si>
    <t>2YT0M460160735</t>
  </si>
  <si>
    <t>THE NORMANDY POLICE DEPARTMENT WILL UTILIZE THIS BATTERY CHARGER FOR THE NUMEROUS BATTERIES IT ALREADY OWNS THAT WORK WITH THE THREE EOD ROBOTS IT ALREADY OBTAINED THROUGH THE LESO PROGRAM.</t>
  </si>
  <si>
    <t>2YT0M460160593</t>
  </si>
  <si>
    <t>THE NORMANDY POLICE DEPARTMENT WILL UTILIZE THESE REFLEX SIGHTS ON PATROL RIFLES ASSIGNED TO POLICE OFFICERS FOR USE ON GENERAL PATROL, IN SERVICE OF HIGH RISK NARCOTICS SEAECH WARRANTS, RESPONSES TO BARRICADED SUBJECTS, AND OTHER APPLICATIONS AS NEEDED.</t>
  </si>
  <si>
    <t>2YT0M460160591</t>
  </si>
  <si>
    <t>QTHE NORMANDY POLICE DEPARTMENT WILL UTILIZE THESE BULLET TRAPS IN PREPARATION OF OUR STATION REMODEL WHICH WILL INCLUDE INDOOR SHOOTING RANGE AREAS IN ADDITION TO USE AT OUR CURRENT ARMORY AND OUTDOOR SHARED SHOOTING RANGE.</t>
  </si>
  <si>
    <t xml:space="preserve">
Sales Order #: 2280995231
Reason for Rejection: YH</t>
  </si>
  <si>
    <t>2YT0M460160590</t>
  </si>
  <si>
    <t>THE NORMANDY POLICE DEPARTMENT WILL UTILIZE THIS LASER ENGRAVING MACHINE TO UNIQUELY MARK AND PROTECT LAW ENFORCEMENT EQUIPMENT AND OFFER SIMILAR COMMUNITY SERVICES BY APPOINTMENT TO ASSIST THE COMMUNITY IN PROTECTING THEIR BELONGINGS.</t>
  </si>
  <si>
    <t xml:space="preserve">
Sales Order #: 2280995236
RTD Screening Code: DOD
Reason for Rejection: Y9</t>
  </si>
  <si>
    <t>2YT0M460160583</t>
  </si>
  <si>
    <t>THE NORMANDY POLICE DEPARTMENT WILL UTILIZE THIS STAKE TRUCK FOR POLICE OFFICERS ASSIGNED TO SUPPORT SERVICES FOR TRANSPORTING LAW ENFORCEMENT EQUIPMENT AND FOR NATURAL DISASTER RESPONSES.</t>
  </si>
  <si>
    <t xml:space="preserve">
Sales Order #: 2281230564
RTD Screening Code: DOD
Reason for Rejection: YH</t>
  </si>
  <si>
    <t>2YT0M460160546</t>
  </si>
  <si>
    <t>THE NORMANDY POLICE DEPARTMENT WILL UTILIZE THIS TRUCK TRACTOR FOR POLICE OFFICERS ASSIGNED TO SUPPORT SERVICES FOR TRANSPORTING LAW ENFORCEMENT EQUIPMENT AND LAW ENFORCEMENT TRAILERS.</t>
  </si>
  <si>
    <t xml:space="preserve">
Sales Order #: 2281230553
RTD Screening Code: DOD
Reason for Rejection: Y9</t>
  </si>
  <si>
    <t>2YT0M460160542</t>
  </si>
  <si>
    <t>THE NORMANDY POLICE DEPARTMENT WILL UTILIZE THIS TRUCK TRACTOR TO TRANSPORT TRAILERS CONTAINING LAW ENFORCEMENT EQUIPMENT AND VEHICLES AND TO TOW HEAVY EQUIPMENT ACQUIRED THROUGH DLA.</t>
  </si>
  <si>
    <t>2YT0M460160465</t>
  </si>
  <si>
    <t>THE NORMANDY POLICE DEPARTMENT WILL UTILIZE THIS ALL TERRAIN VEHICLE FOR POLICE OFFICERS ON PATROL OF CITY AND COUNTY PARKS AND FOR ACCESS TO GREENWAY TRAILS WHICH HAVE LIMITED REGULAR VEHICLE ACCESS.</t>
  </si>
  <si>
    <t>2YT0M460160464</t>
  </si>
  <si>
    <t>THE NORMANDY POLICE DEPARTMENT WILL UILITIZE THIS SUV FOR POLICE OFFICERS ASSIGNED TO SPECIAL OPERATIONS AND SWAT FOR DEPLOYMENT ON ANTINARCOTICS ENFORCEMENT MISSIONS AND SERVICE OF DANGEROUS SEAECH WARRANTS.</t>
  </si>
  <si>
    <t xml:space="preserve">
Sales Order #: 2281230577
RTD Screening Code: DOD
Reason for Rejection: Y9</t>
  </si>
  <si>
    <t>2YT0M460160446</t>
  </si>
  <si>
    <t>THE NORMANDY POLICE DEPARTMENT WILL UTILIZE THIS PICKUP TRUCK FOR POLICE OFFICERS ASSIGNED TO SWAT AND SPECIAL OPERATIONS BY ADDING EMERGENCY EQUIPMENT AND A BED COVERING TO STORE AND TRANSPORT AGENCY ROBOTS AND EQUIPMENT.</t>
  </si>
  <si>
    <t xml:space="preserve">
Sales Order #: 2281230556
RTD Screening Code: DOD
Reason for Rejection: Y9</t>
  </si>
  <si>
    <t>2YT0M460160437</t>
  </si>
  <si>
    <t>THE NORMANDY POLICE DEPARTMENT WILL UTILIZE THIS ALL TERRAIN VEHICLE FOR POLICE OFFICERS ASSIGNED TO PARK PATROLS WHERE THE PATHS AND COUNTY GREENWAY TRAILS ARE OFTEN INACCESSIBLE TO NORMAL MOTOR VEHICLES.</t>
  </si>
  <si>
    <t>2YT0M460160387</t>
  </si>
  <si>
    <t>THE NORMANDY POLICE DEPARTMENT WILL UTILIZE THIS TRUCK TRACTOR FOR POLOCE OFFICERS FOR TRANSPORTING LAW ENFORCEMENT EQUIPMENT AND FOR AQUIRING ADDITIONAL LAW ENFORCEMENT EQUIPMENT.</t>
  </si>
  <si>
    <t>2YT0M460160386</t>
  </si>
  <si>
    <t>THE NORMANDY POLICE DEPARTMENT WILL UTILIZE THIS SKID STEER FOR NATURAL DISASTER RESPONSE TO ASSIST IN MOVING DOWNED TREES FROM ROADWAYS AND FOR MOVING ROAD CLOSURE EQUIPMENT.</t>
  </si>
  <si>
    <t>2YT0M460160366</t>
  </si>
  <si>
    <t>THE NORMANDY POLICE DEPARTMENT WILL UTILIZE THIS TRAILER FOR POLICE OFFICERS TO TRANSPORT LAW ENFORCEMENT EQUIPMENT AND WHEN NOT IN USE TO STORE LAW ENFORCEMENT EQUIPMENT.</t>
  </si>
  <si>
    <t>2YT0M460160359</t>
  </si>
  <si>
    <t>THE NORMANDY POLICE DEPARTMENT WILL UTILIZE THIS VAN FOR POLICE OFFICERS ASSIGNED TO SPECIAL OPERATIONS AS A MOBILE COMMAND CENTER FOR DEPLOYMENT TO INCIDENTS OF CIVIL UNREST, NARCOTICS SEARCH WARRANTS, BARRICADED SUBJECTS, AND OTHER HIGH PRIORITY ASSIGNMENTS.</t>
  </si>
  <si>
    <t>2YT0M460160356</t>
  </si>
  <si>
    <t>THE NORMANDY POLICE DEPARTMENT WILL UTILIZE THIS REFLEX SIGHT FOR MOUNTING ON A POLICE OFFICERS ASSIGNED PATROL RIFLE FOR USE ON DUTY.</t>
  </si>
  <si>
    <t xml:space="preserve">
Sales Order #: 2280608483
RTD Screening Code: DOD
Reason for Rejection: Y9</t>
  </si>
  <si>
    <t>2YT0M460160283</t>
  </si>
  <si>
    <t xml:space="preserve">
Sales Order #: 2280608492
RTD Screening Code: DOD
Reason for Rejection: Y9</t>
  </si>
  <si>
    <t>2YT0M460160282</t>
  </si>
  <si>
    <t xml:space="preserve">
Sales Order #: 2280608485
RTD Screening Code: DOD
Reason for Rejection: Y9</t>
  </si>
  <si>
    <t>2YT0M460160281</t>
  </si>
  <si>
    <t xml:space="preserve">
Sales Order #: 2280608490
RTD Screening Code: DOD
Reason for Rejection: Y9</t>
  </si>
  <si>
    <t>2YT0M460160280</t>
  </si>
  <si>
    <t>THE NORMANDY POLICE DEPARTMENT WILL UTILIZE THIS TRAILER FOR POLICE OFFICERS TO TRANSPORTS AND STORE LAW ENFORCEMENT EQUIPMENT.</t>
  </si>
  <si>
    <t xml:space="preserve">
Sales Order #: 2281281984
RTD Screening Code: RTD2
Reason for Rejection: Y9</t>
  </si>
  <si>
    <t>2YT0M460151203</t>
  </si>
  <si>
    <t>THE NORMANDY POLICE DEPARTMENT WILL UTILIZE THIS POWER SAW FOR POLICE OFFICERS RESPONDING TO EMERGENCIES FROM NATURAL DISASTERS FOR ROAD CLEARING EFFORTS AND TO FORCE ENTRY INTO VEHICLES DURING ENTRAPMENT.</t>
  </si>
  <si>
    <t xml:space="preserve">
Sales Order #: 2281281979
RTD Screening Code: RTD2
Reason for Rejection: Z2</t>
  </si>
  <si>
    <t>2YT0M460151202</t>
  </si>
  <si>
    <t>THE NORMANDY POLICE DEPARTMENT WILL UTILIZE THIS FORK LIFT TRUCK FOR MOVING AND LOADING LAW ENFORCEMENT EQUIPMENT AND EVIDENCE STORAGE CONTAINERS.</t>
  </si>
  <si>
    <t xml:space="preserve">
Sales Order #: 2280995230
RTD Screening Code: DOD
Reason for Rejection: YH</t>
  </si>
  <si>
    <t>2YT0M460090592</t>
  </si>
  <si>
    <t>THE NORMANDY POLICE DEPARTMENT WILL UTILIZE THIS GAS POWERED CIRCULAR SAW FOR USE BY POLICE OFFICERS FOR VEHICLE EXTRICATIONS, FOR RESPONSE DURING NATURAL DISASTERS FOR EXIGENT ENTRY NEEDS AND EMERGENCY ROAD CLEARING, AND FOR FORCING ENTRY DURONG DANGEROUS SEARCH WARRANT SERVICE FOR BARCOTICS RELATED OFFENSES.</t>
  </si>
  <si>
    <t xml:space="preserve">
Sales Order #: 2280995233
RTD Screening Code: DOD
Reason for Rejection: Y9</t>
  </si>
  <si>
    <t>2YT0M460090584</t>
  </si>
  <si>
    <t>THE NORMANDY POLICE DEPARTMENT WILL UTILIZE THESE ELECTRIC VACUUMS FOR USE BY POLICE OFFICERS TO CLEAN AND MAINTAIN THEIR PATROL VEHICLES, SUPPORT SERVICES VEHICLES, AND THE STATION.</t>
  </si>
  <si>
    <t xml:space="preserve">
Sales Order #: 2280608491
RTD Screening Code: DOD
Reason for Rejection: BQ</t>
  </si>
  <si>
    <t>2YT0M460090329</t>
  </si>
  <si>
    <t>THE NORMANDY POLICE DEPARTMENT WILL UTILIZE THIS SAFE FOR POLICE OFFICERS TO STORE AND SECURE VALUABLES AND FIREARMS AND OTHER EVIDENTIARY PROPERTY AS NEEDED.</t>
  </si>
  <si>
    <t xml:space="preserve">
Sales Order #: 2280995240
RTD Screening Code: GSA
Reason for Rejection: YH</t>
  </si>
  <si>
    <t>2YT0M460070594</t>
  </si>
  <si>
    <t>THE NORMANDY POLICE DEPARTMENT WILL UTILIZE THIS COMPRESSOR OR VACUUM PUMP FOR POLICE OFFICERS ASSIGNED TO SUPPORT SERVICES FOR MAINTANING PATROL VEHICLES, SUPPORT SERVICES VEHICLES, AND THE STATION FACILITIES.</t>
  </si>
  <si>
    <t xml:space="preserve">
Sales Order #: 2280608496
RTD Screening Code: DOD
Reason for Rejection: YH</t>
  </si>
  <si>
    <t>COMPRESSORS AND VACUUM PUMPS</t>
  </si>
  <si>
    <t>DSCOMPVAC</t>
  </si>
  <si>
    <t>2YT0M460020328</t>
  </si>
  <si>
    <t xml:space="preserve">
Sales Order #: 2280608487
RTD Screening Code: RTD2
Reason for Rejection: YG</t>
  </si>
  <si>
    <t>2YT0M460020327</t>
  </si>
  <si>
    <t xml:space="preserve">
Sales Order #: 2280608484
RTD Screening Code: RTD2
Reason for Rejection: YH</t>
  </si>
  <si>
    <t>2YT0M460020326</t>
  </si>
  <si>
    <t>THE NORMANDY POLICE DEPARTMENT WILL UTILIZE THESE THERMAL SIGHTS FOR DEPLOYMENT BY POLICE OFFICERS PARTICIPATING IN EFFORTS TO APPREHEND DANGEROUS FLEEING FELONS AND FOR USE DURING ANTINARCOTICS MISSIONS AND SEARCH WARRANT SERVICE.</t>
  </si>
  <si>
    <t xml:space="preserve">
Sales Order #: 2280608498
RTD Screening Code: DOD
Reason for Rejection: YH</t>
  </si>
  <si>
    <t>SIGHT,THERMAL</t>
  </si>
  <si>
    <t>2YT0M460020325</t>
  </si>
  <si>
    <t>THE NORMANDY POLICE DEPARTMENT WILL UTILIZE THESE CARTRIDGE MAGAZINES FOR USE BY PATROL OFFICERS IN THEIR ASSIGNED PATROL RIFLES</t>
  </si>
  <si>
    <t xml:space="preserve">
Sales Order #: 2280608494
RTD Screening Code: DOD
Reason for Rejection: YH</t>
  </si>
  <si>
    <t>2YT0M460020278</t>
  </si>
  <si>
    <t>THE NORMANDY POLICE DEPARTMENT WILL UTILIZE THIS PRESSURE WASHER FOR LAW ENFORCEMENT FLEET VEHICLE MAINTENANCE.</t>
  </si>
  <si>
    <t xml:space="preserve">
Sales Order #: 2280106130
RTD Screening Code: DON
Reason for Rejection: YH</t>
  </si>
  <si>
    <t>2YT0M453538830</t>
  </si>
  <si>
    <t>THE NORMANDY POLICE DEPARTMENT WILL UTILIZE THIS SHIPPING FREIGHT CONTAINER FOR STORAGE OF LAW ENFORCEMENT EQUIPMENT WITH NOT IN USE BY PERSONNEL AND DURING THE CONSTRUCTION OF OUR NEW STATION.</t>
  </si>
  <si>
    <t xml:space="preserve">
Sales Order #: 2279553264
RTD Screening Code: DOD
Reason for Rejection: YG</t>
  </si>
  <si>
    <t>2YT0M453398271</t>
  </si>
  <si>
    <t>THE NORMANDY POLICE DEPARTMENT WILL UTILIZE THIS FREIGHT SHIPPING CONTAINER FOR STORAGE OF LAW ENFORCEMENT EQUIPMENT WHEN NOT IN USE BY AGENCY PERSONNEL</t>
  </si>
  <si>
    <t xml:space="preserve">
Sales Order #: 2279553287
RTD Screening Code: DOD
Reason for Rejection: YG</t>
  </si>
  <si>
    <t>2YT0M453398270</t>
  </si>
  <si>
    <t>THE NORMANDY POLICE DEPARTMENT WILL UTILIZE THESE TWO CONTAINERS FOR THE STORAGE OF LAW ENFORCEMENT EQUIPMENT.</t>
  </si>
  <si>
    <t xml:space="preserve">
Sales Order #: 2279553304
Reason for Rejection: YG</t>
  </si>
  <si>
    <t>2YT0M453398104</t>
  </si>
  <si>
    <t>THE NORMANDY POLICE DEPARTMENT WILL UTILIZE THESE SMALL FREIGHT CONTAINERS FOR STORAGE OF DEPARTMENT LAW ENFORCEMENT EQUIPMENT.</t>
  </si>
  <si>
    <t xml:space="preserve">
Sales Order #: 2279553265
RTD Screening Code: DOD
Reason for Rejection: YG</t>
  </si>
  <si>
    <t>2YT0M453398102</t>
  </si>
  <si>
    <t>THE NORMANDY POLICE DEPARTMENT WILL UTILIZE THIS TARPAULIN TO COVER LAW ENFORCEMENT EQUIPMENT DURING INCLEMENT WEATHER.</t>
  </si>
  <si>
    <t xml:space="preserve">
Sales Order #: 2279049338
RTD Screening Code: DOD
Reason for Rejection: YG</t>
  </si>
  <si>
    <t>2YT0M453397938</t>
  </si>
  <si>
    <t>THE NORMANDY POLICE DEPARTMENT WILL UTILIZE THIS FOOD COOKING, BAKING, AND SERVING EQUIPMENT TO SUPPLEMENT ITS REQUEST FOR A CONTAINERIZED KITCHEN FOR NATURAL DISASTER RESPONSE AND TO SUPPORT ITS POLICE OFFICERS DEPLOYED DURING EXTENDED INCIDENTS OF CIVIL UNREST OR OTHER CRITICAL INCIDENTS.</t>
  </si>
  <si>
    <t xml:space="preserve">
Sales Order #: 2273957494
RTD Screening Code: DOD
Reason for Rejection: YG</t>
  </si>
  <si>
    <t>FOOD COOKING, BAKING, AND SERVING EQUIP</t>
  </si>
  <si>
    <t>DSFOODCOO</t>
  </si>
  <si>
    <t>2YT0M453327915</t>
  </si>
  <si>
    <t>THE NORMANDY POLICE DEPARTMENT WILL UTILIZE THESE MEDICAL INSTRUMENTS FOR ASSIGNMENT TO OUR STAFF EMT FOR USE.</t>
  </si>
  <si>
    <t xml:space="preserve">
Sales Order #: 2279209772
RTD Screening Code: DOD
Reason for Rejection: YG</t>
  </si>
  <si>
    <t>MEDICAL AND SURGICAL INSTRUMENTS</t>
  </si>
  <si>
    <t>DSMEDICAL</t>
  </si>
  <si>
    <t>2YT0M453327634</t>
  </si>
  <si>
    <t>THE VEHICLES WILL BE USED BY THE NEW HANOVER COUNTY SHERIFF'S OFFICE DURING EMERGENCY AND HAZARDOUS WEATHER OPERATIONS. THEY WILL ALSO ASSIST IN SEARCH AND RESCUE FOR MISSING PERSONS WHEN THE TERRAIN IS TOO DIFFICULT FOR REGULAR VEHICLES TO TRAVERSE.</t>
  </si>
  <si>
    <t xml:space="preserve">
Sales Order #: 2285180136
RTD Screening Code: DOD
Reason for Rejection: Y9</t>
  </si>
  <si>
    <t>2YT1GG60725036</t>
  </si>
  <si>
    <t>NEW HANOVER CSO (2YT1GG)</t>
  </si>
  <si>
    <t xml:space="preserve">
Sales Order #: 2285178151
RTD Screening Code: DOD
Reason for Rejection: Y9</t>
  </si>
  <si>
    <t>2YT1GG60725034</t>
  </si>
  <si>
    <t>THE HUMVEE WILL SUPPORT THE NASHVILLE POLICE DEPARTMENT IN CRITICAL SITUATIONS, INCLUDING HURRICANE RESPONSE, NATURAL DISASTERS, AND MAJOR EMERGENCIES. ITS DURABILITY AND OFF-ROAD CAPABILITY ALLOW OFFICERS TO ACCESS HAZARDOUS OR HARD-TO-REACH AREAS, ENSURING RAPID RESPONSE, RESCUE OPERATIONS, AND PUBLIC SAFETY DURING HIGH-RISK INCIDENTS AND SPECIAL OPERATIONS.</t>
  </si>
  <si>
    <t>2YT1BK60796757</t>
  </si>
  <si>
    <t>NASHVILLE POLICE DEPT (2YT1BK)</t>
  </si>
  <si>
    <t>WILL BE USED BY THE POLICE DEPARTMENT TO PULL THE DEPARTMENT'S ATV TO AND FROM EVENTS AND CALLS.</t>
  </si>
  <si>
    <t xml:space="preserve">
Sales Order #: 2285129117
RTD Screening Code: DOD
Reason for Rejection: Y9</t>
  </si>
  <si>
    <t>2YT1BK60725468</t>
  </si>
  <si>
    <t>NASHVILLE POLICE DEPARTMENT CAN UTILIZE THIS EQUIPMENT TO CONDUCT INVESIGATIONS AND TO PREVENT WEAPONS FROM ENTERING AN AREA THAT CAN CAUSE POTENTIAL HARM TO OTHERS OR POSE A TERRORISTIC THREAT.</t>
  </si>
  <si>
    <t xml:space="preserve">
Sales Order #: 2276195397
RTD Screening Code: DOD
Reason for Rejection: YG</t>
  </si>
  <si>
    <t>DETECTOR,WALKTHROUG</t>
  </si>
  <si>
    <t>2YTRLH60372023</t>
  </si>
  <si>
    <t>NASHVILLE PD (2YTRLH)</t>
  </si>
  <si>
    <t>NASHVILLE POLICE DEPARTMENT REQUESTS THIS EQUIPMENT TO ASSIST OUR AGENCY DURING HURRICANES, ICE OR SNOW STORMS, OR INCLEMENT WEATHER THAT IMPACTS OUR AREA WHERE OFFICERS WOULD NEED TO RESPOND WHERE PATROL VEHICLES CAN NOT EASILY REACH CITIZENS IN NEED OF AN EMERGENCY.</t>
  </si>
  <si>
    <t xml:space="preserve">
Sales Order #: 2282550020
RTD Screening Code: DOD
Reason for Rejection: Y9</t>
  </si>
  <si>
    <t>2YTRLH60372021</t>
  </si>
  <si>
    <t>THIS EQUIPMENT FOR OUR SPECIAL OPS DIV. WILL ENHANCE OPERATIONAL READINESS, IMPROVE OFFICER SAFETY, AND ENSURE RAPID, EFFECTIVE RESPONSE TO HIGH-RISK INCIDENTS. HELP TO PROTECT PERSONNEL, AND SUPPORT MISSION-CRITICAL FUNCTIONS, DIRECTLY ALIGNING OUR COMMITMENT TO PUBLIC SAFETY AND COMMUNITY PROTECTION.</t>
  </si>
  <si>
    <t>2YTH9H60795987</t>
  </si>
  <si>
    <t>MUSCOGEE COUNTY SHERIFF OFFICE (2YTH9H)</t>
  </si>
  <si>
    <t>2YTH9H60795986</t>
  </si>
  <si>
    <t>THE MT. ORAB POLICE DEPARTMENT WOULD LIKE TO ACQUIRE THIS SKID STEER. THIS MACHINE HAS A MUCH LARGER LIFTING CAPACITY THAN THE MACHINE WE CURRENTLY HAVE. THIS WOULD BE EXTREMELY VALUABLE FOR CONTINUED PROJECTS, AS WELL AS UNLOADING SHIPMENTS THAT THE POLICE DEPARTMENT RECEIVES.</t>
  </si>
  <si>
    <t xml:space="preserve">
Sales Order #: 2285081987
RTD Screening Code: DOD
Reason for Rejection: Y9</t>
  </si>
  <si>
    <t>2YTH5S60725361</t>
  </si>
  <si>
    <t>THE MT. ORAB POLICE DEPARTMENT WOULD LIKE TO ACQUIRE THIS SUV. WE WOULD UTILIZE THIS FOR TRANSPORTATION TO TRAININGS AND OTHER FUNCTIONS FOR OUR OFFICERS. WITH ITS LARGE CARGO AREA, THIS COULD ACCOMMODATE FOR EQUIPMENT LIKE RIFLES, TRIPODS, BODY ARMOR AND MANY OTHER ITEMS NEEDED FOR TRAININGS. WE CURRENTLY DO NOT HAVE A SUV FOR THESE PURPOSES AND OUR OFFICERS HAVE TO USE PERSONAL VEHICLES.</t>
  </si>
  <si>
    <t xml:space="preserve">
Sales Order #: 2285179930
RTD Screening Code: DOD
Reason for Rejection: Y9</t>
  </si>
  <si>
    <t>2YTH5S60724874</t>
  </si>
  <si>
    <t>THE MT. ORAB POLICE DEPARTMENT WOULD LIKE TO ACQUIRE THIS REFRIGERATOR -FREEZER. WE ARE IN NEED OF A NEW REFRIGERATOR FOR OUR BIOLOGICAL EVIDENCE. WE CURRENTLY HAVE A VERY OLD REFRIGERATOR THAT WE A IN NEED OF REPLACING. WITH THIS BEING A SMALL UNDER THE COUNTER UNIT, IT WOULD FIT IN OUR EVIDENCE ROOM PERFECTLY.</t>
  </si>
  <si>
    <t xml:space="preserve">
Sales Order #: 2282428265
RTD Screening Code: DOD
Reason for Rejection: Y9</t>
  </si>
  <si>
    <t>2YTH5S60302016</t>
  </si>
  <si>
    <t>THE MT. ORAB POLICE DEPARTMENT WOULD LIKE TO ACQUIRE THIS TRANSIT VAN. THE PRIMARY PURPOSE FOR THIS WOULD BE FOR A QUICK ACTION TRANSPORT FOR OUR SRT TEAM. THIS WOULD BE USED TO TRANSPORT OUR TEAM MEMBERS TO THE SCENE WITH A MUCH FASTER RESPONSE THAN OUR LARGE ARMORED VEHICLE. THIS WOULD ALLOW OUR TEAM TO BE ON SCENE AND BEGIN PREPPING WHILE THE ADDITION VEHICLES WERE EN ROUTE. WE COULD USE THIS FOR OUR DEPARTMENT ON EMERGENCY RESPONSE INSIDE THE JURISDICTION AS WELL.</t>
  </si>
  <si>
    <t xml:space="preserve">
Sales Order #: 2281060176
RTD Screening Code: DOD
Reason for Rejection: BQ</t>
  </si>
  <si>
    <t>2YTH5S60160383</t>
  </si>
  <si>
    <t>TO BE UTILIZED BY THE THE MT. MORRIS TWP PD PERSONNEL TO RENDER EMERGENCY AID ON FELLOW OFFICERS AND THE COMMUNITY. THIS WOULD OCCUR DURING EMERGENCY SITUATIONS, MASS CASUALTY EVENTS, AND FIRST AID FOR PERSONAL INJURIES ON CALLS OF SERVICE.</t>
  </si>
  <si>
    <t xml:space="preserve">
Sales Order #: 2280765762
RTD Screening Code: DOD
Reason for Rejection: YG</t>
  </si>
  <si>
    <t>2YTH5N60160601</t>
  </si>
  <si>
    <t>TO PROVIDE AID TO THE MT. MORRIS TWP POLICE DEPARTMENT OFFICERS AND COMMUNITY.</t>
  </si>
  <si>
    <t xml:space="preserve">
Sales Order #: 2280525587
RTD Screening Code: DOD
Reason for Rejection: YG</t>
  </si>
  <si>
    <t>2YTH5N53609842</t>
  </si>
  <si>
    <t>THE MORGAN COUNTY SWAT TEAM WILL ISSUE THESE OPTICS TO OPERATORS TO USE IN THEIR DAY TO DAY ACTIVITIES TO INCLUDE HIGH RISK WARRANT SERVICE, HOSTAGE RESCUE, AND BARRICADED SUBJECTS.</t>
  </si>
  <si>
    <t xml:space="preserve">
Sales Order #: 2283347232
RTD Screening Code: DOD
Reason for Rejection: Y9</t>
  </si>
  <si>
    <t>2YTPBK60722691</t>
  </si>
  <si>
    <t>THE MORGAN COUNTY SHERIFF'S OFFICE WILL UTILIZE THIS DEVICE FOR SWAT LOW LIGHT AND NIGHT TIME OPERATIONS TO INCLUDE, HIGH RISK WARRANT SERVICE, BARRICADED SUSPECTS, SEARCH AND RESCUE, AND HOSTAGE RESCUE.</t>
  </si>
  <si>
    <t>2YTPBK60654374</t>
  </si>
  <si>
    <t>SWAT OPERATORS WILL UTILIZE THESE COMMUNICATION DEVICES TO RELAY VITAL INFORMATION BETWEEN OTHER OPERATORS, AND MORE IMPORTANTLY, TO DISPATCH THAT CAN GREATLY IMPROVE SAFETY AND SECURITY OF LAW ENFORCEMENT OFFICERS.</t>
  </si>
  <si>
    <t>HAND, HEADSETS, MICS AND SPEAKERS</t>
  </si>
  <si>
    <t>DSHHMISPE</t>
  </si>
  <si>
    <t>2YTPBK60301676</t>
  </si>
  <si>
    <t>TO BE USED BY THE LEA FOR FACILITY AND VEHICLE MAINTENANCE
NEEDS</t>
  </si>
  <si>
    <t>2YTH2G60584782</t>
  </si>
  <si>
    <t>MORGAN COUNTY SHERIFF DEPT (2YTH2G)</t>
  </si>
  <si>
    <t>FOR POLICE USE IN BUILDING MAINTENANCE FOR ELEVATED SURFACES.</t>
  </si>
  <si>
    <t xml:space="preserve">
Sales Order #: 2280117689
RTD Screening Code: DOD
Reason for Rejection: YG</t>
  </si>
  <si>
    <t>2YTHZ853539049</t>
  </si>
  <si>
    <t>TO BE USED BY THE LEOS OF THIS LEA ONLY. VEHICLE TO BE USED FOR LAW ENFORCEMENT PURPOSES INCLUDING OFFROAD RESPONSE TO EMERGENT SITUATIONS AND PERFORMING OFFROAD SEARCH AND RESCUE.</t>
  </si>
  <si>
    <t xml:space="preserve">
Sales Order #: 2285864899
RTD Screening Code: DOD
Reason for Rejection: Y9</t>
  </si>
  <si>
    <t>2YTRWL60866544</t>
  </si>
  <si>
    <t>MONTGOMERY TWP PD (2YTRWL)</t>
  </si>
  <si>
    <t>MONTGOMERY CSO NEEDS THIS ROBOT TO ADD TO OUR SPECIAL RESPONSE TEAM FOR ALL CALL OUTS TO INCLUDE, BARRICADED SUBJECTS, HOSTAGE SITUATIONS, ACTIVE SHOOTERS INCIDENTS, NARCOTICS SURVEILLANCE OR ANY INCIDENT WHERE PERSONNEL CANNOT REACH OR MAY BE PLACED IN DANGER BECAUSE OF SURROUNDINGS.</t>
  </si>
  <si>
    <t xml:space="preserve">
Sales Order #: 2282814213
RTD Screening Code: DOD
Reason for Rejection: YG</t>
  </si>
  <si>
    <t>2YTHYP60652283</t>
  </si>
  <si>
    <t>MONTGOMERY CSO (2YTHYP)</t>
  </si>
  <si>
    <t>MONTGOMERY CSO NEEDS THIS VEHICLE FOR ITS MOBILE COMMAND CENTER. THIS VEHICLE WILL BE USED FOR ALL SRT CALL OUTS, ACTIVE SHOOTERS INCIDENTS, BARRICADED SUBJECTS, HOMICIDE INVESTIGATIONS, NATURAL DISASTERS, HOMELAND SECURITY OPERATIONS, DEA OPERATIONS, ATF OPERATIONS, MUTUAL AID WITH OTHER COUNTIES, MISSING PERSONS INCIDENTS, FEMA OPERATIONS AND OTHER HUMANITARIAN OPERATIONS WHERE THE SHERIFF'S OFFICE MAY BE NEEDED.</t>
  </si>
  <si>
    <t xml:space="preserve">
Sales Order #: 2285179890
RTD Screening Code: DOD
Reason for Rejection: Y9</t>
  </si>
  <si>
    <t>2YTHYP60574681</t>
  </si>
  <si>
    <t>MONTGOMERY COUNTY SO NEEDS THIS TRUCK TO HELP CARRY SUPPLIES DURING NATURAL DISASTERS, WEATHER RELATED INCIDENTS, MUTUAL AID INCIDENTS WITH OTHER AGENCIES, REMOVING AND TRANSPORTING EVIDENCE FROM SEARCH WARRANTS BACK TO SHERIFF'S OFFICE AND HOMELAND SECURITY OPERATIONS.</t>
  </si>
  <si>
    <t xml:space="preserve">
Sales Order #: 2281985671
RTD Screening Code: DOD
Reason for Rejection: Z2</t>
  </si>
  <si>
    <t>2YTHYP60301721</t>
  </si>
  <si>
    <t>OUR AGENCY NEEDS THIS EQUIPMENT.  WILL BE USED BY REQUESTING AGENCY FOR LAW ENFORCEMENT PURPOSES ONLY.  WILL BE ISSUED TO POLICE OFFICERS AND DEPARTMENT OFFICE STAFF FOR DAILY PAPERWORK AND DOCUMENTATION.</t>
  </si>
  <si>
    <t xml:space="preserve">
Sales Order #: 2284558965
RTD Screening Code: DOD
Reason for Rejection: Y9</t>
  </si>
  <si>
    <t>STAPLER,PAPER FASTENING,OFFICE</t>
  </si>
  <si>
    <t>2YTHYA60654576</t>
  </si>
  <si>
    <t>OUR AGENCY NEEDS THIS EQUIPMENT.  WILL BE USED BY REQUESTING AGENCY FOR LAW ENFORCEMENT PURPOSES ONLY.  WILL BE ISSUED TO POLICE OFFICERS AND SWAT MEMBERS FOR AFFIXING NOTICES TO STRUCTURE AND FIELD TRAINING USE.</t>
  </si>
  <si>
    <t>TAPE,PRESSURE SENSITIVE ADHESIVE</t>
  </si>
  <si>
    <t>2YTHYA60654572</t>
  </si>
  <si>
    <t xml:space="preserve">
Sales Order #: 2282334344
RTD Screening Code: DOD
Reason for Rejection: Y9</t>
  </si>
  <si>
    <t>2YTHYA60372076</t>
  </si>
  <si>
    <t xml:space="preserve">
Sales Order #: 2282334365
RTD Screening Code: DOD
Reason for Rejection: Y9</t>
  </si>
  <si>
    <t>PEN,BALL-POINT</t>
  </si>
  <si>
    <t>2YTHYA60372075</t>
  </si>
  <si>
    <t xml:space="preserve">
Sales Order #: 2282334342
RTD Screening Code: DOD
Reason for Rejection: Y9</t>
  </si>
  <si>
    <t>2YTHYA60372074</t>
  </si>
  <si>
    <t xml:space="preserve">
Sales Order #: 2282428282
RTD Screening Code: DOD
Reason for Rejection: Y9</t>
  </si>
  <si>
    <t>2YTHYA60372073</t>
  </si>
  <si>
    <t xml:space="preserve">
Sales Order #: 2282334346
RTD Screening Code: DOD
Reason for Rejection: Y9</t>
  </si>
  <si>
    <t>2YTHYA60372072</t>
  </si>
  <si>
    <t xml:space="preserve">
Sales Order #: 2282428266
RTD Screening Code: DOD
Reason for Rejection: Y9</t>
  </si>
  <si>
    <t>2YTHYA60372071</t>
  </si>
  <si>
    <t>OUR AGENCY NEEDS THIS EQUIPMENT.  WILL BE USED BY REQUESTING AGENCY FOR LAW ENFORCEMENT PURPOSES ONLY.  WILL BE ISSUED TO POLICE OFFICERS AND DEPARTMENT OFFICE STAFF FOR DAILY DOCUMENT ORGANIZATION AND OFFICE TASKS.</t>
  </si>
  <si>
    <t xml:space="preserve">
Sales Order #: 2282334337
RTD Screening Code: DOD
Reason for Rejection: Y9</t>
  </si>
  <si>
    <t>2YTHYA60372070</t>
  </si>
  <si>
    <t xml:space="preserve">
Sales Order #: 2282428257
RTD Screening Code: DOD
Reason for Rejection: Y9</t>
  </si>
  <si>
    <t>2YTHYA60372069</t>
  </si>
  <si>
    <t>OUR AGENCY NEEDS THIS EQUIPMENT.  WILL BE USED BY REQUESTING AGENCY FOR LAW ENFORCEMENT PURPOSES ONLY.  WILL BE ISSUED TO POLICE OFFICERS AND DEPARTMENT OFFICE STAFF FOR DAILY SANITARY AND HYGIENE NEEDS.</t>
  </si>
  <si>
    <t xml:space="preserve">
Sales Order #: 2282334348
RTD Screening Code: DOD
Reason for Rejection: Y9</t>
  </si>
  <si>
    <t>MX</t>
  </si>
  <si>
    <t>2YTHYA60302078</t>
  </si>
  <si>
    <t>PAD,WRITING PAPER</t>
  </si>
  <si>
    <t>2YTHYA60230882</t>
  </si>
  <si>
    <t xml:space="preserve">
Sales Order #: 2280772790
RTD Screening Code: DOD
Reason for Rejection: Y9</t>
  </si>
  <si>
    <t>DRY ERASER STARTER KIT</t>
  </si>
  <si>
    <t>2YTHYA60230881</t>
  </si>
  <si>
    <t>OUR AGENCY NEEDS THIS EQUIPMENT.  WILL BE USED BY REQUESTING AGENCY FOR LAW ENFORCEMENT PURPOSES ONLY.  WILL BE ISSUED TO POLICE OFFICERS FOR SCANNING BARCODES IN THEIR PATROL VEHICLES.</t>
  </si>
  <si>
    <t xml:space="preserve">
Sales Order #: 2280875157
RTD Screening Code: DOD
Reason for Rejection: Z2</t>
  </si>
  <si>
    <t>BARCODE READER</t>
  </si>
  <si>
    <t>DSBARCODE</t>
  </si>
  <si>
    <t>2YTHYA60029743</t>
  </si>
  <si>
    <t xml:space="preserve">
Sales Order #: 2280875160
RTD Screening Code: DOD
Reason for Rejection: YH</t>
  </si>
  <si>
    <t>OPTICAL READER,DATA ENTRY</t>
  </si>
  <si>
    <t>2YTHYA60029742</t>
  </si>
  <si>
    <t>OUR AGENCY NEEDS THIS EQUIPMENT.  WILL BE USED BY REQUESTING AGENCY FOR LAW ENFORCEMENT PURPOSES ONLY.  WILL BE ISSUED TO POLICE OFFICERS AND DEPARTMENT OFFICE STAFF FOR DAILY COMPUTER USE AND REPLACEMENT OF OLD MONITORS.</t>
  </si>
  <si>
    <t xml:space="preserve">
Sales Order #: 2279553288
RTD Screening Code: DOD
Reason for Rejection: YH</t>
  </si>
  <si>
    <t>FLAT PANEL MONITOR</t>
  </si>
  <si>
    <t>DSFLATPAN</t>
  </si>
  <si>
    <t>2YTHYA53398272</t>
  </si>
  <si>
    <t>THE MONROE COUNTY SHERIFFS OFFICE IS REQUESTING THIS FOR OUR TRACTORS AND BUSH HOGS. THIS TRAVELING AXLE TILT TRAILER IS UNLIKE ANY THAT WE HAVE AND IS WHAT IS NEEDED FOR MOVING THESE SMALLER EQUIPMENT TO DIFFERENT SITES WHEN AREAS NEED MAINTAINING. THIS WILL GO WITH OUR SMALL TRUCK AND GET THE EQUIPMENT TO THESE AREAS.</t>
  </si>
  <si>
    <t xml:space="preserve">
Sales Order #: 2285840389
RTD Screening Code: DOD
Reason for Rejection: Y9</t>
  </si>
  <si>
    <t>2YTHWY60866679</t>
  </si>
  <si>
    <t>THE MONROE COUNTY SHERIFFS OFFICE IS REQUESTING THIS FOR PATROL AT LARGE EVENTS AND IN CAMPING AREAS OF OUR COUNTY. THESE WILL HELP US TO PHASE OUT SOME OLDER ATVS TO IMPROVE OUR FLEET.</t>
  </si>
  <si>
    <t xml:space="preserve">
Sales Order #: 2285872619
RTD Screening Code: DOD
Reason for Rejection: Y9</t>
  </si>
  <si>
    <t>2YTHWY60866268</t>
  </si>
  <si>
    <t>THE MONROE COUNTY SHERIFFS OFFICE IS REQUESTING THESE FOR USE AT OUR JUSTICE CENTER. THESE WILL BE USED WHEN MOVING SUPPLIES AND EVIDENCE ITEMS WHEN NEEDED.</t>
  </si>
  <si>
    <t>2YTHWY60866266</t>
  </si>
  <si>
    <t>THE MONROE COUNTY SHERIFFS OFFICE IS REQUESTING THIS FOR OUR TRAINING FACILITY. THIS WILL BE USED FOR STORAGE AT FIRST THEN WE WILL BE BUILDING A MULTIPLE LEVEL TRAINING BUILDING FROM CONTAINERS TO EXPAND TRAINING NEEDS.</t>
  </si>
  <si>
    <t xml:space="preserve">
Sales Order #: 2286239161
RTD Screening Code: DOD
Reason for Rejection: Y9</t>
  </si>
  <si>
    <t>2YTHWY60847008</t>
  </si>
  <si>
    <t xml:space="preserve">
Sales Order #: 2286239152
RTD Screening Code: DOD
Reason for Rejection: Y9</t>
  </si>
  <si>
    <t>2YTHWY60847007</t>
  </si>
  <si>
    <t xml:space="preserve">
Sales Order #: 2286192276
RTD Screening Code: DOD
Reason for Rejection: Y9</t>
  </si>
  <si>
    <t>2YTHWY60847006</t>
  </si>
  <si>
    <t>THE MONROE COUNTY SHERIFFS OFFICE IS REQUESTING THIS FOR BUILDING OR CONTAINER TRAINING FACILITY. WE NEED MULTIPLE OF THESE TO BUILD A MULTIPLE LEVEL BUILDING AND HOPE TO CONTINUE TO EXPAND IN THE FUTURE.</t>
  </si>
  <si>
    <t xml:space="preserve">
Sales Order #: 2285152404
RTD Screening Code: DOD
Reason for Rejection: Y9</t>
  </si>
  <si>
    <t>2YTHWY60724933</t>
  </si>
  <si>
    <t xml:space="preserve">
Sales Order #: 2285177819
RTD Screening Code: DOD
Reason for Rejection: Y9</t>
  </si>
  <si>
    <t>2YTHWY60724932</t>
  </si>
  <si>
    <t>THE MONROE COUNTY SHERIFFS OFFICE IS REQUESTING THIS FOR OUR BUILDING PROJECT AT OUR RANGE. WE ARE BUILDING A TRAINING BUILDING AND COVERAGE OVER OUR RANGE AND THIS WILL HELP WITH ALL THE PROCESS. OUR CURRENT LIFT LIKE THIS HAS QUIT RUNNING AND UNSURE WHY.</t>
  </si>
  <si>
    <t xml:space="preserve">
Sales Order #: 2285178958
RTD Screening Code: DOD
Reason for Rejection: YH</t>
  </si>
  <si>
    <t>2YTHWY60724879</t>
  </si>
  <si>
    <t>THE MONROE COUNTY SHERIFFS DEPARTMENT IS REQUESTING THIS TRAILER FOR SMALL EQUIPMENT. THIS TRAILER IS SMALLER AND BETTER FOR OUR SMALL DOZER TO MOVE WHILE WE ARE DOING CLEAN UP ABOUT SHOOTING RANGE AND WHERE WE ARE GOING TO BUILD OUR DRIVING AREA FOR TACTICAL TRAINING.</t>
  </si>
  <si>
    <t xml:space="preserve">
Sales Order #: 2285179963
RTD Screening Code: DOD
Reason for Rejection: Y9</t>
  </si>
  <si>
    <t>2YTHWY60724878</t>
  </si>
  <si>
    <t>THE MONROE COUNTY SHERIFFS OFFICE IS REQUESTING THIS TRUCK FOR OUR DIVE TEAM. THIS WILL BE UTILIZED FOR ALL OF THE EQUIPMENT NEEDED FOR THE RESCUE MISSIONS ON OUR WATERWAYS.</t>
  </si>
  <si>
    <t xml:space="preserve">
Sales Order #: 2285179010
RTD Screening Code: DOD
Reason for Rejection: Y9</t>
  </si>
  <si>
    <t>2YTHWY60654715</t>
  </si>
  <si>
    <t>THE MONROE COUNTY SHERIFFS OFFICE IS REQUESTING THIS FOR OUR RESCUE UNIT. THIS WILL BE USED IN OUR MOUNTAINOUS REGION FOR PATROL OF CAMP GROUNDS AND RESCUE MISSIONS.</t>
  </si>
  <si>
    <t xml:space="preserve">
Sales Order #: 2282334343
RTD Screening Code: DOD
Reason for Rejection: Y9</t>
  </si>
  <si>
    <t>2YTHWY60372084</t>
  </si>
  <si>
    <t>THE MONROE COUNTY SHERIFFS OFFICE IS REQUESTING THIS AS A REPLACEMENT ON OUR MARINE PATROL BOATS. WE ARE IN NEED OF SOME REPLACEMENT ENGINES TO GET ALL OUR BOATS IN OPERATIONAL STATUS.</t>
  </si>
  <si>
    <t xml:space="preserve">
Sales Order #: 2281667424
RTD Screening Code: DOD
Reason for Rejection: Y9</t>
  </si>
  <si>
    <t>2YTHWY60372083</t>
  </si>
  <si>
    <t xml:space="preserve">
Sales Order #: 2260374053
RTD Screening Code: DOD
Reason for Rejection: Y9</t>
  </si>
  <si>
    <t>2YTHWY60372080</t>
  </si>
  <si>
    <t xml:space="preserve">
Sales Order #: 2260374046
RTD Screening Code: DOD
Reason for Rejection: Y9</t>
  </si>
  <si>
    <t>2YTHWY60372079</t>
  </si>
  <si>
    <t>THE MONROE COUNTY SHERIFFS OFFICE IS REQUESTING THIS LOADER FOR USE AT OUR TRAINING FACILITY. WE HAVE A LOT OF DIRT AND ROCK WE ARE GOING TO BE MOVING AS IMPROVEMENTS TO OUR RANGE AND WHERE WE ARE BUILDING THE TRAINING BUILDING. THIS TRUCK WILL BE USED DURING ALL THESE TIMES AS THE SITE IS IMPROVED AND GOING THROUGH THE EXPANSION.</t>
  </si>
  <si>
    <t xml:space="preserve">
Sales Order #: 2276976703
RTD Screening Code: DON
Reason for Rejection: Y9</t>
  </si>
  <si>
    <t>2YTHWY60301444</t>
  </si>
  <si>
    <t>THE MONROE COUNTY SHERIFFS OFFICE IS REQUESTING THIS LOADER FOR USE AT OUR TRAINING FACILITY. WE HAVE A LOT OF DIRT AND ROCK WE ARE GOING TO BE MOVING AS IMPROVEMENTS TO OUR RANGE AND WHERE WE ARE BUILDING THE TRAINING BUILDING. THIS MACHINE WILL HELP US TO DO THIS IN A TIMELY MANNER AND SPREAD THE MATERIALS FOR THE BASE OF THE STRUCTURE.</t>
  </si>
  <si>
    <t xml:space="preserve">
Sales Order #: 2282170285
RTD Screening Code: DOD
Reason for Rejection: YH</t>
  </si>
  <si>
    <t>2YTHWY60231181</t>
  </si>
  <si>
    <t>THE MONROE COUNTY SHERIFFS OFFICE IS REQUESTING THIS MACHINE TO BE USED WHEN PAVING OUR NEW ROADS AT OUR TRAINING FACILITY. THIS WILL PAIR WITH OUR PAVING MACHINE AND PROVIDE GOOD ACCESS TO THE FACILITY AND ALL THE EXPANDING WE ARE WORKING TOWARDS IN THE FUTURE.</t>
  </si>
  <si>
    <t xml:space="preserve">
Sales Order #: 2282070884
RTD Screening Code: DOD
Reason for Rejection: YH</t>
  </si>
  <si>
    <t>ROLLER,MOTORIZED</t>
  </si>
  <si>
    <t>2YTHWY60231180</t>
  </si>
  <si>
    <t>MONROE COUNTY SO WILL USE THIS SANDBAGGER TO FILL SANDBAGS TO PROTECT MULTIPLE RADIO TOWER SITES AND OTHER CRITICAL INFRASTRUCTURE WHICH HAVE A TENDENCY TO FLOOD AND DISRUPTS OPERATIONS OF THE SO</t>
  </si>
  <si>
    <t xml:space="preserve">
Sales Order #: 2271636462
RTD Screening Code: DOD
Reason for Rejection: YG</t>
  </si>
  <si>
    <t>MISCELLANEOUS MACHINE TOOLS</t>
  </si>
  <si>
    <t>DSMISCMAC</t>
  </si>
  <si>
    <t>2YTHW560231215</t>
  </si>
  <si>
    <t>MONROE COUNTY SHERIFFS OFFICE (2YTHW5)</t>
  </si>
  <si>
    <t>REQUESTING THESE ITEMS TO ADD TO OUR SWAT SNIPER RIFLES FOR EMERGENCY RESPONSE. I ACKNOWLEDGE CONDITION AND SHIPPING, PICKUP RESPONSIBILITIES.</t>
  </si>
  <si>
    <t>2YTSZY60937446</t>
  </si>
  <si>
    <t>2YTSZY60937443</t>
  </si>
  <si>
    <t>REQUESTING THIS CRAFT TO UTILIZE FOR RIVER OPERATIONS DUE TO OUR POLICE STATION BEING ALONG THE BANKS OF THE MONONGAHELA RIVER. SHORTFALLS WERE EXPERIENCED RECENTLY WITH A MISSING PERSON CASE AND A CRAFT SUCH AS THIS WOULD ENHANCE THE CAPABILITIES. I ACKNOWLEDGE CONDITION AND PICKUP RESPONSIBILITIES.</t>
  </si>
  <si>
    <t>2YTSZY60866246</t>
  </si>
  <si>
    <t>REQUESTING THIS VEHICLE TO REPLACE A FLEET VEHICLE THAT CURRENT FUNDING IS NOT ABLE TO REPLACE FOR SWAT AND EMERGENCY RESPONSE NEEDS. I ACKNOWLEDGE CONDITION AND PICKUP RESPONSIBILITIES</t>
  </si>
  <si>
    <t xml:space="preserve">
Sales Order #: 2285870138
RTD Screening Code: DOD
Reason for Rejection: Y9</t>
  </si>
  <si>
    <t>2YTSZY60866243</t>
  </si>
  <si>
    <t>REQUESTING THESE ITEMS TO OUTFIT PATROL AND SWAT RIFLES. I ACKNOWLEDGE CONDITION AND SHIPPING RESPONSIBILITIES ASSOCIATED WITH THIS ITEM.</t>
  </si>
  <si>
    <t xml:space="preserve">
Sales Order #: 2285179887
RTD Screening Code: DOD
Reason for Rejection: Y9</t>
  </si>
  <si>
    <t>2YTSZY60725004</t>
  </si>
  <si>
    <t>REQUESTING THESE DEVICES TO REPLACE OUR CURRENT PEPPER BALL LAUNCHERS THAT HAVE BEEN DEEMED UNSERVICEABLE AND CURRENTLY DO NOT HAVE A BUDGET TO REPLACE. I ACKNOWLEDGE CONDITION AND PICK-UP RESPONSIBILITY.</t>
  </si>
  <si>
    <t xml:space="preserve">
Sales Order #: 2283322253
RTD Screening Code: DOD
Reason for Rejection: Y9</t>
  </si>
  <si>
    <t>2YTSZY60442731</t>
  </si>
  <si>
    <t>REQUESTING THIS VEST TO UTILIZE FOR TACTICAL SWAT OPERATIONS WITH OUR DEPARTMENT TEAM. I ACKNOWLEDGE CONDITION AND PICK-UP RESPONSIBILITIES.</t>
  </si>
  <si>
    <t xml:space="preserve">
Sales Order #: 2283322249
RTD Screening Code: DOD
Reason for Rejection: Y9</t>
  </si>
  <si>
    <t>VEST,NON-BALLISTIC PROTECTIVE,ARMOR-CARR</t>
  </si>
  <si>
    <t>2YTSZY60442729</t>
  </si>
  <si>
    <t>REQUESTING THIS ITEM TO EQUIP SWAT SNIPERS WITH NIGHT VISION CAPABILITIES. I ACKNOWLEDGE THE CONDITION AND SHIPPING RESPONSIBILITIES ASSOCIATED WITH THIS REQUISITION.</t>
  </si>
  <si>
    <t xml:space="preserve">
Sales Order #: 2282783453
RTD Screening Code: DOD
Reason for Rejection: Y9</t>
  </si>
  <si>
    <t>SIGHT,UNS,AN,PVS22</t>
  </si>
  <si>
    <t>2YTSZY60302315</t>
  </si>
  <si>
    <t>REQUESTING THIS ITEM FOR USE IN SWAT OPERATIONS. I ACKNOWLEDGE CONDITION AND RESPONSIBILITIES FOR SHIPPING OR IN PERSON PICKUP.</t>
  </si>
  <si>
    <t xml:space="preserve">
Sales Order #: 2282252871
Reason for Rejection: Y9</t>
  </si>
  <si>
    <t>2YTSZY60301907</t>
  </si>
  <si>
    <t>FOR USE FOR MEMBER ASSIGNED TO A REGIONAL SWAT TEAM AND FOR PATROL RIFLE USE WITH DEPARTMENT ISSUED NIGHT VISION. I ACKNOWLEDGE RESPONSIBILITY FOR SHIPPING THESE ITEMS.</t>
  </si>
  <si>
    <t xml:space="preserve">
Sales Order #: 2278974150
Reason for Rejection: YH</t>
  </si>
  <si>
    <t>2YTSZY53186576</t>
  </si>
  <si>
    <t>THE MODOC COUNTY SHERIFF'S OFFICE WOULD UTILIZE THE TRACTOR, FULL TRACKE TO SUPPORT EMERGENCY RESPONSE, SEARCH AND RESCUE OPERATION, DISASTER MITIGATION, AND PUBLIC SAFETY MISSIONS WITHIN MODOC COUNTY.</t>
  </si>
  <si>
    <t>TRACTOR,FULL TRACKE</t>
  </si>
  <si>
    <t>2YTHVX60655406</t>
  </si>
  <si>
    <t>MODOC COUNTY SHERIFF OFFICE (2YTHVX)</t>
  </si>
  <si>
    <t>I AM REQUESTING 1 NIGHT VISION FOR MCSO TO BE ASSIGNED TO SWAT, WARRANT TASK FORCE AND HIDTA NARCOTICS DETECTIVES. TO BE USED IN, COUNTER DRUG, COUNTER TERRORISM, AND DIGNITARY PROTECTION, AS WELL AS COMMUNITY SAFETY MISSIONS SUCH AS VIOLENT CRIMINAL APPREHENSION, HOSTAGE RESCUE, SEARCH AND RESCUE AND OTHER LAW ENFORCEMENT ROLES.  I HAVE CONTACTED A REPRESENTATIVE FROM DLA DS BRAGG, VIEWED PHOTOS AND I AM SATISFIED WITH THE CONDITION.</t>
  </si>
  <si>
    <t xml:space="preserve">
Sales Order #: 2286830721
RTD Screening Code: DOD
Reason for Rejection: BQ</t>
  </si>
  <si>
    <t>2YTHTJ61007834</t>
  </si>
  <si>
    <t>MINNEHAHA COUNTY SHERIFF DEPT (2YTHTJ)</t>
  </si>
  <si>
    <t>I AM REQUESTING 5 NIGHT VISION FOR MCSO TO BE ASSIGNED TO SWAT, WARRANT TASK FORCE AND HIDTA NARCOTICS DETECTIVES. TO BE USED IN, COUNTER DRUG, COUNTER TERRORISM, AND DIGNITARY PROTECTION, AS WELL AS COMMUNITY SAFETY MISSIONS SUCH AS VIOLENT CRIMINAL APPREHENSION, HOSTAGE RESCUE, SEARCH AND RESCUE AND OTHER LAW ENFORCEMENT ROLES.  I HAVE CONTACTED A REPRESENTATIVE FROM DLA DS WARNER ROBINS, VIEWED PHOTOS AND I AM SATISFIED WITH THE CONDITION.</t>
  </si>
  <si>
    <t xml:space="preserve">
Sales Order #: 2286053947
RTD Screening Code: DOD
Reason for Rejection: Y9</t>
  </si>
  <si>
    <t>2YTHTJ60866855</t>
  </si>
  <si>
    <t>I AM REQUESTING 8 NIGHT VISION FOR MCSO TO BE ASSIGNED TO SWAT, WARRANT TASK FORCE AND HIDTA NARCOTICS DETECTIVES. TO BE USED IN, COUNTER DRUG, COUNTER TERRORISM, AND DIGNITARY PROTECTION, AS WELL AS COMMUNITY SAFETY MISSIONS SUCH AS VIOLENT CRIMINAL APPREHENSION, HOSTAGE RESCUE, SEARCH AND RESCUE AND OTHER LAW ENFORCEMENT ROLES.  I HAVE CONTACTED A REPRESENTATIVE FROM DLA DS RED RIVER, VIEWED PHOTOS AND I AM SATISFIED WITH THE CONDITION.</t>
  </si>
  <si>
    <t xml:space="preserve">
Sales Order #: 2285840407
RTD Screening Code: DOD
Reason for Rejection: Y9</t>
  </si>
  <si>
    <t>2YTHTJ60866619</t>
  </si>
  <si>
    <t>THE MCSO IS REQUESTING TEN 10 PEQS FOR USE BY THE SWAT TEAM, FUGITIVE TASK FORCE, AND NARCOTICS DIVISION. THESE UNITS WILL ENHANCE THE OPERATIONAL CAPABILITIES OF PERSONNEL WORKING IN HIGH-RISK AND LOW-LIGHT ENVIRONMENTS. THE ADDITION OF THIS EQUIPMENT WILL IMPROVE OFFICER SAFETY, AND COORDINATION DURING TACTICAL OPERATIONS. I HAVE SEEN PHOTOS FROM DLA DS JACKSONVILLE AND AM SATISFIED.</t>
  </si>
  <si>
    <t xml:space="preserve">
Sales Order #: 2285810342
RTD Screening Code: DOD
Reason for Rejection: Y9</t>
  </si>
  <si>
    <t>2YTHTJ60866251</t>
  </si>
  <si>
    <t>I AM REQUESTING 10 NIGHT VISION FOR MCSO TO BE ASSIGNED TO, SWAT, WARRANT TASK FORCE AND HIDTA NARCOTICS DETECTIVES. TO BE USED IN, COUNTER DRUG, COUNTER TERRORISM, AND DIGNITARY PROTECTION, AS WELL AS COMMUNITY SAFETY MISSIONS SUCH AS VIOLENT CRIMINAL APPREHENSION, HOSTAGE RESCUE, SEARCH AND RESCUE AND OTHER LAW ENFORCEMENT ROLES.  I HAVE CONTACTED A REPRESENTATIVE FROM DLA DS RILEY, VIEWED PHOTOS AND I AM SATISFIED WITH THE CONDITION.</t>
  </si>
  <si>
    <t xml:space="preserve">
Sales Order #: 2285178928
RTD Screening Code: DOD
Reason for Rejection: Y9</t>
  </si>
  <si>
    <t>2YTHTJ60725182</t>
  </si>
  <si>
    <t>FOR USE BY THE MILTON POLICE DEPARTMENT SWAT TEAM TO BE ABLE TO CONDUCT NIGHT OPERATIONS SAFELY IN DARKNESS AND TO USE STEALTH TO INCREASE SAFETY FOR ALL INVOLVED. CONFIRMED STATUS AND CONDITION WITH LEWIS. WE ACCEPT STATUS AND CONDITION.</t>
  </si>
  <si>
    <t xml:space="preserve">
Sales Order #: 2282019326
Reason for Rejection: YG</t>
  </si>
  <si>
    <t>2YTHST60301305</t>
  </si>
  <si>
    <t>FOR USE BY THE MILTON POLICE DEPARTMENT SWAT TEAM TO BE ABLE TO SAFELY OPERATE UNDER NIGHT AND DARK CONDITIONS, BUT STILL BE ABLE WORK EFFECTIVELY AND MAXIMIZE SAFETY FOR ALL. CONFIRMED STATUS WITH LEWIS. WE ACCEPT STATUS AND CONDITION.</t>
  </si>
  <si>
    <t>2YTHST60231044</t>
  </si>
  <si>
    <t>THE MILLER COSO IS REQUESTING THE ITEM FOR STORAGE ON SITE OF EMERGENCY RESPONSE EQUIPMENT, AS WELL AS SWAT EQUIPMENT. THE ITEM WILL BE USED FOR LAW ENFORCEMENT PURPOSES ONLY.</t>
  </si>
  <si>
    <t xml:space="preserve">
Sales Order #: 2285180168
RTD Screening Code: DOD
Reason for Rejection: Y9</t>
  </si>
  <si>
    <t>2YTHR060725220</t>
  </si>
  <si>
    <t>THE MILLER COSO WILL USE THE FOLLOWING ITEM FOR EMERGENCY RESPONSE, RANGE EQUIPMENT MOVEMENT, AND USE WITH OUR UTILITY TRUCK. THE ITEM WILL BE USED FOR LAW ENFORCEMENT USE ONLY.</t>
  </si>
  <si>
    <t xml:space="preserve">
Sales Order #: 2284553333
RTD Screening Code: DOD
Reason for Rejection: YH</t>
  </si>
  <si>
    <t>2YTHR060584590</t>
  </si>
  <si>
    <t xml:space="preserve">
Sales Order #: 2283286626
RTD Screening Code: DOD
Reason for Rejection: Y9</t>
  </si>
  <si>
    <t>2YTHR060372779</t>
  </si>
  <si>
    <t>THE MILLER COSO WILL USE THIS ITEM FOR SWAT, ACTIVE SHOOTER, EMERGENCY RESPONSE, FOR LAW ENFORCEMENT USE ONLY.</t>
  </si>
  <si>
    <t xml:space="preserve">
Sales Order #: 2283344131
RTD Screening Code: DOD
Reason for Rejection: YH</t>
  </si>
  <si>
    <t>2YTHR060372777</t>
  </si>
  <si>
    <t>FOR USE BY LEO AND SWAT FOR CRITICAL INCIDENTS SUCH AS ACTIVE SHOOTER AND HOSTAGE SCENARIOS AND ANY OTHER HIGH-RISK EMERGENCIES, AND TO BETTER SERVE AND PROTECT OUR COMMUNITIES WHICH HOST NUMEROUS POTENTIAL TARGETS SUCH AS SCHOOLS, CASINOS, MOVIE THEATERS, CONCERT VENUES, AND SPORTING EVENTS. I HAVE CONTACTED THE SITE WHERE THE PROPERTY IS LOCATED AND CONFIRMED AND ACCEPT THE CONDITION OF THE ITEM AS IS.</t>
  </si>
  <si>
    <t>2YTSZX61076791</t>
  </si>
  <si>
    <t>MILLE LACS TRIBAL POLICE DEPARTMENT (2YTSZX)</t>
  </si>
  <si>
    <t>FOR USE BY LEO AND SWAT FOR CRITICAL EMERGENCIES SUCH AS ACTIVE SHOOTER, HOSTAGE RESCUE, AND HIGH RISK WARRANT SERVICE, TO BETTER SERVE OUR COMMUNITY AND THE PUBLIC AS WE HAVE NUMEROUS VENUES WHICH ARE CONSIDERED HIGH RISK SUCH AS SCHOOLS, CASINOS, MOVIE THEATERS, AND CONCERT VENUES. I HAVE CONTACTED THE SITE WHERE THE PROPERTY IS HELD AND CONFIRMED AND ACCEPT THE PROPERTY AS IS.</t>
  </si>
  <si>
    <t>2YTSZX60937415</t>
  </si>
  <si>
    <t>2YTSZX60937414</t>
  </si>
  <si>
    <t xml:space="preserve">
Sales Order #: 2286618438
RTD Screening Code: DOD
Reason for Rejection: Y9</t>
  </si>
  <si>
    <t>2YTSZX60937365</t>
  </si>
  <si>
    <t>2YTSZX60877366</t>
  </si>
  <si>
    <t>2YTSZX60866325</t>
  </si>
  <si>
    <t xml:space="preserve">
Sales Order #: 2286192275
RTD Screening Code: DOD
Reason for Rejection: Y9</t>
  </si>
  <si>
    <t>2YTSZX60866323</t>
  </si>
  <si>
    <t>2YTSZX60795908</t>
  </si>
  <si>
    <t>2YTSZX60725091</t>
  </si>
  <si>
    <t xml:space="preserve">
Sales Order #: 2285303480
RTD Screening Code: DOD
Reason for Rejection: Y9</t>
  </si>
  <si>
    <t>2YTSZX60724922</t>
  </si>
  <si>
    <t>2YTSZX60724921</t>
  </si>
  <si>
    <t>2YTSZX60654794</t>
  </si>
  <si>
    <t>2YTSZX60654791</t>
  </si>
  <si>
    <t xml:space="preserve">FOR USE BY LEO AND SWAT FOR CRITICAL INCIDENTS SUCH AS ACTIVE SHOOTER AND HOSTAGE SCENARIOS AND ANY OTHER HIGH-RISK EMERGENCIES, AND TO BETTER SERVE AND PROTECT OUR COMMUNITIES WHICH HOST NUMEROUS POTENTIAL TARGETS SUCH AS SCHOOLS, CASINOS, MOVIE THEATERS, CONCERT VENUES, AND SPORTING EVENTS. I HAVE CONTACTED THE SITE WHERE THE PROPERTY IS LOCATED AND CONFIRMED AND ACCEPT THE CONDITION OF THE ITEM AS IS. 
</t>
  </si>
  <si>
    <t>2YTSZX60584793</t>
  </si>
  <si>
    <t>2YTSZX60584790</t>
  </si>
  <si>
    <t>WE WOULD LIKE TO HAVE THE TEREX CRANE TO SET AND MOVE CONEX BOXES BETWEEN OUR TWO TRAINING SITES. WE CURRENTLY HAVE A CONEX SITE THAT IS SET LIKE HOUSES FOR EMERGENCY RESPONSE TRAINING. THE TEREX WOULD ALLOW US TO DESIGN, BUILD AND ADD TO OUR TRAINING SITE WITHOUT HAVING TO BRING IN A THIRD PARTY. THE EQUIPMENT WOULD ALLOW US TO BETTER MEET OUR EMERGENCY TRAINING GOALS AND WOULD BE USED ONLY BY OUR DEPARTMENT</t>
  </si>
  <si>
    <t xml:space="preserve">
Sales Order #: 2285252222
RTD Screening Code: DOD
Reason for Rejection: YH</t>
  </si>
  <si>
    <t>CRANES AND CRANE-SHOVELS</t>
  </si>
  <si>
    <t>DSCRANESH</t>
  </si>
  <si>
    <t>2YTHQ060725488</t>
  </si>
  <si>
    <t xml:space="preserve">
Sales Order #: 2281602896
RTD Screening Code: DOD
Reason for Rejection: YF</t>
  </si>
  <si>
    <t>2YTHQ060231595</t>
  </si>
  <si>
    <t>WE WOULD LIKE TO HAVE THE LUG TIE DOWNS TO BUILD STEEL TARGETS FOR OUR FIRING RANGE.  THE STEEL PLATES WILL HELP US BE CREATIVE ON OUR FIRING RANGE AND BE READY FOR ACTIVE SHOOT SITUATIONS.</t>
  </si>
  <si>
    <t xml:space="preserve">
Sales Order #: 2280903151
RTD Screening Code: GSA
Reason for Rejection: YF</t>
  </si>
  <si>
    <t>LUG,TIE-DOWN,SPECIA</t>
  </si>
  <si>
    <t>2YTHQ053609770</t>
  </si>
  <si>
    <t xml:space="preserve">
Sales Order #: 2280896927
RTD Screening Code: DOD
Reason for Rejection: YF</t>
  </si>
  <si>
    <t>2YTHQ053609769</t>
  </si>
  <si>
    <t>TO PROVIDE AN UNDERCOVER VEHICLE FOR THE MIDVILLE POLICE DEPARTMENT TO BETTER SERVE THE COMMUNITY IN CID INTERDICTION ALONG WITH CAN A ASSIST IN CERTAIN DISASTERS.</t>
  </si>
  <si>
    <t xml:space="preserve">
Sales Order #: 2285933094
RTD Screening Code: DOD
Reason for Rejection: Y9</t>
  </si>
  <si>
    <t>2YTHQD60866437</t>
  </si>
  <si>
    <t>TO PROVIDE A 4X4 TRUCK TO PULL MIDVILLE POLICE DEPARTMENT GENERATORS AND PROVIDE ASSISTANCE IN CERTAIN DISASTERS IN FLOODED TERRAIN.</t>
  </si>
  <si>
    <t xml:space="preserve">
Sales Order #: 2285933098
RTD Screening Code: DOD
Reason for Rejection: Y9</t>
  </si>
  <si>
    <t>2YTHQD60866423</t>
  </si>
  <si>
    <t>TO PROVIDE A SERVICE TRUCK FOR THE MIDVILLE POLICE DEPARTMENT. THIS COULD BE BENEFICIAL IN PROVIDING PUBLIC ASSISTANCE ALONG WITH BEING BENEFICIAL DURING CERTAIN DISASTERS.</t>
  </si>
  <si>
    <t xml:space="preserve">
Sales Order #: 2285933093
RTD Screening Code: GSA
Reason for Rejection: Y9</t>
  </si>
  <si>
    <t>2YTHQD60796422</t>
  </si>
  <si>
    <t>TO PROVIDE A TRAILER FOR THE MIDVILLE POLICE DEPARTMENT THAT COULD BE USED FOR A COMMAND STATION FOR CERTAIN TRAFFIC CONTROL EVENTS ALONG WITH CERTAIN DISASTERS.</t>
  </si>
  <si>
    <t xml:space="preserve">
Sales Order #: 2285446138
RTD Screening Code: GSA
Reason for Rejection: Y9</t>
  </si>
  <si>
    <t>2YTHQD60795912</t>
  </si>
  <si>
    <t>TO PROVIDE AN UNDERCOVER VEHICLE FOR THE MIDVILLE POLICE DEPARTMENT TO HANDLE CERTAIN CRIME INTERDICTION AND TO PROVIDE ASSISTANCE DURING CERTAIN DISASTERS.</t>
  </si>
  <si>
    <t xml:space="preserve">
Sales Order #: 2285152370
RTD Screening Code: DOD
Reason for Rejection: Y9</t>
  </si>
  <si>
    <t>2YTHQD60725000</t>
  </si>
  <si>
    <t>TO PROVIDE A FIRE SKID UNIT IN THE MIDVILLE POLICE DEPARTMENT'S HMMWV TO PROVIDE FIRE COVERAGE TO INACCESSIBLE AREAS IN MIDVILLE THAT THE BIGGER FIRE TRUCKS CAN'T ACCESS.</t>
  </si>
  <si>
    <t xml:space="preserve">
Sales Order #: 2282068150
RTD Screening Code: GSA
Reason for Rejection: Z2</t>
  </si>
  <si>
    <t>FIRESUPRSN SYSTEM</t>
  </si>
  <si>
    <t>2YTHQD60301799</t>
  </si>
  <si>
    <t>TO PROVIDE THE MIDVILLE POLICE DEPARTMENT WITH AN ALL-TERRAIN VEHICLE THAT WOULD ASSIST IN FLOODED AREAS DURING CERTAIN DISASTERS, AS WE ARE LOCATED ON THE OGEECHEE RIVER.</t>
  </si>
  <si>
    <t xml:space="preserve">
Sales Order #: 2281219386
RTD Screening Code: DOD
Reason for Rejection: Y9</t>
  </si>
  <si>
    <t>2YTHQD60161002</t>
  </si>
  <si>
    <t>TO PROVIDE A FOUR-WHEEL DRIVE VEHICLE FOR THE MIDVILLE POLICE DEPARTMENT. THIS VEHICLE WOULD BE BENEFICIAL IN RESCUE ATTEMPTS FOR FLOODED TERRITORY IN CERTAIN DISASTERS.</t>
  </si>
  <si>
    <t>2YTHQD60160436</t>
  </si>
  <si>
    <t>TO PROVIDE A FIRST RESPONSE VEHICLE FOR THE MIDVILLE POLICE DEPARTMENT DURING SPECIAL INCIDENTS AND CERTAIN DISASTERS.</t>
  </si>
  <si>
    <t>2YTHQD60160430</t>
  </si>
  <si>
    <t>TO PROVIDE A FOUR-WHEEL DRIVE VEHICLE FOR THE MIDVILLE POLICE DEPARTMENT. THIS VEHICLE WOULD BE BENEFICIAL FOR FLOODED TERRITORY IN CERTAIN DISASTERS, ALONG WITH PULLING OUT GENERATORS AND OUR TRAFFIC TRAILER.</t>
  </si>
  <si>
    <t>2YTHQD60090432</t>
  </si>
  <si>
    <t>SO OFFICERS CAN PLACE ON THEIR 1033 ISSUED RIFLES SO THAT THEY CAN HAVE A MORE ACCURATE, BETTER HANDLING RIFLE FOR ACTIVE SHOOTER AND SCHOOL SHOOTING SITUATIONS.</t>
  </si>
  <si>
    <t xml:space="preserve">
Sales Order #: 2286058880
RTD Screening Code: DOD
Reason for Rejection: Y9</t>
  </si>
  <si>
    <t>STOCK CHASSIS</t>
  </si>
  <si>
    <t>2YTHJZ60866740</t>
  </si>
  <si>
    <t xml:space="preserve">
Sales Order #: 2280619905
RTD Screening Code: DOD
Reason for Rejection: Y9</t>
  </si>
  <si>
    <t>2YTHJZ60020068</t>
  </si>
  <si>
    <t>THESE RIFLE SCOPES WILL BE USED BY MEMBERS OF THE MEDINA CO SWAT TEAM FOR DEPLOYMENT BY THE SNIPER TEAM ON LONG RANGE WEAPONS SYSTEMS. I HAVE CONFIRMED CONDITION VIA THE PHOTOS PROVIDED.</t>
  </si>
  <si>
    <t>2YTHJJ60937483</t>
  </si>
  <si>
    <t>MEDINA COUNTY SHERIFF'S OFFICE (2YTHJJ)</t>
  </si>
  <si>
    <t>2YTHJJ60937482</t>
  </si>
  <si>
    <t>I HAVE CONFIRMED CONDITION OF THESE ITEMS VIA PHOTOS PROVIDED. THESE NIGHT VISION DEVICES WILL BE USED FOR LOW LIGHT AND NO LIGHT OPERATIONS BEING CONDUCTED BY THE MEDINA CO SWAT TEAM FOR TACTICAL OPERATIONS WITH OUR EXISTING NIGHT VISION SUITE.</t>
  </si>
  <si>
    <t xml:space="preserve">
Sales Order #: 2286146434
RTD Screening Code: DOD
Reason for Rejection: Y9</t>
  </si>
  <si>
    <t>2YTHJJ60866864</t>
  </si>
  <si>
    <t>THESE  ILLUMINATORS WOULD BE USED WITH THE MEDINA COUNTY SWAT TEAM'S NIGHT VISION PACKAGE WHILE ON TACTICAL OPERATIONS ON A VARIETY OF CONDITIONS. THESE ILLUMINATORS WILL BE DEPLOYED ON OPERATOR WEAPON SYSTEMS TO ASSIST IN TARGET IDENTIFICATION AND ILLUMINATION WHEN OPERATING UNDER LOW AND NO LIGHT CONDITIONS.</t>
  </si>
  <si>
    <t>2YTHJJ60866250</t>
  </si>
  <si>
    <t>THESE ILLUMINATORS WILL BE USED WITH OUR SWAT TEAM'S CURRENT NIGHT VISION DEVICES FOR ILLUMINATION AND TARGET IDENTIFICATION DURING LOW LIGHT AND NO LIGHT OPERATIONS. THE ITEMS CAN BE DEPLOYED BY TEAM MEMBERS FOR USE DURING A VARIETY OF OPERATIONS BOTH IN PATROL AND TACTICAL ELEMENT SETTINGS.</t>
  </si>
  <si>
    <t xml:space="preserve">
Sales Order #: 2285872661
Reason for Rejection: Y9</t>
  </si>
  <si>
    <t>2YTHJJ60796333</t>
  </si>
  <si>
    <t>THE MEADE CO. SHERIFF'S OFFICE WOULD LIKE TO ACQUIRE THESE VEHICLES FOR OUR DEPUTIES AND DETECTIVES USE DURING NARCOTICS OPERATIONS IN TERRAIN THAT IS NOT ABLE TO BE REACHED BY STREET VEHICLES AS WELL AS FOR USE IN THE ATTEMPTED APPREHENSION OF  FUGITIVES IN WOODED AND ROUGH TERRAIN AREAS. ALSO FOR USE IN SEARCH AND RESCUE AND SEARCH AND RECOVERY OPERATIONS. DUE TO STATE OF DISREPAIR, VEHICLES WE HAD ON RECORD HAD TO BE SURPLUSSED AND SOLD.</t>
  </si>
  <si>
    <t xml:space="preserve">
Sales Order #: 2285178193
RTD Screening Code: GSA
Reason for Rejection: YH</t>
  </si>
  <si>
    <t>2YTPTW60654523</t>
  </si>
  <si>
    <t xml:space="preserve">
Sales Order #: 2285180119
RTD Screening Code: DOD
Reason for Rejection: Y9</t>
  </si>
  <si>
    <t>2YTPTW60654522</t>
  </si>
  <si>
    <t xml:space="preserve">THE MEADE COUNTY SHERIFF'S OFFICE WOULD LIKE TO ACQUIRE THIS PROPERTY FOR OUR AGENCY'S USE IN OUR AIRCRAFT HANGER. DO TO THE EXTREMELY HIGH CEILINGS, THIS LIFT WILL LET US BE ABLE TO REPAIR AND REPLACE OVERHEAD LIGHTING AND ELECTRICAL OUTLETS. ALSO WILL BE USED FOR PLACING AND RETRIEVING EQUIPMENT, SUPPLIES, AND EVIDENCE FORM THE HIGH SHELVES WITHOUT HAVING TO USE AN EXTENSION LADDER ON SLICK CONCRETE FLOOR. 
</t>
  </si>
  <si>
    <t xml:space="preserve">
Sales Order #: 2282252874
RTD Screening Code: DOD
Reason for Rejection: YG</t>
  </si>
  <si>
    <t>2YTPTW60301650</t>
  </si>
  <si>
    <t>HELLO, MCSO COULD USE THESE OPTICS FOR OUR TACTICAL TEAM DURING FIELD OPERATIONS. OUR TACTICAL HANDLES BOTH RURAL AND URBAN SITUATIONS IN OUR JURISDICTION AND THESE OPTICS COULD FILL A VOID WHERE OUR CURRENT SIGHT SYSTEMS ARE LACKING. I DID CALL AND SPEAK WITH SOMEONE AT DLA DS LEWIS AND THEY ADVISED THE OPTICS APPEAR TO BE SERVICEABLE. THANK YOU FOR THE CONSIDERATION.</t>
  </si>
  <si>
    <t xml:space="preserve">
Sales Order #: 2281508333
RTD Screening Code: DOD
Reason for Rejection: Y9</t>
  </si>
  <si>
    <t>2YTHGS60160703</t>
  </si>
  <si>
    <t>MCDONALD COUNTY SHERIFF'S OFFICE (2YTHGS)</t>
  </si>
  <si>
    <t>IF ACQUIRED, THIS UNIT WOULD BE USED AS A COMMAND TRAILER FOR SEARCH AND RESCUE MISSIONS, TACTICAL OPERATIONS, AND OTHER COMMAND FUNCTIONS FOR THE MASON COUNTY SHERIFF'S OFFICE. CONDITION HAS BEEN VERIFIED WITH DLA SAN JOAQUIN.</t>
  </si>
  <si>
    <t>2YTHD960442647</t>
  </si>
  <si>
    <t>IF ACQUIRED, THESE ITEMS WOULD BE USED BY THE MASON COUNTY SHERIFF'S OFFICE FOR SEARCH AND RESCUE AND TACTICAL MISSIONS USING NIGHT VISION THAT WAS ACQUIRED FROM DLA. ITEMS WERE VERIFIED INTACT FROM DLA DS COLUMBUS</t>
  </si>
  <si>
    <t xml:space="preserve">
Sales Order #: 2280818062
RTD Screening Code: DOD
Reason for Rejection: Y9</t>
  </si>
  <si>
    <t>2YTHD960160623</t>
  </si>
  <si>
    <t>THESE UNIT SIGHTS WILL BE USED BY OUR PATROL OFFICERS TO START A DESIGNATED MARKSMAN PROGRAM.  THEY WILL ALLOW OUR OFFICERS TO BE MORE EFFECTIVE WITH THEIR PATROL RIFLES.
I HAVE CONTACTED THE BASE IN REFERENCE TO THE CONDITION OF THE OPTICS.</t>
  </si>
  <si>
    <t xml:space="preserve">
Sales Order #: 2286425675
RTD Screening Code: DOD
Reason for Rejection: Y9</t>
  </si>
  <si>
    <t>SIGHT UNIT,MECHANICAL</t>
  </si>
  <si>
    <t>2YTHDF61217238</t>
  </si>
  <si>
    <t>THESE OPTICS WILL BE USED TO UPGRADE OUR SRT SNIPERS OPTICS TO WORK BETTER WITH OUR NIGHT VISION.  
I HAVE CONTACTED THE BASE AND THE OPTICS APPEAR TO HAVE LITTLE USE.</t>
  </si>
  <si>
    <t>2YTHDF60937429</t>
  </si>
  <si>
    <t>THESE OPTICS WILL BE USED BY OUR SRT SNIPERS TO UPGRADE THEIR OPTICS.  
I HAVE CONTACTED THE BASE AND THE OPTICS APPEAR TO HAVE LITTLE USE.</t>
  </si>
  <si>
    <t>2YTHDF60937427</t>
  </si>
  <si>
    <t>THESE OPTICS WILL BE USED TO UPGRADE OUR SRT SNIPERS OPTICS AS WELL AS CREATE SOME DMRS FOR PATROL USE.  
I HAVE CONTACTED THE BASE IN REFERENCE TO THE CONDITION AND THE OPTICS APPEAR TO BE UN USED.</t>
  </si>
  <si>
    <t>2YTHDF60937424</t>
  </si>
  <si>
    <t>THESE OPTICS WILL BE USED BY OUR SRT SNIPERS TO UPGRADE THE OPTICS THAT WE ARE CURRENTLY USING.  
I HAVE CONTACTED THE BASE AND THEY ADVISED THE OPTICS LOOK NEW.</t>
  </si>
  <si>
    <t>2YTHDF60937423</t>
  </si>
  <si>
    <t>THESE OPTICS WILL BE USED ON OUR PATROL RIFLES TO START A DESIGNATED MARKSMAN PROGRAM THAT WILL MAKE OUR PATROL RIFLES MORE EFFECTIVE FOR DUTY USE.  
I HAVE CONTACTED THE BASE IN REGARDS TO THE CONDITION AND WE ARE SATISFIED WITH THEIR CONDITION.</t>
  </si>
  <si>
    <t>2YTHDF60937422</t>
  </si>
  <si>
    <t>THESE OPTICAL SIGHTING EQUIPMENT ARE NEEDED BY OUR SRT OPERATORS TO AID IN SIGHTING WITH NIGHT VISION.  
I HAVE CONTACTED THE BASE AND WE ARE SATISFIED WITH THE CONDITION.</t>
  </si>
  <si>
    <t xml:space="preserve">
Sales Order #: 2286325399
RTD Screening Code: DOD
Reason for Rejection: Y9</t>
  </si>
  <si>
    <t>2YTHDF60866895</t>
  </si>
  <si>
    <t>THESE VEHICLE WILL BE USED AS A PATROL VEHICLE OR INVESTIGATOR.  WE ARE IN NEED OF VEHICLE THAT CAN BE UPFITTED FOR PATROL USE.  
I HAVE CONTACTED THE BASE IN REFERENCE TO THE CONDITION OF THE VEHICLE AND WE ARE SATISFIED WITH THE CONDITION.</t>
  </si>
  <si>
    <t xml:space="preserve">
Sales Order #: 2285870130
RTD Screening Code: DOD
Reason for Rejection: Y9</t>
  </si>
  <si>
    <t>2YTHDF60866249</t>
  </si>
  <si>
    <t>WE ARE IN NEED OF THESE HEADSETS TO  BE USED BY OUR SRT OPERATORS DURING TACTICAL OPERATIONS AND TRAINING.  THEY WILL ALLOW OUR OPERATORS TO HAVE AMPLIFIED HEARING PROTECTION WHILE BEING ABLE TO TALK ON THE RADIO.</t>
  </si>
  <si>
    <t xml:space="preserve">
Sales Order #: 2285177830
RTD Screening Code: FEPP
Reason for Rejection: Y9</t>
  </si>
  <si>
    <t>2YTHDF60794961</t>
  </si>
  <si>
    <t xml:space="preserve">
Sales Order #: 2285762748
RTD Screening Code: DOD
Reason for Rejection: Y9</t>
  </si>
  <si>
    <t>2YTHDF6075KM01</t>
  </si>
  <si>
    <t>WE ARE IN NEED OF A GOOD TRAILER TO MOVE EQUIPMENT AROUND WHEN REPAIRING BERMS ON THE RANGE AND RE-GRAVELING OUR PARKING LOT. 
I HAVE REVIEWED THE PICTURES OF THE TRAILER AND WE ARE SATISFIED WITH THE CONDITION.</t>
  </si>
  <si>
    <t xml:space="preserve">
Sales Order #: 2285222590
RTD Screening Code: DOD
Reason for Rejection: Y9</t>
  </si>
  <si>
    <t>2YTHDF60725444</t>
  </si>
  <si>
    <t>THESE LIGHTS WILL BE USED BY OUR SRT OPERATORS AND GIVE THEM ACCESS TO HELMET MOUNTED LIGHTS FOR WORKING IN THE DARK HANDS FREE AS WELL AS WORKING UNDER NIGHT VISION WITH IR LIGHTING. 
I HAVE REVIED THE PICTURES OF THE LIGHTS AND WE ARE SATISFIED WITH THE CONDITION OF THE LIGHTS.</t>
  </si>
  <si>
    <t xml:space="preserve">
Sales Order #: 2285072202
RTD Screening Code: DOD
Reason for Rejection: Y9</t>
  </si>
  <si>
    <t>2YTHDF60725395</t>
  </si>
  <si>
    <t>WE ARE IN NEED OF THESE RIFLE OPTICS SO THAT WE CAN START A DESIGNATED MARKSMAN PROGRAM WITH OUR AGENCY.  THESE OPTICS WILL EXTEND THE EFFECT RANGE OF OUR PATROL OFFICERS MAKING THEM MUCH MORE EFFECTIVE IN RURAL AND OPEN AIR ENVIRONMENTS.  I HAVE CONTACTED THE BASE IN REFERENCE TO THE CONDITION OF THE OPTICS AND WE ARE SATISFIED WITH THEIR CONDITION.</t>
  </si>
  <si>
    <t xml:space="preserve">
Sales Order #: 2285179939
RTD Screening Code: DOD
Reason for Rejection: Y9</t>
  </si>
  <si>
    <t>2YTHDF60725096</t>
  </si>
  <si>
    <t xml:space="preserve">
Sales Order #: 2285177723
RTD Screening Code: DOD
Reason for Rejection: YH</t>
  </si>
  <si>
    <t>2YTHDF6057KM02</t>
  </si>
  <si>
    <t>THESE WEAPON ACCESSORIES WILL BE USED BY OUR SRT OPERATORS FOR LASER AIMING BOTH DURING REGULAR OPERATIONS AND TRAINING AS WELL AS WITH NIGHT VISION. 
I HAVE CONTACTED THE BASE IN REFERENCE TO THE CONDITION OF THE ITEMS.</t>
  </si>
  <si>
    <t xml:space="preserve">
Sales Order #: 2283369341
RTD Screening Code: DOD
Reason for Rejection: Y9</t>
  </si>
  <si>
    <t>2YTHDF60513280</t>
  </si>
  <si>
    <t>THIS THERMAL EQUIPMENT WILL BE USED BY OUR PATROL OFFICERS TO LOCATE FLEEING SUSPECTS, MISSING CHILDREN, AND MISSING ELDERLY ADULTS.
I HAVE CONTACTED THE BASE IN REFERENCE TO THE CONDITION OF THE OPTICS.</t>
  </si>
  <si>
    <t xml:space="preserve">
Sales Order #: 2283631643
RTD Screening Code: DOD
Reason for Rejection: Y9</t>
  </si>
  <si>
    <t>2YTHDF60513076</t>
  </si>
  <si>
    <t>THESE BINOCULARS WILL BE USED BY SRT OPERATORS WHEN WORKING OVERWATCH FOR PUBLIC VENUES.  THEY WILL ALLOW THEM TO HAVE OBSERVE AS WELL AS RANGE VARIOUS THINGS IN THEIR AREA OF OPERATION.  
I HAVE CONTACTED THE BASE IN REFERENCE TO THE CONDITION OF THE OPTICS.</t>
  </si>
  <si>
    <t xml:space="preserve">
Sales Order #: 2283276111
RTD Screening Code: DOD
Reason for Rejection: Y9</t>
  </si>
  <si>
    <t>2YTHDF60443147</t>
  </si>
  <si>
    <t>THESE TOURNIQUETS WILL BE ISSUED TO PATROL OFFICERS TO HAVE ON THEIR PERSON DURING PATROL DUTIES.  THESE WILL ALLOW OUR OFFICERS TO SELF TREAT OR TREAT SOMEONE ELSE DURING A CRITICAL INCIDENT.</t>
  </si>
  <si>
    <t xml:space="preserve">
Sales Order #: 2282071326
RTD Screening Code: DOD
Reason for Rejection: YH</t>
  </si>
  <si>
    <t>2YTHDF60301430</t>
  </si>
  <si>
    <t>THIS RIFLE OPTIC WILL BE USED BY OUR SNIPERS FOR OBSERVATION AND TACTICAL OPERATIONS. 
I HAVE CONTACTED THE BASE IN REFERENCE TO THE CONDITION OF THE OPTIC.</t>
  </si>
  <si>
    <t xml:space="preserve">
Sales Order #: 2278331090
RTD Screening Code: DOD
Reason for Rejection: Y9</t>
  </si>
  <si>
    <t>2YTHDF60301429</t>
  </si>
  <si>
    <t>THIS NIGHT VISION GOGGLE WILL BE USED TO UPGRADE ONE OF OUR EXISTING OLDER NIGHTS THAT ARE USED BY OUR SRT OPERATORS. 
I HAVE CONTACTED THE BASE IN REFERENCE TO THE CONDITION OF THE OPTICS.</t>
  </si>
  <si>
    <t xml:space="preserve">
Sales Order #: 2278331082
RTD Screening Code: DOD
Reason for Rejection: BQ</t>
  </si>
  <si>
    <t>2YTHDF60301426</t>
  </si>
  <si>
    <t>THIS OPTIC WILL BE USED BY OUR SNIPERS DURING NIGHT TIME OBSERVATIONS AND OPERATIONS. 
I HAVE CONTACTED THE BASE IN REFERENCE TO THE CONDITION OF THE OPTIC.</t>
  </si>
  <si>
    <t xml:space="preserve">
Sales Order #: 2281763840
RTD Screening Code: DOD
Reason for Rejection: Y9</t>
  </si>
  <si>
    <t>2YTHDF60231115</t>
  </si>
  <si>
    <t>THIS SPOTTING SCOPE WILL BE USED BY OUR SNIPERS FOR OBSERVATION MISSIONS.  
I HAVE CONTACTED THE BASE IN REFERENCE TO CONDITION AND WE ARE SATISFIED WITH THE CONDITION OF THE OPTIC.</t>
  </si>
  <si>
    <t xml:space="preserve">
Sales Order #: 2281766795
RTD Screening Code: DOD
Reason for Rejection: Y9</t>
  </si>
  <si>
    <t>2YTHDF60231106</t>
  </si>
  <si>
    <t>THESE LIGHTS WILL BE USED BY OUR PATROL OFFICERS SO THAT THEY ARE ABLE TO MOUNT LIGHTS ON THEIR PATROL RIFLES MAKING THEM MORE EFFECTIVE IN LOW LIGHT SITUATIONS.</t>
  </si>
  <si>
    <t xml:space="preserve">
Sales Order #: 2281219383
RTD Screening Code: DOD
Reason for Rejection: Y9</t>
  </si>
  <si>
    <t>2YTHDF60231052</t>
  </si>
  <si>
    <t>THESE FACE MASKS WILL BE USED BY OUR PATROL OFFICERS FOR WORKING CROWD CONTROL AND TACTICAL OPERATIONS WHERE SMOKE AND TEAR GAS ARE USED.  THE WILL ALSO BE USED WHEN PROCESSING HAZARDOUS CRIME SCENES AND STRUCTURE FIRES.</t>
  </si>
  <si>
    <t xml:space="preserve">
Sales Order #: 2278965483
RTD Screening Code: DOD
Reason for Rejection: YH</t>
  </si>
  <si>
    <t>2YTHDF53186608</t>
  </si>
  <si>
    <t>WE ARE IN NEED OF SOME PATROL TRUCKS FOR PATROL OFFICERS TO USE DURING THEIR PATROL DUTIES.  THE TRUCKS WOULD ALLOW PATROL OFFICERS TO CARRY OTHER EQUIPMENT WITH THEM THAT THEY DO NOT HAVE ROOM FOR IN THE PATROL CARS. 
I HAVE CONTACTED THE BASE AND WE ARE SATISFIED WITH THE CONDITION OF THE VEHICLE.</t>
  </si>
  <si>
    <t xml:space="preserve">
Sales Order #: 2275996620
RTD Screening Code: DOD
Reason for Rejection: YH</t>
  </si>
  <si>
    <t>2YTHDF52693142</t>
  </si>
  <si>
    <t>THE MARTIN COUNTY SHERIFFS OFFICE WOULD LIKE TO ACQUIRE THE EXCAVATING EQUIPMENT TO BE USED AT OUR FIRING RANGE TO IMPROVE THE CONDITIONS OF OUR SAFETY BERM.  THE EXCAVATING EQUIPMENT WILL ALSO BE UTILIZED DURING DISASTER RECOVERY.</t>
  </si>
  <si>
    <t xml:space="preserve">
Sales Order #: 2285872655
RTD Screening Code: GSA
Reason for Rejection: Y9</t>
  </si>
  <si>
    <t>2YTHDE60796459</t>
  </si>
  <si>
    <t>THE MARTIN COUNTY SHERIFFS OFFICE WOULD LIKE TO ACQUIRE A CARGO CARRIER.  THE CARGO CARRIER WILL ALLOW US TO RESPOND TO SWAMP AND OVER GROWN AREAS.  THE CARGO CARRIER CAN BE USED TO ASSIST DURING DISASTERS AND WOULD BE ABLE TO REACH SEVERELY DAMAGED AREAS SUCH AS TORNADO HURRICANE ETC.</t>
  </si>
  <si>
    <t xml:space="preserve">
Sales Order #: 2285180120
RTD Screening Code: DOD
Reason for Rejection: Y9</t>
  </si>
  <si>
    <t>CARRIER,CARGO</t>
  </si>
  <si>
    <t>2YTHDE60725185</t>
  </si>
  <si>
    <t>THE MARTIN COUNTY SHERIFFS OFFICE WOULD LIKE TO ACQUIRE SOME OF THE MOUSE DEVICES TO HAVE FOR OUR OFFICE COMPUTERS AND TRAINING COMPUTERS FOR DAY TO DAY OPERATIONS.  THE MOUSE WILL MAKE OUR TRAINING ROOM MORE FUNCTIONAL.</t>
  </si>
  <si>
    <t xml:space="preserve">
Sales Order #: 2285178985
RTD Screening Code: DOD
Reason for Rejection: Y9</t>
  </si>
  <si>
    <t>KEYBOARD,MOUSE</t>
  </si>
  <si>
    <t>2YTHDE60724996</t>
  </si>
  <si>
    <t>THE MARTIN COUNTY SHERIFFS OFFICE WOULD LIKE TO ACQUIRE THE SCAFFOLDING TOWER.  THIS TOWER CAN BE USED DURING LARGE PUBLIC EVENTS TO ALLOW OFFICERS TO SAFELY OBSERVE AND DIRECT OFFICERS TO PROBLEM AREAS.  THE TOWER CAN ALSO BE USED FOR SURVEILLANCE DURING CIVIL UNREST.</t>
  </si>
  <si>
    <t xml:space="preserve">
Sales Order #: 2285176985
RTD Screening Code: DOD
Reason for Rejection: Y9</t>
  </si>
  <si>
    <t>2YTHDE60655001</t>
  </si>
  <si>
    <t>THE MARTIN COUNTY SHERIFFS OFFICE WOULD LIKE TO ACQUIRE THE TRAUMA MANIKINS TO BE USED FOR LARGE SCALE ACTIVE SHOOTER TRAINING.  THE MANIKIN MAY ALSO BE USED FOR LESS LETHAL TRAINING.  THESE MANIKINS WILL ALLOW FOR MORE REALISTIC TRAINING SCENARIOS.</t>
  </si>
  <si>
    <t xml:space="preserve">
Sales Order #: 2285180167
RTD Screening Code: DOD
Reason for Rejection: Y9</t>
  </si>
  <si>
    <t>2YTHDE60654998</t>
  </si>
  <si>
    <t>THE MARTIN COUNTY SHERIFFS OFFICE WOULD LIKE TO ACQUIRE THE TRAILER TO HAUL HIGH WATER RESCUE VEHICLES WHEN DEPLOYED TO EMERGENCIES.  THE TRAILER WILL ALLOW US TO HAUL BIGGER LOADS AND RESPOND QUICKER TO DISASTER AREAS.  THE TRAILER WILL ALSO BE USED TO MOVE FEMA SUPPLIES AS NEEDED.</t>
  </si>
  <si>
    <t xml:space="preserve">
Sales Order #: 2285152391
RTD Screening Code: DOD
Reason for Rejection: Y9</t>
  </si>
  <si>
    <t>2YTHDE60654730</t>
  </si>
  <si>
    <t>THE MARTIN COUNTY SHERIFFS OFFICE THE TRUCK WILL BE USED FOR DISASTER RESPONSE AND FOR PATROLS IN AREAS OF OUR COUNTY THAT ARE INACCESSIBLE BY NORMAL VEHICLES, IN NARCOTIC OPERATIONS AND DURING EMERGENCIES SUCH AS ACTIVE SHOOTINGS.  WE ARE A RURAL COUNTY AND DO NOT HAVE FUNDING AVAILABLE TO PURCHASE SUCH EQUIPMENT.  WE ALSO REGULARLY ASSIST OTHER COUNTIES IN NC DURING DISASTERS, WE ASSIST OTHER COUNTIES EVACUATIONS AND DELIVERING SUPPLIES.</t>
  </si>
  <si>
    <t xml:space="preserve">
Sales Order #: 2282600639
RTD Screening Code: DOD
Reason for Rejection: Y9</t>
  </si>
  <si>
    <t>2YTHDE60372370</t>
  </si>
  <si>
    <t>THE MARTIN COUNTY SHERIFFS OFFICE WOULD LIKE TO ACQUIRE THIS STAKE TRAILER.  THE TRAILER WILL ALLOW US TO HAUL OUR HIGH WATER RESCUE EQUIPMENT DURING DISASTERS AS WELL AS HAUL BASICALLY ANYTHING DURING AN EMERGENCY.  THE TRAILER CAN ALSO BE USED IN DAY TO DAY OPERATIONS.</t>
  </si>
  <si>
    <t xml:space="preserve">
Sales Order #: 2275746143
RTD Screening Code: DOD
Reason for Rejection: YH</t>
  </si>
  <si>
    <t>SEMITRAILER,STAKE</t>
  </si>
  <si>
    <t>2YTHDE52622709</t>
  </si>
  <si>
    <t>REQUESTED BY MARLBORO CSO, FOR MARLBORO CSO DEPUTIES, FOR TRAINING AND TESTING.</t>
  </si>
  <si>
    <t>2YTHBS60936832</t>
  </si>
  <si>
    <t>MARLBORO CSO (2YTHBS)</t>
  </si>
  <si>
    <t>2YTG8B60867296</t>
  </si>
  <si>
    <t xml:space="preserve">
Sales Order #: 2285180291
RTD Screening Code: DOD
Reason for Rejection: Y9</t>
  </si>
  <si>
    <t>2YTG8B60725465</t>
  </si>
  <si>
    <t>2YTG8B60725070</t>
  </si>
  <si>
    <t xml:space="preserve">
Sales Order #: 2283206592
RTD Screening Code: DOD
Reason for Rejection: Y9</t>
  </si>
  <si>
    <t>2YTG8B60513304</t>
  </si>
  <si>
    <t>2YTG8B60513237</t>
  </si>
  <si>
    <t xml:space="preserve">
Sales Order #: 2283007773
RTD Screening Code: DOD
Reason for Rejection: Y9</t>
  </si>
  <si>
    <t>2YTG8B60372434</t>
  </si>
  <si>
    <t xml:space="preserve">
Sales Order #: 2283007747
RTD Screening Code: DOD
Reason for Rejection: Y9</t>
  </si>
  <si>
    <t>2YTG8B60372433</t>
  </si>
  <si>
    <t>FOR PATROL AND DETECTIVE BUREAU USE.</t>
  </si>
  <si>
    <t>2YTG6V60725443</t>
  </si>
  <si>
    <t>MAHWAH TWP POLICE DEPT (2YTG6V)</t>
  </si>
  <si>
    <t>THIS ITEM WOULD BE DEPLOYED TO ENTER HIGH THREAT AREA TO EVALUATE CONDITIONS DURING HIGH PROFILE SEARCH WARRANTS, ARREST WARRANT EXECUTIONS, AND BARRICADE SITUATIONS. THIS ITEM COULD REDUCE THE RISK OF OFFICER INJURIES OR DEATH TREMENDOUSLY.</t>
  </si>
  <si>
    <t xml:space="preserve">
Sales Order #: 2285180205
RTD Screening Code: DOD
Reason for Rejection: Y9</t>
  </si>
  <si>
    <t>2YTG6K60584778</t>
  </si>
  <si>
    <t>MAGOFFIN CSO (2YTG6K)</t>
  </si>
  <si>
    <t>THIS VEHICLE IS NEEDED BY A LAW ENFORCEMENT AGENCY WITH A VERY SMALL BUDGET. WE CANNOT PURCHASE ITEMS SUCH AS THIS BECAUSE OF A LACK OF FUNDS. WE NEED THIS VEHICLE FOR USE DURING SEVERE SNOWSTORMS AND FLOODS TO RESCUE STRANDED CITIZENS. OUR AREA IS MOUNTAINOUS AND SOME ROADS ARE IN DISREPAIR. WE WOULD STATION THIS UNIT ON THE NORTH SIDE OF THE COUNTY. THIS VEHICLE COULD SAVE LIVES.</t>
  </si>
  <si>
    <t>2YTG6K60584777</t>
  </si>
  <si>
    <t>THIS VEHICLE IS NEEDED BY A LAW ENFORCEMENT AGENCY WITH A VERY SMALL BUDGET. WE CANNOT PURCHASE ITEMS SUCH AS THIS BECAUSE OF A LACK OF FUNDS. WE NEED THIS VEHICLE FOR USE DURING SEVERE SNOWSTORMS AND FLOODS TO RESCUE STRANDED CITIZENS. OUR AREA IS MOUNTAINOUS AND SOME ROADS ARE IN DISREPAIR. WE WOULD STATION THIS UNIT ON THE SOUTH SIDE OF THE COUNTY. THIS VEHICLE COULD SAVE LIVES.</t>
  </si>
  <si>
    <t>2YTG6K60584776</t>
  </si>
  <si>
    <t>TO PROVIDE TOOLS TO THE OFFICERS OF THE MAGNOLIA POLICE DEPARTMENT TO BE USED IN VEHICLE MAINTENANCE AS WELL AS ROADSIDE ASSISTANCE AND INSPECTIONS. THEY WOULD ONLY BE USED BY SWORN OFFICERS FOR OFFICIAL REASONS.</t>
  </si>
  <si>
    <t>2YTG6G60583968</t>
  </si>
  <si>
    <t>TO PROVIDE FLASHLIGHTS TO THE OFFICERS OF THE MAGNOLIA POLICE DEPARTMENT. THEY WOULD ONLY BE USED BY SWORN OFFICERS FOR OFFICIAL REASONS, AND THEY APPEAR TO BE NEW IN THE BOX.</t>
  </si>
  <si>
    <t xml:space="preserve">
Sales Order #: 2283353885
RTD Screening Code: DOD
Reason for Rejection: Y9</t>
  </si>
  <si>
    <t>2YTG6G60513317</t>
  </si>
  <si>
    <t>TO PROVIDE AIMING LASERS TO THE OFFICERS OF THE MAGNOLIA POLICE DEPARTMENT. THEY WOULD ONLY BE USED BY SWORN OFFICERS FOR OFFICIAL REASONS, AND THEY APPEAR TO BE NEW IN THE BOX.</t>
  </si>
  <si>
    <t xml:space="preserve">
Sales Order #: 2283790520
RTD Screening Code: DOD
Reason for Rejection: Y9</t>
  </si>
  <si>
    <t>2YTG6G60513316</t>
  </si>
  <si>
    <t>2YTG6G60513315</t>
  </si>
  <si>
    <t>2YTG6G60513313</t>
  </si>
  <si>
    <t>TO PROVIDE SCENE LIGHTING FOR OFFICERS OF THE MAGNOLIA POLICE DEPARTMENT DURING INVESTIGATIONS AND TACTICAL SITUATIONS. THEY WOULD ONLY BE USED BY SWORN OFFICERS FOR OFFICIAL REASONS.</t>
  </si>
  <si>
    <t>2YTG6G60372261</t>
  </si>
  <si>
    <t>TO PROVIDE PROTECTIVE EQUIPMENT USED DURING FORCE ON FORCE TRAINING INVOLVING SIMMUNITIONS. THEY WOULD ONLY BE USED BY SWORN OFFICERS OF THE MAGNOLIA POLICE DEPARTMENT FOR OFFICIAL REASONS.</t>
  </si>
  <si>
    <t xml:space="preserve">
Sales Order #: 2282813411
RTD Screening Code: DOD
Reason for Rejection: Y9</t>
  </si>
  <si>
    <t>2YTG6G60372260</t>
  </si>
  <si>
    <t>TO PROVIDE NIGHT VISION DEVICES TO THE OFFICERS OF THE MAGNOLIA POLICE DEPARTMENT. THE UNITS APPEAR TO BE IN EXCELLENT SHAPE AND FULLY OPERATIONAL. THEY WOULD ONLY BE USED BY SWORN OFFICERS FOR OFFICIAL REASONS.</t>
  </si>
  <si>
    <t>2YTG6G60302954</t>
  </si>
  <si>
    <t>TO PROVIDE THERMAL WEAPON SIGHTS TO THE OFFICERS OF THE MAGNOLIA POLICE DEPARTMENT TO BE USED IN TACTICAL OPERATIONS. THEY WOULD ONLY BE USED BY SWORN OFFICERS FOR OFFICIAL REASONS. THE SIGHTS APPEAR TO BE FULLY OPERATION IN LIKE NEW CONDITION.</t>
  </si>
  <si>
    <t xml:space="preserve">
Sales Order #: 2281305455
RTD Screening Code: DOD
Reason for Rejection: Y9</t>
  </si>
  <si>
    <t>2YTG6G60301680</t>
  </si>
  <si>
    <t>TO PROVIDE COMMUNICATION EQUIPMENT TO FOR THE OFFICERS OF THE MAGNOLIA POLICE DEPARTMENT. THEY WOULD ONLY BE USED BY SWORN OFFICERS FOR OFFICIAL REASONS.</t>
  </si>
  <si>
    <t>2YTG6G60301679</t>
  </si>
  <si>
    <t>TO PROVIDE WEAPON MOUNTED LIGHTS TO THE OFFICERS OF THE MAGNOLIA POLICE DEPARTMENT. THEY WOULD ONLY BE USED BY SWORN OFFICERS FOR OFFICIAL REASONS.</t>
  </si>
  <si>
    <t xml:space="preserve">
Sales Order #: 2281043301
RTD Screening Code: DOD
Reason for Rejection: Y9</t>
  </si>
  <si>
    <t>2YTG6G60231081</t>
  </si>
  <si>
    <t>TO PROVIDE NIGHT VISION MOUNTS TO THE MEMBERS OF THE MAGNOLIA POLICE DEPARTMENT FOR USE IN SEARCH AND RESCUE AND TACTICAL OPERATIONS. THEY WILL ONLY BE USED BY SWORN OFFICERS FOR OFFICIAL REASONS.</t>
  </si>
  <si>
    <t xml:space="preserve">
Sales Order #: 2271509864
RTD Screening Code: DOD
Reason for Rejection: Y9</t>
  </si>
  <si>
    <t>2YTG6G60090120</t>
  </si>
  <si>
    <t>THE MADISONVILLE POLICE DEPARTMENT IS REQUESTING THIS VEHICLE FOR USE BY OUR OFFICERS. THIS VEHICLE WOULD BE USED FOR UNDERCOVER DRUG ENFORCEMENT, TRAFFIC ENFORCEMENT, AND GENERAL PATROL. DUE TO CURRENT BUDGET CONSTRAINTS WE ARE UNABLE TO PURCHASE MUCH NEEDED EQUIPMENT LIKE THIS UNIT. THANKS</t>
  </si>
  <si>
    <t xml:space="preserve">
Sales Order #: 2285870200
RTD Screening Code: DOD
Reason for Rejection: Y9</t>
  </si>
  <si>
    <t>2YTG5760866207</t>
  </si>
  <si>
    <t xml:space="preserve">
Sales Order #: 2285872640
RTD Screening Code: DOD
Reason for Rejection: Y9</t>
  </si>
  <si>
    <t>2YTG5760866203</t>
  </si>
  <si>
    <t>THE MADISONVILLE POLICE DEPARTMENT IS REQUESTING THIS TRAILER FOR USE BY OUR OFFICERS. THIS TRAILER COULD BE USED TO HAUL OUR MRAP, LARGE EVIDENCE, OR DISASTER RELIEF SUPPLIES IF NEEDED FOR DISASTERS. DUE TO BUDGET CONSTRAINTS WE ARE CURRENTLY UNABLE TO PURCHASE MUCH NEEDED EQUIPMENT LIKE THIS TRAILER. THANKS</t>
  </si>
  <si>
    <t xml:space="preserve">
Sales Order #: 2285179906
RTD Screening Code: DOD
Reason for Rejection: Y9</t>
  </si>
  <si>
    <t>2YTG5760654809</t>
  </si>
  <si>
    <t>THE MADISONVILLE POLICE DEPARTMENT IS REQUESTING THIS TRAILER FOR USE BY OUR OFFICERS. THIS TRAILER COULD BE USED TO MOVE OUR MRAP, LARGE EVIDENCE, AND HEAVY EQUIPMENT TO ACCIDENT SCENES. INFORMATION GATHERED FROM THE BASE IS THE UNIT LOOKS TO BE SERVICEABLE. DUE TO CURRENT BUDGET CONSTRAINTS WE ARE UNABLE TO PURCHASE VALUABLE EQUIPMENT LIKE THIS UNIT. THANKS</t>
  </si>
  <si>
    <t>2YTG5760512979</t>
  </si>
  <si>
    <t>THE MADISONVILLE POLICE DEPARTMENT IS REQUESTING THIS TRAILER FOR USE BY OUR OFFICERS. THIS TRAILER COULD BE SETUP ON OUR NEW SNIPER RANGE AS A MOBILE INDOOR INSTRUCTIONAL AREA AND SHELTER DURING INCLEMENT WEATHER. DUE TO BUDGET CONSTRAINTS WE ARE CURRENTLY UNABLE TO PURCHASE VALUABLE EQUIPMENT LIKE THIS TRAILER. THANKS</t>
  </si>
  <si>
    <t xml:space="preserve">
Sales Order #: 2282522535
RTD Screening Code: DOD
Reason for Rejection: Y9</t>
  </si>
  <si>
    <t>2YTG5760371965</t>
  </si>
  <si>
    <t>EMERGENCY POWER SOURCE FOR LAW ENFORCEMENT OPERATIONS.</t>
  </si>
  <si>
    <t>2YTG2E60443309</t>
  </si>
  <si>
    <t>LYMAN POLICE DEPARTMENT (2YTG2E)</t>
  </si>
  <si>
    <t>THE PRESSURE WASHER ENSURES DEPARTMENT VEHICLES REMAIN CLEAN AND WELL-MAINTAINED, IMPROVING VISIBILITY OF MARKINGS, PROFESSIONALISM, AND LONGEVITY OF EQUIPMENT. REGULAR CLEANING PREVENTS BUILDUP OF DIRT AND DEBRIS, SUPPORTS HYGIENE, AND MAINTAINS OPERATIONAL READINESS FOR PATROL AND EMERGENCY RESPONSE.</t>
  </si>
  <si>
    <t>2YTG1761007694</t>
  </si>
  <si>
    <t>2YTG1761007693</t>
  </si>
  <si>
    <t>A TRAILER IS ESSENTIAL FOR THE SHERIFFS DEPARTMENT TO SAFELY TRANSPORT EQUIPMENT, VEHICLES, AND EMERGENCY RESOURCES DURING OPERATIONS AND DISASTER RESPONSE. IT IMPROVES EFFICIENCY, REDUCES RELIANCE ON EXTERNAL AGENCIES, AND ENSURES RAPID DEPLOYMENT, ENHANCING PUBLIC SAFETY AND OPERATIONAL READINESS ACROSS THE COUNTY.</t>
  </si>
  <si>
    <t>2YTG1760936898</t>
  </si>
  <si>
    <t>2YTG1760936897</t>
  </si>
  <si>
    <t>A GROUND DETECTING METAL DETECTOR ENHANCES THE SHERIFFS DEPARTMENTS ABILITY TO LOCATE WEAPONS, SHELL CASINGS, AND OTHER CRITICAL EVIDENCE IN OUTDOOR ENVIRONMENTS. IT SUPPORTS INVESTIGATIONS, IMPROVES EVIDENCE RECOVERY, AND INCREASES OFFICER AND PUBLIC SAFETY BY IDENTIFYING HAZARDOUS ITEMS THAT MAY BE HIDDEN OR BURIED.</t>
  </si>
  <si>
    <t>2YTG1760867457</t>
  </si>
  <si>
    <t>GROMMETS ARE ESSENTIAL FOR REPAIRING TENTS AND TARPS, EXTENDING THEIR SERVICE LIFE AND MAINTAINING OPERATIONAL READINESS DURING DEPLOYMENTS. THEY ALSO ALLOW SECURE HANGING OF BANNERS AND PROMOTIONAL MATERIALS FOR FUNDRAISING EVENTS. THIS LOW-COST ITEM SUPPORTS BOTH FIELD OPERATIONS AND COMMUNITY ENGAGEMENT EFFORTS.</t>
  </si>
  <si>
    <t>GROMMET,NONMETALLIC</t>
  </si>
  <si>
    <t>2YTG1760866787</t>
  </si>
  <si>
    <t>THE SHERIFFS DEPARTMENT IS REQUESTING A UTILITY SIDE-BY-SIDE, MULE TO SUPPORT SEARCH AND RESCUE OPERATIONS. THE VEHICLE WOULD ALLOW DEPUTIES TO ACCESS REMOTE, WOODED, AND DIFFICULT TERRAIN QUICKLY WHILE TRANSPORTING PERSONNEL, MEDICAL EQUIPMENT, AND RESCUED INDIVIDUALS. THIS CAPABILITY WILL IMPROVE RESPONSE TIME, ENHANCE SAFETY FOR DEPUTIES AND VICTIMS, AND EXPAND OUR ABILITY TO CONDUCT EFFICIENT SEARCH AND RESCUE MISSIONS.</t>
  </si>
  <si>
    <t xml:space="preserve">
Sales Order #: 2285864873
RTD Screening Code: DOD
Reason for Rejection: Y9</t>
  </si>
  <si>
    <t>2YTG1760866441</t>
  </si>
  <si>
    <t>THE SHERIFFS DEPARTMENT REQUESTS THE ATV TO IMPROVE ACCESS TO AREAS THAT PATROL VEHICLES CANNOT REACH, INCLUDING TRAILS, WOODED AREAS, FIELDS, AND ROUGH TERRAIN. THE ATV WILL SUPPORT SEARCH AND RESCUE OPERATIONS, PATROL OF PARKS AND RURAL AREAS, AND EMERGENCY RESPONSE. THIS EQUIPMENT WILL ENHANCE MOBILITY, REDUCE RESPONSE TIMES, AND IMPROVE THE DEPARTMENTS ABILITY TO SAFELY SERVE THE COMMUNITY.</t>
  </si>
  <si>
    <t xml:space="preserve">
Sales Order #: 2285872632
RTD Screening Code: DOD
Reason for Rejection: Y9</t>
  </si>
  <si>
    <t>2YTG1760866191</t>
  </si>
  <si>
    <t xml:space="preserve">
Sales Order #: 2285872621
RTD Screening Code: DOD
Reason for Rejection: Y9</t>
  </si>
  <si>
    <t>2YTG1760866190</t>
  </si>
  <si>
    <t xml:space="preserve">
Sales Order #: 2285864891
RTD Screening Code: DOD
Reason for Rejection: Y9</t>
  </si>
  <si>
    <t>2YTG1760866189</t>
  </si>
  <si>
    <t>THE SHERIFFS DEPARTMENT REQUESTS THE TRAILERS TO SUPPORT TRANSPORTATION OF EQUIPMENT, VEHICLES, AND MATERIALS DURING OPERATIONS, TRAINING, AND EMERGENCY RESPONSE. TRAILERS WILL IMPROVE OPERATIONAL EFFICIENCY BY ALLOWING SAFE MOVEMENT OF TOOLS, BARRIERS, ATVS, AND OTHER RESOURCES WITHOUT TYING UP PATROL VEHICLES. THIS EQUIPMENT WILL ENHANCE RESPONSE CAPABILITY, LOGISTICAL SUPPORT, AND OVERALL MISSION READINESS.</t>
  </si>
  <si>
    <t xml:space="preserve">
Sales Order #: 2285864888
RTD Screening Code: DOD
Reason for Rejection: Y9</t>
  </si>
  <si>
    <t>2YTG1760866187</t>
  </si>
  <si>
    <t>THE SHERIFFS DEPARTMENT REQUESTS THE PURCHASE OF TRAILERS TO SUPPORT TRANSPORTATION OF EQUIPMENT, VEHICLES, AND MATERIALS DURING OPERATIONS, TRAINING, AND EMERGENCY RESPONSE. TRAILERS WILL IMPROVE OPERATIONAL EFFICIENCY BY ALLOWING SAFE MOVEMENT OF TOOLS, BARRIERS, ATVS, AND OTHER RESOURCES WITHOUT TYING UP PATROL VEHICLES. THIS EQUIPMENT WILL ENHANCE RESPONSE CAPABILITY, LOGISTICAL SUPPORT, AND OVERALL MISSION READINESS.</t>
  </si>
  <si>
    <t xml:space="preserve">
Sales Order #: 2285864898
RTD Screening Code: DOD
Reason for Rejection: Y9</t>
  </si>
  <si>
    <t>2YTG1760866185</t>
  </si>
  <si>
    <t>THE SHERIFFS DEPARTMENT REQUESTS A HUMVEE TO ENHANCE EMERGENCY RESPONSE AND PUBLIC SAFETY OPERATIONS. ITS OFF-ROAD CAPABILITY, DURABILITY, AND HIGH CLEARANCE ALLOW DEPUTIES TO ACCESS REMOTE AREAS, OPERATE DURING SEVERE WEATHER, ASSIST IN SEARCH AND RESCUE MISSIONS, AND RESPOND TO DISASTERS WHEN STANDARD PATROL VEHICLES CANNOT SAFELY OPERATE.</t>
  </si>
  <si>
    <t xml:space="preserve">
Sales Order #: 2285514995
RTD Screening Code: DOD
Reason for Rejection: BQ</t>
  </si>
  <si>
    <t>2YTG1760795890</t>
  </si>
  <si>
    <t>A HUMVEE WILL ENHANCE THE SHERIFFS DEPARTMENTS ABILITY TO RESPOND TO FLOODS, WILDFIRES, AND REMOTE-AREA EMERGENCIES. ITS HIGH CLEARANCE AND DURABILITY ALLOW SAFE TRANSPORT OF PERSONNEL AND EQUIPMENT IN CONDITIONS WHERE STANDARD VEHICLES CANNOT OPERATE, IMPROVING PUBLIC SAFETY AND EMERGENCY READINESS.</t>
  </si>
  <si>
    <t xml:space="preserve">
Sales Order #: 2285240969
RTD Screening Code: GSA
Reason for Rejection: YG</t>
  </si>
  <si>
    <t>2YTG1760795802</t>
  </si>
  <si>
    <t xml:space="preserve">
Sales Order #: 2285303472
RTD Screening Code: GSA
Reason for Rejection: Y9</t>
  </si>
  <si>
    <t>2YTG1760795730</t>
  </si>
  <si>
    <t>THE PICKUP TRUCK WILL SUPPORT SHERIFFS DEPARTMENT OPERATIONS BY PROVIDING RELIABLE TRANSPORTATION FOR PATROL, EMERGENCY RESPONSE, AND EQUIPMENT TRANSPORT. ITS DURABILITY AND OFF-ROAD CAPABILITY ALLOW DEPUTIES TO ACCESS RURAL AREAS, ACCIDENT SCENES, AND DISASTER SITES THAT STANDARD VEHICLES CANNOT REACH, IMPROVING RESPONSE TIMES, OPERATIONAL EFFICIENCY, AND PUBLIC SAFETY.</t>
  </si>
  <si>
    <t xml:space="preserve">
Sales Order #: 2285308409
RTD Screening Code: GSA
Reason for Rejection: Y9</t>
  </si>
  <si>
    <t>2YTG1760795698</t>
  </si>
  <si>
    <t>THE SHERIFFS DEPARTMENT REQUIRES A DEDICATED VEHICLE TO IMPROVE RESPONSE TIMES, ENHANCE PATROL COVERAGE, AND SUPPORT DAILY LAW ENFORCEMENT OPERATIONS. A RELIABLE VEHICLE ENSURES DEPUTIES CAN SAFELY TRANSPORT PERSONNEL, EQUIPMENT, AND DETAINEES WHILE MAINTAINING VISIBILITY IN THE COMMUNITY AND RESPONDING EFFECTIVELY TO EMERGENCIES AND PUBLIC SAFETY NEEDS.</t>
  </si>
  <si>
    <t xml:space="preserve">
Sales Order #: 2285168072
RTD Screening Code: DOD
Reason for Rejection: BQ</t>
  </si>
  <si>
    <t>2YTG1760795678</t>
  </si>
  <si>
    <t xml:space="preserve">
Sales Order #: 2285177791
RTD Screening Code: DOD
Reason for Rejection: Y9</t>
  </si>
  <si>
    <t>2YTG1760724903</t>
  </si>
  <si>
    <t xml:space="preserve">
Sales Order #: 2284558958
RTD Screening Code: DOD
Reason for Rejection: Y9</t>
  </si>
  <si>
    <t>2YTG1760654583</t>
  </si>
  <si>
    <t>THE SHERIFFS DEPARTMENT IS REQUESTING A UTV TO ENHANCE MOBILITY AND RESPONSE CAPABILITIES IN AREAS INACCESSIBLE TO STANDARD PATROL VEHICLES, INCLUDING PARKS, TRAILS, FLOOD ZONES, AND LARGE PUBLIC EVENTS. A UTV WILL IMPROVE SEARCH AND RESCUE OPERATIONS, DISASTER RESPONSE, AND SECURITY PATROLS, ALLOWING DEPUTIES TO RESPOND QUICKLY AND SAFELY WHILE PROTECTING PUBLIC SAFETY AND COUNTY PROPERTY.</t>
  </si>
  <si>
    <t xml:space="preserve">
Sales Order #: 2284558964
RTD Screening Code: DOD
Reason for Rejection: YH</t>
  </si>
  <si>
    <t>2YTG1760654412</t>
  </si>
  <si>
    <t xml:space="preserve">
Sales Order #: 2284558993
RTD Screening Code: DOD
Reason for Rejection: Y9</t>
  </si>
  <si>
    <t>2YTG1760654365</t>
  </si>
  <si>
    <t>2YTG1760654364</t>
  </si>
  <si>
    <t xml:space="preserve">
Sales Order #: 2284558927
RTD Screening Code: DOD
Reason for Rejection: Y9</t>
  </si>
  <si>
    <t>2YTG1760654359</t>
  </si>
  <si>
    <t>AN UNDERWATER VESSEL IS NECESSARY TO SUPPORT SEARCH AND RECOVERY OPERATIONS, EVIDENCE RETRIEVAL, WATER RESCUES, AND INSPECTIONS IN LAKES, RIVERS, AND FLOOD CONDITIONS. THIS CAPABILITY ENHANCES OFFICER SAFETY BY REDUCING DIVER RISK, IMPROVES OPERATIONAL EFFICIENCY, AND ENSURES TIMELY RESPONSE DURING EMERGENCIES, INVESTIGATIONS, AND DISASTER INCIDENTS WITHIN THE COUNTY.</t>
  </si>
  <si>
    <t xml:space="preserve">
Sales Order #: 2284072072
RTD Screening Code: DOD
Reason for Rejection: BQ</t>
  </si>
  <si>
    <t>2YTG1760583771</t>
  </si>
  <si>
    <t xml:space="preserve">
Sales Order #: 2284072076
RTD Screening Code: DOD
Reason for Rejection: Y9</t>
  </si>
  <si>
    <t>2YTG1760583746</t>
  </si>
  <si>
    <t xml:space="preserve">
Sales Order #: 2283429788
RTD Screening Code: DOD
Reason for Rejection: Y9</t>
  </si>
  <si>
    <t>2YTG1760583613</t>
  </si>
  <si>
    <t xml:space="preserve">
Sales Order #: 2283345200
RTD Screening Code: DOD
Reason for Rejection: Y9</t>
  </si>
  <si>
    <t>2YTG1760583531</t>
  </si>
  <si>
    <t xml:space="preserve">
Sales Order #: 2283347231
RTD Screening Code: DOD
Reason for Rejection: Y9</t>
  </si>
  <si>
    <t>2YTG1760442739</t>
  </si>
  <si>
    <t xml:space="preserve">
Sales Order #: 2283344024
RTD Screening Code: DOD
Reason for Rejection: Y9</t>
  </si>
  <si>
    <t>2YTG1760442738</t>
  </si>
  <si>
    <t>COLD WEATHER UNDERSHIRTS ARE NECESSARY FOR THE SHERIFFS DEPARTMENT TO KEEP DEPUTIES WARM DURING WINTER OPERATIONS AND EXTENDED OUTDOOR ASSIGNMENTS. THEY HELP REGULATE BODY TEMPERATURE PREVENT COLD RELATED INJURIES AND IMPROVE COMFORT AND ENDURANCE ALLOWING DEPUTIES TO REMAIN EFFECTIVE SAFE AND FOCUSED WHILE ON DUTY.</t>
  </si>
  <si>
    <t xml:space="preserve">
Sales Order #: 2283347235
RTD Screening Code: DOD
Reason for Rejection: Y9</t>
  </si>
  <si>
    <t>2YTG1760442737</t>
  </si>
  <si>
    <t xml:space="preserve">
Sales Order #: 2283314655
RTD Screening Code: DOD
Reason for Rejection: Y9</t>
  </si>
  <si>
    <t>2YTG1760442622</t>
  </si>
  <si>
    <t xml:space="preserve">
Sales Order #: 2283314686
RTD Screening Code: DOD
Reason for Rejection: Y9</t>
  </si>
  <si>
    <t>2YTG1760442619</t>
  </si>
  <si>
    <t xml:space="preserve">
Sales Order #: 2283314645
RTD Screening Code: DOD
Reason for Rejection: Y9</t>
  </si>
  <si>
    <t>2YTG1760442617</t>
  </si>
  <si>
    <t xml:space="preserve">
Sales Order #: 2283314667
RTD Screening Code: DOD
Reason for Rejection: Y9</t>
  </si>
  <si>
    <t>2YTG1760442616</t>
  </si>
  <si>
    <t xml:space="preserve">
Sales Order #: 2283314664
RTD Screening Code: DOD
Reason for Rejection: Y9</t>
  </si>
  <si>
    <t>2YTG1760442615</t>
  </si>
  <si>
    <t xml:space="preserve">
Sales Order #: 2283314640
RTD Screening Code: DOD
Reason for Rejection: Y9</t>
  </si>
  <si>
    <t>2YTG1760442610</t>
  </si>
  <si>
    <t xml:space="preserve">
Sales Order #: 2283314653
RTD Screening Code: DOD
Reason for Rejection: Y9</t>
  </si>
  <si>
    <t>2YTG1760442609</t>
  </si>
  <si>
    <t xml:space="preserve">
Sales Order #: 2283314693
RTD Screening Code: DOD
Reason for Rejection: Y9</t>
  </si>
  <si>
    <t>2YTG1760442606</t>
  </si>
  <si>
    <t>2YTG1760372262</t>
  </si>
  <si>
    <t>ALLEN KEYS ARE ESSENTIAL TOOLS FOR THE SHERIFFS DEPARTMENT TO ASSEMBLE, ADJUST, AND MAINTAIN EQUIPMENT SUCH AS RESTRAINTS, FIREARM ACCESSORIES, OFFICE FURNITURE, AND SECURITY FIXTURES. HAVING A DEDICATED SET ENSURES TIMELY REPAIRS, REDUCES EQUIPMENT DOWNTIME, AND ALLOWS DEPUTIES TO SAFELY AND PROPERLY MAINTAIN ISSUED GEAR WITHOUT RELYING ON OUTSIDE RESOURCES.</t>
  </si>
  <si>
    <t xml:space="preserve">
Sales Order #: 2282252862
RTD Screening Code: DOD
Reason for Rejection: Y9</t>
  </si>
  <si>
    <t>2YTG1760372206</t>
  </si>
  <si>
    <t>THE CROWBAR IS A NECESSARY TOOL FOR THE SHERIFFS DEPARTMENT TO SAFELY AND EFFICIENTLY GAIN ACCESS DURING EMERGENCIES, SERVE COURT ORDERS, AND ASSIST IN RESCUES WHERE DOORS OR BARRIERS ARE SECURED. HAVING THIS TOOL READILY AVAILABLE REDUCES RESPONSE TIME, MINIMIZES PROPERTY DAMAGE WHEN COMPARED TO IMPROVISED METHODS, AND ENHANCES DEPUTY SAFETY DURING CRITICAL INCIDENTS.</t>
  </si>
  <si>
    <t xml:space="preserve">
Sales Order #: 2282252879
RTD Screening Code: DOD
Reason for Rejection: Y9</t>
  </si>
  <si>
    <t>2YTG1760372205</t>
  </si>
  <si>
    <t xml:space="preserve">
Sales Order #: 2282252902
RTD Screening Code: DOD
Reason for Rejection: Y9</t>
  </si>
  <si>
    <t>2YTG1760372053</t>
  </si>
  <si>
    <t>COLD WEATHER SHIRTS ARE ESSENTIAL FOR SHERIFFS DEPARTMENT PERSONNEL OPERATING IN LOW-TEMPERATURE ENVIRONMENTS. THEY PROVIDE INSULATION AND MOISTURE CONTROL TO HELP MAINTAIN BODY HEAT AND COMFORT DURING EXTENDED OUTDOOR DUTIES. PROPER COLD WEATHER APPAREL ENHANCES OFFICER SAFETY, ENDURANCE, AND OPERATIONAL EFFECTIVENESS WHILE REDUCING THE RISK OF COLD-RELATED INJURIES.</t>
  </si>
  <si>
    <t xml:space="preserve">
Sales Order #: 2282252894
RTD Screening Code: DOD
Reason for Rejection: Y9</t>
  </si>
  <si>
    <t>2YTG1760372051</t>
  </si>
  <si>
    <t>COLD WEATHER DRAWERS ARE ESSENTIAL FOR SHERIFFS DEPARTMENT PERSONNEL WORKING IN LOW-TEMPERATURE CONDITIONS. THEY PROVIDE AN INSULATING BASE LAYER THAT HELPS RETAIN BODY HEAT, REGULATE TEMPERATURE, AND PREVENT COLD-RELATED INJURIES. PROPER THERMAL UNDERGARMENTS IMPROVE COMFORT, ENDURANCE, AND OPERATIONAL EFFECTIVENESS DURING EXTENDED OUTDOOR ASSIGNMENTS AND EMERGENCY RESPONSES.</t>
  </si>
  <si>
    <t xml:space="preserve">
Sales Order #: 2282252870
RTD Screening Code: DOD
Reason for Rejection: Y9</t>
  </si>
  <si>
    <t>2YTG1760372050</t>
  </si>
  <si>
    <t xml:space="preserve">
Sales Order #: 2282252873
RTD Screening Code: DOD
Reason for Rejection: Y9</t>
  </si>
  <si>
    <t>2YTG1760372049</t>
  </si>
  <si>
    <t xml:space="preserve">
Sales Order #: 2282252884
RTD Screening Code: DOD
Reason for Rejection: Y9</t>
  </si>
  <si>
    <t>2YTG1760372048</t>
  </si>
  <si>
    <t xml:space="preserve">
Sales Order #: 2282252886
RTD Screening Code: DOD
Reason for Rejection: Y9</t>
  </si>
  <si>
    <t>2YTG1760372046</t>
  </si>
  <si>
    <t>BIVY COVERS PROVIDE CRITICAL PROTECTION FOR SHERIFFS DEPARTMENT PERSONNEL DURING EXTENDED OPERATIONS, SEARCHES, DISASTER RESPONSE, OR EMERGENCY SHELTER SITUATIONS. THEY PROTECT AGAINST WIND, RAIN, AND COLD, HELPING MAINTAIN BODY TEMPERATURE AND PREVENT EXPOSURE-RELATED INJURIES. BIVY COVERS ENHANCE OFFICER SAFETY, OPERATIONAL ENDURANCE, AND READINESS IN AUSTERE OR UNPREDICTABLE ENVIRONMENTS.</t>
  </si>
  <si>
    <t xml:space="preserve">
Sales Order #: 2282252858
RTD Screening Code: DOD
Reason for Rejection: Y9</t>
  </si>
  <si>
    <t>2YTG1760372038</t>
  </si>
  <si>
    <t>LIFE PRESERVERS ARE ESSENTIAL SAFETY EQUIPMENT FOR SHERIFFS DEPARTMENT PERSONNEL WHO OPERATE NEAR RIVERS, LAKES, FLOOD ZONES, OR WATERWAYS. THEY REDUCE THE RISK OF DROWNING DURING RESCUES, PATROLS, TRANSPORTS, AND EMERGENCY RESPONSES, ENSURING DEPUTY SAFETY AND ENHANCING THE DEPARTMENTS ABILITY TO RESPOND EFFECTIVELY TO WATER RELATED INCIDENTS WHILE PROTECTING LIVES.</t>
  </si>
  <si>
    <t xml:space="preserve">
Sales Order #: 2282252889
RTD Screening Code: DOD
Reason for Rejection: Y9</t>
  </si>
  <si>
    <t>2YTG1760372036</t>
  </si>
  <si>
    <t>A BATTERY CHARGER IS NECESSARY FOR THE SHERIFFS DEPARTMENT TO ENSURE VEHICLES RADIOS EMERGENCY LIGHTING AND OTHER CRITICAL EQUIPMENT REMAIN OPERATIONAL. HAVING AN IN HOUSE CHARGER REDUCES DOWNTIME SUPPORTS EMERGENCY READINESS AND ALLOWS STAFF TO MAINTAIN EQUIPMENT WITHOUT RELYING ON OUTSIDE VENDORS ENSURING RELIABLE SERVICE DURING ROUTINE OPERATIONS AND EMERGENCIES</t>
  </si>
  <si>
    <t>2YTG1760332510</t>
  </si>
  <si>
    <t>PALLET JACKS ARE NECESSARY FOR THE SHERIFFS DEPARTMENT TO SAFELY AND EFFICIENTLY MOVE HEAVY EQUIPMENT SUPPLIES AND SEIZED PROPERTY WITHIN FACILITIES AND STORAGE AREAS. THEY REDUCE THE RISK OF EMPLOYEE INJURY PREVENT DAMAGE TO COUNTY PROPERTY AND IMPROVE OPERATIONAL EFFICIENCY BY ALLOWING STAFF TO TRANSPORT LOADS WITHOUT REQUIRING ADDITIONAL MANPOWER OR EXTERNAL ASSISTANCE.</t>
  </si>
  <si>
    <t>PALLET JACK</t>
  </si>
  <si>
    <t>DSPALLETJ</t>
  </si>
  <si>
    <t>2YTG1760332509</t>
  </si>
  <si>
    <t xml:space="preserve">
Sales Order #: 2282252859
RTD Screening Code: DOD
Reason for Rejection: Z2</t>
  </si>
  <si>
    <t>2YTG1760302271</t>
  </si>
  <si>
    <t xml:space="preserve">
Sales Order #: 2282252880
RTD Screening Code: DOD
Reason for Rejection: Z2</t>
  </si>
  <si>
    <t>2YTG1760302269</t>
  </si>
  <si>
    <t xml:space="preserve">
Sales Order #: 2282252883
RTD Screening Code: DOD
Reason for Rejection: Z2</t>
  </si>
  <si>
    <t>MITTEN SHELLS,EXTREME COLD WEATHER</t>
  </si>
  <si>
    <t>2YTG1760302267</t>
  </si>
  <si>
    <t xml:space="preserve">
Sales Order #: 2282049430
RTD Screening Code: DOD
Reason for Rejection: Y9</t>
  </si>
  <si>
    <t>2YTG1760301611</t>
  </si>
  <si>
    <t xml:space="preserve">
Sales Order #: 2281343561
RTD Screening Code: DOD
Reason for Rejection: Y9</t>
  </si>
  <si>
    <t>2YTG1760301609</t>
  </si>
  <si>
    <t xml:space="preserve">
Sales Order #: 2281343568
RTD Screening Code: GSA
Reason for Rejection: Y9</t>
  </si>
  <si>
    <t>2YTG1760301606</t>
  </si>
  <si>
    <t>A SHOP VACUUM IS NECESSARY FOR THE SHERIFFS DEPARTMENT TO MAINTAIN CLEAN AND SAFE WORK AREAS, VEHICLES, AND EQUIPMENT. IT SUPPORTS ROUTINE MAINTENANCE, EVIDENCE AREA CLEANLINESS, AND CLEANUP AFTER EMERGENCIES OR FACILITY ISSUES SUCH AS WATER LEAKS OR DEBRIS. PROPER CLEANING EQUIPMENT HELPS PREVENT DAMAGE, REDUCES SAFETY HAZARDS, AND SUPPORTS EFFICIENT DAILY OPERATIONS.</t>
  </si>
  <si>
    <t xml:space="preserve">
Sales Order #: 2282049439
RTD Screening Code: DOD
Reason for Rejection: Y9</t>
  </si>
  <si>
    <t>2YTG1760301604</t>
  </si>
  <si>
    <t>THE CAMOUFLAGE NET SYSTEM WITH RADAR SCATTERING CAPABILITY ENHANCES OPERATIONAL SAFETY AND EFFECTIVENESS BY REDUCING VISUAL AND RADAR DETECTION DURING TACTICAL OPERATIONS AND EMERGENCY DEPLOYMENTS. THIS SYSTEM SUPPORTS SURVEILLANCE, PERIMETER SECURITY, AND EQUIPMENT CONCEALMENT IN HIGH-RISK OR SENSITIVE ENVIRONMENTS, HELPING PROTECT PERSONNEL, PRESERVE OPERATIONAL INTEGRITY, AND ENSURE MISSION SUCCESS WHILE MINIMIZING EXPOSURE.</t>
  </si>
  <si>
    <t xml:space="preserve">
Sales Order #: 2281343554
RTD Screening Code: DOD
Reason for Rejection: Y9</t>
  </si>
  <si>
    <t>2YTG1760301598</t>
  </si>
  <si>
    <t>A FIELD BAG IS NECESSARY TO SAFELY CARRY AND ORGANIZE ESSENTIAL DUTY EQUIPMENT SUCH AS GLOVES, MEDICAL SUPPLIES, PAPERWORK, AND PROTECTIVE GEAR. IT ALLOWS DEPUTIES TO RESPOND EFFICIENTLY TO INCIDENTS, MAINTAIN READINESS IN THE FIELD, AND REDUCE EQUIPMENT LOSS OR DAMAGE. PROPER STORAGE SUPPORTS OFFICER SAFETY, OPERATIONAL EFFICIENCY, AND PROFESSIONALISM DURING DAILY AND EMERGENCY OPERATIONS.</t>
  </si>
  <si>
    <t xml:space="preserve">
Sales Order #: 2282169861
RTD Screening Code: RTD2
Reason for Rejection: Y9</t>
  </si>
  <si>
    <t>2YTG1760292359</t>
  </si>
  <si>
    <t xml:space="preserve">
Sales Order #: 2280363899
RTD Screening Code: DOD
Reason for Rejection: BQ</t>
  </si>
  <si>
    <t>2YTG1760230933</t>
  </si>
  <si>
    <t xml:space="preserve">
Sales Order #: 2280363898
RTD Screening Code: DOD
Reason for Rejection: YF</t>
  </si>
  <si>
    <t>2YTG1760230931</t>
  </si>
  <si>
    <t xml:space="preserve">
Sales Order #: 2280363883
RTD Screening Code: DOD
Reason for Rejection: YF</t>
  </si>
  <si>
    <t>2YTG1760230930</t>
  </si>
  <si>
    <t xml:space="preserve">
Sales Order #: 2280363869
RTD Screening Code: DOD
Reason for Rejection: YF</t>
  </si>
  <si>
    <t>2YTG1760230929</t>
  </si>
  <si>
    <t xml:space="preserve">
Sales Order #: 2280363890
RTD Screening Code: DOD
Reason for Rejection: YF</t>
  </si>
  <si>
    <t>2YTG1760230928</t>
  </si>
  <si>
    <t xml:space="preserve">
Sales Order #: 2280363878
RTD Screening Code: DOD
Reason for Rejection: YF</t>
  </si>
  <si>
    <t>2YTG1760230927</t>
  </si>
  <si>
    <t>A SPACE HEATER IS NECESSARY TO PROVIDE SAFE AND ADEQUATE WARMTH IN DESIGNATED WORK AREAS DURING COLD WEATHER WHEN BUILDING HEAT IS INSUFFICIENT OR UNAVAILABLE. MAINTAINING PROPER TEMPERATURES SUPPORTS EMPLOYEE SAFETY, HEALTH, AND PRODUCTIVITY, PREVENTS EQUIPMENT ISSUES RELATED TO COLD CONDITIONS, AND ENSURES CONTINUITY OF SHERIFFS DEPARTMENT OPERATIONS.</t>
  </si>
  <si>
    <t xml:space="preserve">
Sales Order #: 2281728324
RTD Screening Code: DOD
Reason for Rejection: YH</t>
  </si>
  <si>
    <t>2YTG1760161096</t>
  </si>
  <si>
    <t>A TREADMILL SUPPORTS DEPUTY FITNESS AND READINESS BY ALLOWING YEAR-ROUND CARDIOVASCULAR TRAINING REGARDLESS OF WEATHER OR SHIFT SCHEDULES. MAINTAINING PHYSICAL FITNESS IMPROVES ENDURANCE, REDUCES INJURY RISK, SUPPORTS DEFENSIVE TACTICS PERFORMANCE, AND ENSURES DEPUTIES ARE PHYSICALLY PREPARED TO SAFELY AND EFFECTIVELY PERFORM THEIR DUTIES.</t>
  </si>
  <si>
    <t xml:space="preserve">
Sales Order #: 2270276998
RTD Screening Code: DOD
Reason for Rejection: YH</t>
  </si>
  <si>
    <t>2YTG1760090491</t>
  </si>
  <si>
    <t xml:space="preserve">
Sales Order #: 2273684195
RTD Screening Code: DOD
Reason for Rejection: YH</t>
  </si>
  <si>
    <t>2YTG1760090108</t>
  </si>
  <si>
    <t xml:space="preserve">
Sales Order #: 2273684190
RTD Screening Code: DOD
Reason for Rejection: YH</t>
  </si>
  <si>
    <t>2YTG1760020109</t>
  </si>
  <si>
    <t xml:space="preserve">
Sales Order #: 2273684198
RTD Screening Code: DOD
Reason for Rejection: YH</t>
  </si>
  <si>
    <t>2YTG1760020106</t>
  </si>
  <si>
    <t>PROVIDING BIVY COVERS FOR DEPUTIES OFFERS COMPACT, WEATHER-RESISTANT SHELTER DURING EXTENDED FIELD OPERATIONS, EMERGENCIES, OR TRAINING. BIVY COVERS PROTECT AGAINST RAIN, WIND, AND COLD, SUPPORT REST AND RECOVERY, AND ENSURE DEPUTIES REMAIN SAFE, HEALTHY, AND OPERATIONALLY READY IN CHALLENGING OUTDOOR CONDITIONS.</t>
  </si>
  <si>
    <t>2YTG1760010317</t>
  </si>
  <si>
    <t>PROVIDING SLEEPING MATS AND TENTS ENSURES DEPUTIES HAVE SAFE, DRY, AND COMFORTABLE REST DURING EXTENDED OPERATIONS, TRAINING, OR EMERGENCY DEPLOYMENTS. THESE ITEMS PROTECT AGAINST HARSH WEATHER, REDUCE FATIGUE, MAINTAIN HEALTH AND READINESS, AND ALLOW DEPUTIES TO PERFORM DUTIES EFFECTIVELY DURING PROLONGED FIELD ASSIGNMENTS.</t>
  </si>
  <si>
    <t>SHELTER,ICS IMPROVE</t>
  </si>
  <si>
    <t>2YTG1760010316</t>
  </si>
  <si>
    <t>2YTG1760010315</t>
  </si>
  <si>
    <t>2YTG1760010314</t>
  </si>
  <si>
    <t>PROVIDING PONCHOS FOR DEPUTIES PROTECTS THEM FROM RAIN AND ADVERSE WEATHER DURING PATROLS, EMERGENCIES, AND OUTDOOR OPERATIONS. PONCHOS KEEP DEPUTIES DRY, MAINTAIN COMFORT AND MOBILITY, REDUCE RISK OF COLD-RELATED ILLNESS, AND ENSURE THEY CAN PERFORM DUTIES SAFELY AND EFFECTIVELY IN ALL WEATHER CONDITIONS.</t>
  </si>
  <si>
    <t>2YTG1760010313</t>
  </si>
  <si>
    <t>2YTG1760010312</t>
  </si>
  <si>
    <t>PROVIDING DUTY BOOTS FOR DEPUTIES IS ESSENTIAL TO ENSURE SAFETY, MOBILITY, AND COMFORT DURING DAILY PATROLS AND EMERGENCY OPERATIONS. PROPER BOOTS PROVIDE TRACTION, ANKLE SUPPORT, AND PROTECTION FROM HAZARDS, REDUCE FATIGUE AND INJURY RISK, AND ENABLE DEPUTIES TO PERFORM THEIR DUTIES EFFECTIVELY IN VARIED AND DEMANDING ENVIRONMENTS.</t>
  </si>
  <si>
    <t>2YTG1760010311</t>
  </si>
  <si>
    <t>2YTG1760010310</t>
  </si>
  <si>
    <t>2YTG1760010309</t>
  </si>
  <si>
    <t>PROVIDING STUFF SACKS FOR DEPUTIES ALLOWS ORGANIZED, COMPACT STORAGE OF GEAR, CLOTHING, AND EQUIPMENT DURING PATROLS, TRAINING, AND DEPLOYMENTS. THEY PROTECT ITEMS FROM WEATHER, SIMPLIFY TRANSPORT, AND ENSURE DEPUTIES CAN QUICKLY ACCESS ESSENTIAL SUPPLIES, ENHANCING EFFICIENCY, READINESS, AND OPERATIONAL EFFECTIVENESS IN THE FIELD.</t>
  </si>
  <si>
    <t>STUFF,SACK</t>
  </si>
  <si>
    <t>2YTG1760010308</t>
  </si>
  <si>
    <t>2YTG1760010307</t>
  </si>
  <si>
    <t>PROVIDING DRINKING SYSTEMS FOR DEPUTIES ENSURES PROPER HYDRATION DURING EXTENDED PATROLS, TRAINING, AND EMERGENCY OPERATIONS. HANDS-FREE HYDRATION REDUCES FATIGUE, PREVENTS HEAT-RELATED ILLNESSES, AND ALLOWS DEPUTIES TO REMAIN ALERT AND OPERATIONAL WITHOUT INTERRUPTING DUTIES, SUPPORTING HEALTH, SAFETY, AND SUSTAINED PERFORMANCE IN ALL CONDITIONS.</t>
  </si>
  <si>
    <t>DRINKING SYSTEM</t>
  </si>
  <si>
    <t>2YTG1760010306</t>
  </si>
  <si>
    <t>PROVIDING OVERALLS FOR DEPUTIES SUPPORTS SPECIALIZED DUTIES SUCH AS VEHICLE RECOVERY, EQUIPMENT MAINTENANCE, TRAINING, AND EMERGENCY OPERATIONS. OVERALLS PROTECT UNIFORMS FROM DAMAGE, PROVIDE ADDED DURABILITY AND COVERAGE, AND ALLOW DEPUTIES TO PERFORM DIRTY OR HAZARDOUS TASKS SAFELY WHILE MAINTAINING READINESS AND PRESERVING STANDARD DUTY UNIFORMS.</t>
  </si>
  <si>
    <t>2YTG1760010305</t>
  </si>
  <si>
    <t>PROVIDING SHORTS TRUNKS FOR DEPUTIES SUPPORTS PHYSICAL TRAINING, WATER-BASED OPERATIONS, AND WARM-WEATHER ACTIVITIES. PROPER ATTIRE IMPROVES COMFORT, MOBILITY, AND HYGIENE, REDUCES HEAT-RELATED STRESS, AND ENSURES DEPUTIES ARE APPROPRIATELY EQUIPPED TO SAFELY AND EFFECTIVELY PERFORM TRAINING EXERCISES AND OPERATIONAL DUTIES IN HOT OR AQUATIC ENVIRONMENTS.</t>
  </si>
  <si>
    <t>TRUNKS,GENERAL PURP TYPE 1, 6 INCH</t>
  </si>
  <si>
    <t>2YTG1760010304</t>
  </si>
  <si>
    <t>PROVIDING TARPAULINS FOR DEPUTIES SUPPORTS EMERGENCY RESPONSE, CRIME SCENE PROTECTION, AND FIELD OPERATIONS. TARPS CAN BE USED FOR TEMPORARY SHELTER, EQUIPMENT PROTECTION, WEATHER MITIGATION, AND PRESERVING EVIDENCE. THEY ENHANCE OPERATIONAL FLEXIBILITY, PROTECT PERSONNEL AND RESOURCES, AND HELP MAINTAIN SAFETY AND EFFECTIVENESS DURING INCIDENTS AND ADVERSE CONDITIONS.</t>
  </si>
  <si>
    <t>2YTG1760010303</t>
  </si>
  <si>
    <t>2YTG1760010302</t>
  </si>
  <si>
    <t>2YTG1760010301</t>
  </si>
  <si>
    <t>PROVIDING ASSAULT BAGS FOR DEPUTIES ALLOWS THEM TO CARRY CRITICAL MEDICAL, TACTICAL, AND EMERGENCY EQUIPMENT DURING ACTIVE INCIDENTS AND HIGH-RISK OPERATIONS. THESE BAGS IMPROVE RESPONSE TIME, ORGANIZATION, AND READINESS, ENSURING DEPUTIES HAVE IMMEDIATE ACCESS TO LIFESAVING SUPPLIES AND ESSENTIAL GEAR TO PROTECT THE PUBLIC AND THEMSELVES.</t>
  </si>
  <si>
    <t>2YTG1760010300</t>
  </si>
  <si>
    <t>PROVIDING COLD WEATHER GEAR FOR DEPUTIES IS ESSENTIAL TO PROTECT THEM FROM EXTREME TEMPERATURES, WIND, AND SEVERE WINTER CONDITIONS. PROPER GEAR REDUCES THE RISK OF HYPOTHERMIA AND COLD-RELATED INJURIES, MAINTAINS MOBILITY AND ALERTNESS, AND ENSURES DEPUTIES CAN SAFELY AND EFFECTIVELY PERFORM THEIR DUTIES DURING PROLONGED OUTDOOR OPERATIONS AND EMERGENCIES.</t>
  </si>
  <si>
    <t>OVERALLS,COLD WEATH</t>
  </si>
  <si>
    <t>2YTG1760010299</t>
  </si>
  <si>
    <t>2YTG1760010298</t>
  </si>
  <si>
    <t>2YTG1760010297</t>
  </si>
  <si>
    <t>2YTG1760010296</t>
  </si>
  <si>
    <t>PROVIDING PARKAS FOR DEPUTIES IS ESSENTIAL TO PROTECT THEM FROM EXTREME COLD, WIND, AND SEVERE WEATHER DURING PATROLS AND EMERGENCY RESPONSES. PROPER COLD-WEATHER GEAR REDUCES RISK OF HYPOTHERMIA AND INJURY, MAINTAINS COMFORT AND MOBILITY, AND ENSURES DEPUTIES CAN PERFORM THEIR DUTIES SAFELY, EFFECTIVELY, AND WITHOUT INTERRUPTION IN HARSH CONDITIONS.</t>
  </si>
  <si>
    <t>LINER,PARKA,WORKING</t>
  </si>
  <si>
    <t>2YTG1760010295</t>
  </si>
  <si>
    <t>2YTG1760010294</t>
  </si>
  <si>
    <t>2YTG1760010293</t>
  </si>
  <si>
    <t>2YTG1760010292</t>
  </si>
  <si>
    <t>PROVIDING GLOVES FOR DEPUTIES IS ESSENTIAL TO PROTECT HANDS FROM INJURY, EXTREME TEMPERATURES, SHARP OBJECTS, AND EXPOSURE TO BLOODBORNE PATHOGENS AND HAZARDOUS MATERIALS. PROPER GLOVES ENHANCE OFFICER SAFETY, IMPROVE GRIP AND CONTROL, REDUCE RISK OF CONTAMINATION, AND SUPPORT DEPUTIES IN SAFELY PERFORMING DAILY DUTIES AND EMERGENCY OPERATIONS.</t>
  </si>
  <si>
    <t>2YTG1760010291</t>
  </si>
  <si>
    <t>2YTG1760010290</t>
  </si>
  <si>
    <t>2YTG1760010289</t>
  </si>
  <si>
    <t>PROVIDING TENTS FOR DEPUTIES ENSURES SAFE SHELTER DURING EXTENDED OPERATIONS, EMERGENCIES, TRAINING, AND DISASTER RESPONSE. TENTS PROTECT DEPUTIES FROM EXTREME WEATHER, REDUCE FATIGUE, SUPPORT OPERATIONAL READINESS, AND ALLOW PERSONNEL TO REMAIN DEPLOYED IN THE FIELD FOR LONGER PERIODS WHILE MAINTAINING HEALTH, SAFETY, AND EFFECTIVENESS.</t>
  </si>
  <si>
    <t>SHELTER HALF,TENT</t>
  </si>
  <si>
    <t>2YTG1760010288</t>
  </si>
  <si>
    <t>SMALL ALABAMA SHERIFF'S OFFICE WITH MINIMAL BUDGET FOR SPECIAL OPERATIONS. CURRENTLY NO NIGHT VISION AVAILABLE FOR TACTICAL TEAM. WILLING TO PICK UP OR PAY FOR SHIPPING.</t>
  </si>
  <si>
    <t>2YTGZ860867512</t>
  </si>
  <si>
    <t>LOWNDES COUNTY SHERIFF DEPT (2YTGZ8)</t>
  </si>
  <si>
    <t>LOWER ALLEN TOWNSHIP POLICE ARE REQUESTING THESE TOOL KITS FOR MAINTENANCE USE ON OUR PATROL VEHICLES.  ADDITIONALLY, WE FREQUENTLY USE TOOLS ON ACCIDENT SCENES, DISABLED VEHICLES, HOUSE CHECKS, AND TRAFFIC STOPS IN REMOVAL OF BUMPERS, CHANGING TIRES, DOOR REMOVAL, SEIZING PLATES, ETC...</t>
  </si>
  <si>
    <t xml:space="preserve">
Sales Order #: 2285840387
RTD Screening Code: DOD
Reason for Rejection: Y9</t>
  </si>
  <si>
    <t>2YTGZM60866712</t>
  </si>
  <si>
    <t xml:space="preserve">
Sales Order #: 2285840398
RTD Screening Code: DOD
Reason for Rejection: Y9</t>
  </si>
  <si>
    <t>2YTGZM60866711</t>
  </si>
  <si>
    <t>LOWER ALLEN PD SEEKS THIS ATV FOR EMERGENCY RESCUE OPERATIONS IN OUR EXTENSIVE PARK AND CREEK SYSTEM. GIVEN PAST DROWNINGS AND LIMITED ACCESS CHALLENGES, THIS WOULD ALLOW FOR RAPID RESPONSE ACROSS TERRAINS, IMPROVING RESCUE CHANCES, SEARCH CAPABILITIES, AND OFFICER SAFETY.</t>
  </si>
  <si>
    <t xml:space="preserve">
Sales Order #: 2285840400
RTD Screening Code: DOD
Reason for Rejection: Y9</t>
  </si>
  <si>
    <t>2YTGZM60866707</t>
  </si>
  <si>
    <t xml:space="preserve">
Sales Order #: 2285840409
RTD Screening Code: DOD
Reason for Rejection: Y9</t>
  </si>
  <si>
    <t>2YTGZM60866706</t>
  </si>
  <si>
    <t>LOWER ALLEN TOWNSHIP POLICE DEPARTMENT IS SEEKING ONE OF THESE CONTAINERS TO UTILIZE AS A SECURE OVERFLOW PROPERTY STORAGE AREA.</t>
  </si>
  <si>
    <t xml:space="preserve">
Sales Order #: 2285840392
RTD Screening Code: DOD
Reason for Rejection: Y9</t>
  </si>
  <si>
    <t>20 FT SHIPPING CONTAINER</t>
  </si>
  <si>
    <t>DSFRTCO20</t>
  </si>
  <si>
    <t>2YTGZM60866641</t>
  </si>
  <si>
    <t>LOWER ALLEN TOWNSHIP POLICE DEPARTMENT IS SEEKING THIS ITEM FOR UTILIZATION OF OUR ACQUIRED PACKS FOR TACTICAL TEAM OPERATION, SPECIFICALLY FOR OUR TASK FORCE OFFICERS TO CARRY THEIR VARIOUS EQUIPMENT ON DUTY.</t>
  </si>
  <si>
    <t xml:space="preserve">
Sales Order #: 2285942621
RTD Screening Code: DOD
Reason for Rejection: Y9</t>
  </si>
  <si>
    <t>FRAME,PACK,MOLLE</t>
  </si>
  <si>
    <t>2YTGZM60866639</t>
  </si>
  <si>
    <t>LOWER ALLEN TOWNSHIP POLICE DEPT. IS REQUESTING ONE OF THESE 20 FT SHIPPING CONTAINERS FOR THE SPECIFIC USE OF SECURELY HOUSING OVERFLOW EVIDENCE AND BULK PROPERTY, AS WE ARE EXPERIENCING CURRENT STORAGE LIMITATIONS.  LOOKING FOR ONE IN DECENT SHAPE AND ABLE TO BE SECURED WITH LOCK AND KEY.</t>
  </si>
  <si>
    <t xml:space="preserve">
Sales Order #: 2285179860
RTD Screening Code: DOD
Reason for Rejection: Y9</t>
  </si>
  <si>
    <t>2YTGZM60725233</t>
  </si>
  <si>
    <t>THE ITEM IS REQUESTED BY THE LORIS POLICE DEPARTMENT, FOR THE USE BY THE SWORN LAW ENFORCEMENT OFFICERS WHILE ON-DUTY WITH THE LORIS POLICE DEPART DURING DAILY OPERATIONS MISSIONS IN DIRECT SUPPORT OF OFFICIAL LAW ENFORCEMENT DUTIES. THIS DEVICE WILL BE USED SPECIFICALLY TO LOCATE PERSONS WITH SPECIAL NEEDS AND DEMENTIA THAT WONDER OFF AND NEED TO BE FOUND.</t>
  </si>
  <si>
    <t>2YTGXY60513163</t>
  </si>
  <si>
    <t>THE ITEMS ARE REQUESTED BY THE LORIS POLICE DEPARTMENT, FOR THE USE BY THE SWORN LAW ENFORCEMENT OFFICERS WHILE ON DUTY WITH THE LORIS POLICE DEPART DURING DAILY OPERATIONS MISSIONS, EMERGENCY, AND DISASTER OPERATIONS IN DIRECT SUPPORT OF OFFICIAL LAW ENFORCEMENT DUTIES.</t>
  </si>
  <si>
    <t>2YTGXY60160499</t>
  </si>
  <si>
    <t>VEH REQ BY THE LPD FOR THE USE BY THE SWORN LEO.BUDGETARY CONSTRAINTS DO NOT ALLOW FOR THE PURCHASE OF A MUCH NEEDED UNMARKED VEH FOR HAULING TRAINING RANGE SUPPLIES.THIS VEH WOULD REPLACE THE PREV REQUESTED VEH RECEIVED IN 2022 THAT IS BEYOND ITS SERVICE LIMITS AND BE ASSIGNED TO A MEMBER TO FACILITATE THOSE NEEDS.JUSTIFICATION LTR SUBMITTED TO OUR STATE PRGM REP PRIOR TO THIS REQ AND THE AGENCY UNDERSTANDS THEIR CONCERN OF ABUSE AND AGREE TO ADHERE TO ALL PROGRAMS RULES IN REGARDS THESE VEH</t>
  </si>
  <si>
    <t xml:space="preserve">
Sales Order #: 2281060188
RTD Screening Code: DOD
Reason for Rejection: YH</t>
  </si>
  <si>
    <t>2YTGXY60160463</t>
  </si>
  <si>
    <t>LTPD IS REQUESTING A HMMWV TO ENHANCE OUR CAPABILITIES IN SEVERE WEATHER CONDITIONS, DISASTER RESPONSE AND OFF-ROAD OPERATIONS.  IT IS UNIQUELY SUITED TO PROVIDE ACCESS TO CHALLENGING TERRAIN. SEVERE WEATHER FREQUENTLY LIMITS ACCESS WITHIN OUR JURISDICTION. THIS HMMWV WOULD IMPROVE RESPONSE TIMES, SAFETY AND INCREASE DEPARTMENT READINESS IN ORDER TO MAINTAIN OUR COMMITMENT TO THE PUBLIC.</t>
  </si>
  <si>
    <t xml:space="preserve">
Sales Order #: 2280770099
RTD Screening Code: DOD
Reason for Rejection: YH</t>
  </si>
  <si>
    <t>2YTGV960090472</t>
  </si>
  <si>
    <t>LOCHBUIE PD IS SMALL WITH LIMITED FUNDS, SO EVERY TOOL MATTERS. A HIGH-QUALITY RIFLE OPTIC WOULD IMPROVE ACCURACY IN CRITICAL INCIDENTS LIKE ACTIVE SHOOTERS OR HOSTAGE SITUATIONS, WHILE ALSO ENHANCING SAFETY AND PRECISION ON REGULAR PATROL. THIS ENSURES OFFICERS CAN RESPOND EFFECTIVELY TO THREATS, PROTECTING BOTH THE COMMUNITY AND THEMSELVES</t>
  </si>
  <si>
    <t xml:space="preserve">
Sales Order #: 2283314407
RTD Screening Code: DOD
Reason for Rejection: Y9</t>
  </si>
  <si>
    <t>2YTGVE60722941</t>
  </si>
  <si>
    <t>LOCHBUIE PD IS SMALL WITH LIMITED FUNDS, SO EVERY TOOL MATTERS. A HIGH-QUALITY RIFLE OPTIC WOULD IMPROVE ACCURACY IN CRITICAL INCIDENTS LIKE ACTIVE SHOOTERS OR HOSTAGE SITUATIONS, WHILE ALSO ENHANCING SAFETY AND PRECISION ON REGULAR PATROL. THIS ENSURES OFFICERS CAN RESPOND EFFECTIVELY TO THREATS, PROTECTING BOTH THE COMMUNITY AND THEMSELVES.</t>
  </si>
  <si>
    <t xml:space="preserve">
Sales Order #: 2283343042
RTD Screening Code: DOD
Reason for Rejection: Y9</t>
  </si>
  <si>
    <t>2YTGVE60722649</t>
  </si>
  <si>
    <t>LOCHBUIE PD IS A SMALL AGENCY WITH A LIMITED BUDGET, SO EVERY TOOL MATTERS. THESE TRAINING DUMMIES WOULD BE A HUGE ASSET TO US, ALLOWING US TO TRAIN IN HOSTAGE AND OFFICER RESCUE BY SIMULATING INJURED VICTIMS.  THEY WILL BE USED REGULARLY BY US AND SURROUNDING AGENCIES.</t>
  </si>
  <si>
    <t xml:space="preserve">
Sales Order #: 2282173975
RTD Screening Code: DOD
Reason for Rejection: Y9</t>
  </si>
  <si>
    <t>MANIKIN,RESCUE RANDY</t>
  </si>
  <si>
    <t>2YTGVE60301767</t>
  </si>
  <si>
    <t>LOCHBUIE PD IS A SMALL AGENCY WITH A LIMITED BUDGET, SO EVERY TOOL MATTERS. THESE HEADSETS WOULD BE A HUGE ASSET FOR US ALLOWING OUR OFFICERS TO MORE EFFECTIVELY COMMUNICATE WITH EACH OTHER DURING DAY TO DAY ACTIVITIES AND TRAINING WHILE ALSO PROVIDING HEARING PROTECTION WHILE AT THE RANGE</t>
  </si>
  <si>
    <t>2YTGVE60301660</t>
  </si>
  <si>
    <t>LOCHBUIE PD IS A SMALL AGENCY WITH A LIMITED BUDGET, SO EVERY LITTLE BIT HELPS. A GENERATOR WOULD BE A TREMENDOUS HELP TO OUR DEPARTMENT. WE WOULD USE IT TO SUPPLY POWER TO A NUMBER OF THINGS WHILE OUT ON LONG CALLS AND ON REMOTE TRAININGS.</t>
  </si>
  <si>
    <t xml:space="preserve">
Sales Order #: 2280735288
RTD Screening Code: DOD
Reason for Rejection: YG</t>
  </si>
  <si>
    <t>2YTGVE60029785</t>
  </si>
  <si>
    <t>THIS ITEM IS BEING REQUESTED FOR LAW ENFORCEMENT USE ONLY. THIS ITEM WILL BE UTILIZED TO STORE TOOLS AND EQUIPMENT.</t>
  </si>
  <si>
    <t xml:space="preserve">
Sales Order #: 2285179858
RTD Screening Code: DOD
Reason for Rejection: Y9</t>
  </si>
  <si>
    <t>2YTGUD60654595</t>
  </si>
  <si>
    <t>LEVEL PLAINS POLICE DEPT WOULD USE TO HAUL PRISONERS, POLICE PERSONNEL AND INDVIDUALS DURING NATURAL DISASTERS FOR MASS TRANSPORT</t>
  </si>
  <si>
    <t xml:space="preserve">
Sales Order #: 2286120368
RTD Screening Code: GSA
Reason for Rejection: Y9</t>
  </si>
  <si>
    <t>2YTRNR60795663</t>
  </si>
  <si>
    <t>LEVEL LAINS POLICE DEPT WOULD UTILIZE AS UNDERCOVER SURVELLIANCE VEHICLE ALONG WITH OTHER POLICE DUTIES</t>
  </si>
  <si>
    <t>2YTRNR60725292</t>
  </si>
  <si>
    <t>LEVEL PLAINS WOULD USE TO HAUL LARGE 1033 ITEMS AWARDED</t>
  </si>
  <si>
    <t>2YTRNR60725288</t>
  </si>
  <si>
    <t>LEVEL PLAINS POLICE DEPT WOULD USE AS INCIDENT COMMAND CENTER AND DURING NATURAL DIASTERS</t>
  </si>
  <si>
    <t xml:space="preserve">
Sales Order #: 2285179977
RTD Screening Code: DOD
Reason for Rejection: Y9</t>
  </si>
  <si>
    <t>2YTRNR60654383</t>
  </si>
  <si>
    <t>LEVEL PLAINS POLICE DEPT WOULD USE TO PULL POLICE LIGHTING, SCENE EQUIPMENT AND OTHER POLICE ITEMS</t>
  </si>
  <si>
    <t xml:space="preserve">
Sales Order #: 2285180163
RTD Screening Code: DOD
Reason for Rejection: Y9</t>
  </si>
  <si>
    <t>2YTRNR60654382</t>
  </si>
  <si>
    <t>LEVEL PLAINS POLICE DEPT WOULD UTILIZE TO DOO CODE ENFORCEMENT IN POLICE DUTIES AS WELL AS HAUL LARGE 1033 ITEMS AWARDED</t>
  </si>
  <si>
    <t xml:space="preserve">
Sales Order #: 2285180212
RTD Screening Code: DOD
Reason for Rejection: Y9</t>
  </si>
  <si>
    <t>2YTRNR60654381</t>
  </si>
  <si>
    <t>LEVEL PLAINS POLICE DEPT WOULD USE TO SET UP OUR NEW FIRING RANGE FOR OUR POLICE OFFICERS TO BE ABLE TO SHOOT AND BE MORE PROFICIENT AT THEIR JOB</t>
  </si>
  <si>
    <t>2YTRNR60654332</t>
  </si>
  <si>
    <t>LEVEL PLAINS POLICE DEPT WOULD UTILIZE DURING NATURAL DIASTERS, INCIDENT COMMAND CENTER, SEARCH AND RESCUE, ACTIVE SHOOTER SITUATION AND DURING OTHER POLICE DUTIESD WHEN DEEMED NECESSARY.</t>
  </si>
  <si>
    <t>2YTRNR60304172</t>
  </si>
  <si>
    <t>LEVEL PLAINS POLICE DEPT WOULD UTILIZE TO HAUL LARGE 1033 ITEMS AND NATURAL DISASTER ITEMS FOR RESCUE</t>
  </si>
  <si>
    <t>2YTRNR60161217</t>
  </si>
  <si>
    <t>LEVEL PLAINS POLICE DEPT WOULD UTILIZE FANS TO COOL OFF POLICE STORAGE BUILDING</t>
  </si>
  <si>
    <t xml:space="preserve">
Sales Order #: 2280265535
RTD Screening Code: DOD
Reason for Rejection: YH</t>
  </si>
  <si>
    <t>2YTRNR53539020</t>
  </si>
  <si>
    <t>THIS WILL BE USED TO PATROL OUR HISTORIC SQUARE AS WELL AS USED DURING SPECIAL EVENTS.</t>
  </si>
  <si>
    <t xml:space="preserve">
Sales Order #: 2276801090
RTD Screening Code: DOD
Reason for Rejection: YH</t>
  </si>
  <si>
    <t>2YTGLM60160732</t>
  </si>
  <si>
    <t>THIS WOULD BE USED DURING LARGE CROWD EVENTS FOR A PATROL AND SAFETY UNIT AND TO USE IN OPEN FIELDS.</t>
  </si>
  <si>
    <t xml:space="preserve">
Sales Order #: 2281230567
RTD Screening Code: DOD
Reason for Rejection: Y9</t>
  </si>
  <si>
    <t>2YTGLM60160501</t>
  </si>
  <si>
    <t>THE TN LAW ENFORCEMENT TRAINING ACADEMY IS CURRENTLY IN NEED OF VAN TO HELP TRANSPORT CADETS TO AND FROM DIFFERENT LOCATIONS FOR TRAINING.  CURRENTLY WE ARE HAVING TO FERRY CADETS IN MULTIPLE VEHICLES IN ORDER TO GET THEM TO THE SITES.  THIS VAN WILL ALLOW US TO GET THE CADETS TO TRAINING FASTER AND SAFER.</t>
  </si>
  <si>
    <t xml:space="preserve">
Sales Order #: 2281980517
RTD Screening Code: DOD
Reason for Rejection: YG</t>
  </si>
  <si>
    <t>2YTP3560231216</t>
  </si>
  <si>
    <t>THE TN LAW ENFORCEMENT TRAINING ACADEMY TRAINS BASIC POLICE OFFICERS FROM THE STATE, COUNTY, AND MUNICIPAL LAW ENFORCEMENT AGENCIES FROM ACROSS THE STATE.  THESE VEHICLES WILL ASSIST INSTRUCTORS IN THE CRIMINAL AND DRUG INTERDICTION CLASS THAT IS TAUGHT AT THE ACADEMY.  CADETS WILL BE TRAINED ON TRAFFIC STOPS VEHICLE SEARCHES TO INCLUDE HIDES IN THE VEHICLES WHERE DRUGS AND OTHER CONTRABAND IS STORED AND EQUIPMENT THAT IS USED IN SUCH INVESTIGATIONS.</t>
  </si>
  <si>
    <t xml:space="preserve">
Sales Order #: 2281230568
RTD Screening Code: DOD
Reason for Rejection: Y9</t>
  </si>
  <si>
    <t>2YTP3560160428</t>
  </si>
  <si>
    <t>THE TN LAW ENFORCEMENT TRAINING ACADEMY HAS TO TRANSPORT CADETS TO DIFFERENT TRAINING SITES DURING THE COURSE OF THEIR TRAINING.  CURRENTLY WE HAVE TO FERRY CADETS WITH MULTIPLE VEHICLES.  THIS VAN WILL HELP REDUCE THE NUMBER OF TRIPS IT TAKES TO GET CADETS TO TRAINING.</t>
  </si>
  <si>
    <t xml:space="preserve">
Sales Order #: 2281217909
RTD Screening Code: DOD
Reason for Rejection: Y9</t>
  </si>
  <si>
    <t>2YTP3560160398</t>
  </si>
  <si>
    <t>THE SOUTH CAROLINA LAW ENFORCEMENT DIVISION WOULD RESPECTFULLY REQUEST THIS FORK LIFT FOR FOR USE BY OUR LAW ENFORCEMENT AGENCY TO LOAD AND UNLOAD EQUIPMENT FROM TRUCKS, STORAGE UNITS, AND GENERAL LIFTING DUTIES AROUND OUR VARIOUS AGENCY OFFICES AND SUPPLY.</t>
  </si>
  <si>
    <t xml:space="preserve">
Sales Order #: 2278974611
RTD Screening Code: DOD
Reason for Rejection: YH</t>
  </si>
  <si>
    <t>2YTKTH53186965</t>
  </si>
  <si>
    <t>LAW ENFORCEMENT DIVISION (2YTKTH)</t>
  </si>
  <si>
    <t>ITEM WILL BE USED TO TRANSPORT AND STAGE FUEL FOR THE LAS VEGAS METROPOLITAN POLICE DEPT'S AVIATION UNIT HELICOPTERS TO OUTLYING AREAS TO SUPPORT SEARCH AND RESCUE AND LE RESPONSES AWAY FROM THE UNIT'S HANGAR FACILITY. THIS WILL DRASTICALLY INCREASE OUR RESPONSE AND LOITER TIMES AS WE WILL NOT NEED TO FLY TO NORTH LAS VEGAS IN THE NORTH PART OF THE VALLEY TO REFUEL WHEN OPERATING IN SOUTHERN NEVADA'S CLARK COUNTY AREAS SOUTH OF LAS VEGAS.</t>
  </si>
  <si>
    <t xml:space="preserve">
Sales Order #: 2279076649
RTD Screening Code: DOD
Reason for Rejection: YG</t>
  </si>
  <si>
    <t>2YTGJS53398600</t>
  </si>
  <si>
    <t>LAS VEGAS METRO POLICE DEPT (2YTGJS)</t>
  </si>
  <si>
    <t>NV</t>
  </si>
  <si>
    <t>FOR USE BY ON DUTY OFFICERS OF THE LANSING POLICE DEPARTMENT TO IMPROVE FIREARM ACCURACY. CONTACT HAS BEEN MADE WITH LOCATION TO VERIFY PROPERTY CONDITION.</t>
  </si>
  <si>
    <t>2YTPER60937475</t>
  </si>
  <si>
    <t>2YTPER60937474</t>
  </si>
  <si>
    <t>2YTPER60937471</t>
  </si>
  <si>
    <t>2YTPER60937469</t>
  </si>
  <si>
    <t>2YTPER60937468</t>
  </si>
  <si>
    <t>2YTPER60937466</t>
  </si>
  <si>
    <t>FOR USE BY ON DUTY OFFICERS OF THE LANSING POLICE DEPARTMENT FOR ENVIRONMENTAL PROTECTION DURING OPERATIONS IN INCLEMENT WEATHER.</t>
  </si>
  <si>
    <t xml:space="preserve">
Sales Order #: 2286425658
RTD Screening Code: DOD
Reason for Rejection: BQ</t>
  </si>
  <si>
    <t>2YTPER60937285</t>
  </si>
  <si>
    <t>FOR USE BY THE LANSING POLICE DEPARTMENT ON ISSUED FIREARMS TO INCREASE ACCURACY. CONTACT HAS BEEN MADE TO VERIFY CONDITION</t>
  </si>
  <si>
    <t xml:space="preserve">
Sales Order #: 2286317844
RTD Screening Code: DOD
Reason for Rejection: Y9</t>
  </si>
  <si>
    <t>2YTPER60937201</t>
  </si>
  <si>
    <t xml:space="preserve">
Sales Order #: 2286288954
RTD Screening Code: DOD
Reason for Rejection: Y9</t>
  </si>
  <si>
    <t>2YTPER60937200</t>
  </si>
  <si>
    <t>FOR USE BY ON DUTY OFFICER OF THE LANSING POLICE DEPARTMENT TO IMPROVE FIREARM ACCURACY. CONTACT HAS BEEN MADE WITH LOCATION TO VERIFY PROPERTY CONDITION.</t>
  </si>
  <si>
    <t xml:space="preserve">
Sales Order #: 2285810360
RTD Screening Code: DOD
Reason for Rejection: Y9</t>
  </si>
  <si>
    <t>2YTPER60866252</t>
  </si>
  <si>
    <t>FOR USE BY ON DUTY OFFICERS OF THE LANSING POLICE DEPARTMENT TO IMPROVE FIREARM ACCURACY. CONTACT HAS BEEN MADE WITH THE LOCATION TO VERIFY PROPERTY CONDITION.</t>
  </si>
  <si>
    <t xml:space="preserve">
Sales Order #: 2285086389
RTD Screening Code: DOD
Reason for Rejection: Y9</t>
  </si>
  <si>
    <t>2YTPER60725414</t>
  </si>
  <si>
    <t xml:space="preserve">
Sales Order #: 2285086394
RTD Screening Code: DOD
Reason for Rejection: YG</t>
  </si>
  <si>
    <t>2YTPER60725413</t>
  </si>
  <si>
    <t>FOR USE BY LANSING POLICE DEPARTMENT FOR USE ON DEPARTMENT ISSUED RIFLES TO IMPROVE ACCURACY. CONTACT HAS BEEN MADE TO ENSURE CONDITION CODE.</t>
  </si>
  <si>
    <t xml:space="preserve">
Sales Order #: 2285178183
RTD Screening Code: DOD
Reason for Rejection: Y9</t>
  </si>
  <si>
    <t>SIGHT,BORE,OPTICAL</t>
  </si>
  <si>
    <t>2YTPER60725006</t>
  </si>
  <si>
    <t xml:space="preserve">
Sales Order #: 2285179902
RTD Screening Code: DOD
Reason for Rejection: Y9</t>
  </si>
  <si>
    <t>2YTPER60725005</t>
  </si>
  <si>
    <t xml:space="preserve">
Sales Order #: 2285177827
RTD Screening Code: DOD
Reason for Rejection: Y9</t>
  </si>
  <si>
    <t>2YTPER60725003</t>
  </si>
  <si>
    <t xml:space="preserve">
Sales Order #: 2285180188
RTD Screening Code: DOD
Reason for Rejection: Y9</t>
  </si>
  <si>
    <t>2YTPER60725002</t>
  </si>
  <si>
    <t>FOR USE BY ON DUTY OFFICERS OF THE LANSING POLICE DEPARTMENT TO INCREASE FIREARM ACCURACY. CONTACT HAS BEEN MADE WITH LOCATION TO VERIFY PROPERTY CONDITION.</t>
  </si>
  <si>
    <t xml:space="preserve">
Sales Order #: 2285180001
RTD Screening Code: DOD
Reason for Rejection: Y9</t>
  </si>
  <si>
    <t>2YTPER60724945</t>
  </si>
  <si>
    <t>FOR USE BY ON DUTY OFFICERS OF THE LANSING POLICE DEPARTMENT TO IMPROVE VISION AND FIREARM ACCURACY IN LOW LIGHT ENVIRONMENTS. CONTACT HAS BEEN MADE WITH LOCATION TO VERIFY PROPERTY CONDITION.</t>
  </si>
  <si>
    <t xml:space="preserve">
Sales Order #: 2281985674
Reason for Rejection: Y9</t>
  </si>
  <si>
    <t>2YTPER60301774</t>
  </si>
  <si>
    <t xml:space="preserve">
Sales Order #: 2281985675
RTD Screening Code: GSA
Reason for Rejection: Z2</t>
  </si>
  <si>
    <t>2YTPER60301773</t>
  </si>
  <si>
    <t xml:space="preserve">
Sales Order #: 2277940899
RTD Screening Code: DOD
Reason for Rejection: Z2</t>
  </si>
  <si>
    <t>2YTPER60301772</t>
  </si>
  <si>
    <t xml:space="preserve">
Sales Order #: 2281355605
RTD Screening Code: DOD
Reason for Rejection: Z2</t>
  </si>
  <si>
    <t>2YTPER60301437</t>
  </si>
  <si>
    <t xml:space="preserve">
Sales Order #: 2278331071
RTD Screening Code: DOD
Reason for Rejection: Y9</t>
  </si>
  <si>
    <t>2YTPER60301434</t>
  </si>
  <si>
    <t xml:space="preserve">
Sales Order #: 2281517435
RTD Screening Code: DOD
Reason for Rejection: YG</t>
  </si>
  <si>
    <t>2YTPER60230909</t>
  </si>
  <si>
    <t xml:space="preserve">
Sales Order #: 2281517427
Reason for Rejection: YF</t>
  </si>
  <si>
    <t>VIEWER KIT,NIGHT VISION</t>
  </si>
  <si>
    <t>2YTPER60230908</t>
  </si>
  <si>
    <t>FOR USE BY THE LANSING POLICE DEPARTMENT TACTICAL TEAM DURING LOW-LIGHT AND NIGHT TIME DYNAMIC AND RESCUE OPERATIONS. CONTACT HAS BEEN MADE RO VERIFY CONDITION.</t>
  </si>
  <si>
    <t xml:space="preserve">
Sales Order #: 2281517429
RTD Screening Code: DOD
Reason for Rejection: Y9</t>
  </si>
  <si>
    <t>2YTPER60230876</t>
  </si>
  <si>
    <t>FOR USE BY LANSING POLICE TACTICAL TEAM DURING LOW LIGHT TACTICAL AND RESCUE OPERATIONS. CONTACT HAS BEEN MADE TO VERIFY CONDITION OF ITEM.</t>
  </si>
  <si>
    <t xml:space="preserve">
Sales Order #: 2280762871
RTD Screening Code: DOD
Reason for Rejection: YH</t>
  </si>
  <si>
    <t>2YTPER60029751</t>
  </si>
  <si>
    <t>FOR USE TO PROTECT UNUSED SPACE ON RAILS ON PREVIOUSLY ACQUIRED RAIL SYSTEMS.</t>
  </si>
  <si>
    <t xml:space="preserve">
Sales Order #: 2280762851
RTD Screening Code: GSA
Reason for Rejection: YH</t>
  </si>
  <si>
    <t>RAIL COVER,5 RIB</t>
  </si>
  <si>
    <t>2YTPER53609752</t>
  </si>
  <si>
    <t>FOR USE BY ON DUTY OFFICERS OF THE LANSING POLICE DEPARTMENT FOR HEARING PROTECTION AND IMPROVE SITUATIONAL AWARENESS. CONTACT HAS BEEN MADE WITH LOCATION TO VERIFY PROPERTY CONDITION.</t>
  </si>
  <si>
    <t xml:space="preserve">
Sales Order #: 2275410699
RTD Screening Code: RTD2
Reason for Rejection: YH</t>
  </si>
  <si>
    <t>2YTPER53388601</t>
  </si>
  <si>
    <t>TO USE ON PATROL RIFLES AND FN 303 LESS LETHAL.</t>
  </si>
  <si>
    <t>SLING,SMALL ARMS</t>
  </si>
  <si>
    <t>2YTGHQ60443454</t>
  </si>
  <si>
    <t>TO ENHANCE THE AGENCY, LAKE COUNTY SHERIFF'S OFFICE, IN ITS LAW ENFORCEMENT FLEET MAINTENANCE PROGRAM. THIS ASSET WOULD BE Q PART OF OUR SELF-SUSTAINING DEPLOYMENT SET.</t>
  </si>
  <si>
    <t xml:space="preserve">
Sales Order #: 2281298556
RTD Screening Code: DOD
Reason for Rejection: Y9</t>
  </si>
  <si>
    <t>CLAMSHELTER,AIRCRAF</t>
  </si>
  <si>
    <t>2YTGE460372213</t>
  </si>
  <si>
    <t>TO ENHANCE THE AGENCY, LAKE COUNTY SHERIFF'S OFFICE, IN ITS LAW ENFORCEMENT RESPONSE IN OUR OPERATIONAL MEDICAL DETACHMENT TO ASSIST THE LOCAL COMMUNITY DURING TIMES OF CRISIS.</t>
  </si>
  <si>
    <t xml:space="preserve">
Sales Order #: 2282174041
RTD Screening Code: DOD
Reason for Rejection: YG</t>
  </si>
  <si>
    <t>2YTGE460302175</t>
  </si>
  <si>
    <t>THIS TRUCK WOULD BE USED BY SHERIFFS OFFICE MAINTENANCE FOR WORK ON LAW ENFORCEMENT FACILITIES.</t>
  </si>
  <si>
    <t xml:space="preserve">
Sales Order #: 2285864876
RTD Screening Code: DOD
Reason for Rejection: Y9</t>
  </si>
  <si>
    <t>2YTGAF60866247</t>
  </si>
  <si>
    <t>THIS PAPER SHREDDER WOULD BE USED AT THE SHERIFFS OFFICE SEARCH AND RESCUE BUILDING WHERE BACK COUNTRY DEPUTIES WOULD BE ABLE TO SHRED SENSITIVE DOCUMENTS.</t>
  </si>
  <si>
    <t xml:space="preserve">
Sales Order #: 2285864839
RTD Screening Code: DOD
Reason for Rejection: Y9</t>
  </si>
  <si>
    <t>2YTGAF60866123</t>
  </si>
  <si>
    <t>THIS FORKLIFT WOULD BE USED BY SHERIFF'S OFFICE MAINTENANCE PERSONNEL TO LOAD AND UNLOAD LAW ENFORCEMENT EQUIPMENT AND MAINTENANCE SUPPLIES.</t>
  </si>
  <si>
    <t xml:space="preserve">
Sales Order #: 2285117369
RTD Screening Code: DOD
Reason for Rejection: Y9</t>
  </si>
  <si>
    <t>2YTGAF60725126</t>
  </si>
  <si>
    <t>THIS PLASMA CUTTER WOULD BE USED FOR SHERIFF'S OFFICE MAINTENANCE FOR WORK ON LE FACILITIES</t>
  </si>
  <si>
    <t xml:space="preserve">
Sales Order #: 2285179883
RTD Screening Code: DOD
Reason for Rejection: Y9</t>
  </si>
  <si>
    <t>2YTGAF60724968</t>
  </si>
  <si>
    <t>THIS GENERATOR WOULD BE USED TO POWER THE SHERIFF'S OFFICE COMMAND POST EQUIPMENT.</t>
  </si>
  <si>
    <t xml:space="preserve">
Sales Order #: 2285176993
RTD Screening Code: DOD
Reason for Rejection: Y9</t>
  </si>
  <si>
    <t>2YTGAF60724967</t>
  </si>
  <si>
    <t>THIS RESPONSE VEHICLE WOULD BE USED FOR SHERIFF'S OFFICE DIVE AND WATER RESCUE RESPONSE.  THIS IS AN ACTIVE TEAM WHICH RESPONDS TO MANY EMERGENCY CALLS PER YEAR AND TRAINS MONTHLY.</t>
  </si>
  <si>
    <t xml:space="preserve">
Sales Order #: 2284355239
RTD Screening Code: DOD
Reason for Rejection: Y9</t>
  </si>
  <si>
    <t>2YTGAF60654206</t>
  </si>
  <si>
    <t>THIS TRAILER WOULD BE USED FOR SHERIFF'S OFFICE COMMAND FUNCTIONS DURING CRITICAL INCIDENTS AND SIGNIFICANT EVENTS.  WE HAVE HAD TWO ACTIVE SHOOTER SITUATIONS IN THE PAST 6 MONTHS, IN WHICH A TRAILER SUCH AS THIS WOULD HAVE COME IN USE.</t>
  </si>
  <si>
    <t xml:space="preserve">
Sales Order #: 2284445819
RTD Screening Code: DOD
Reason for Rejection: Y9</t>
  </si>
  <si>
    <t>2YTGAF60654194</t>
  </si>
  <si>
    <t>THIS GYM EQUIPMENT WOULD BE USED IN THE SHERIFF'S OFFICE GYM FOR LAW ENFORCEMENT TO TRAIN ON.</t>
  </si>
  <si>
    <t xml:space="preserve">
Sales Order #: 2283693185
RTD Screening Code: DOD
Reason for Rejection: Y9</t>
  </si>
  <si>
    <t>2YTGAF60513495</t>
  </si>
  <si>
    <t>THESE TOOL BOXES WOULD BE USED TO STORE LAW ENFORCEMENT SUPPLIES FOR WEAPONS MAINTENANCE ON SHERIFF'S OFFICE PROPERTY.</t>
  </si>
  <si>
    <t xml:space="preserve">
Sales Order #: 2283352653
RTD Screening Code: DOD
Reason for Rejection: Y9</t>
  </si>
  <si>
    <t>2YTGAF60513253</t>
  </si>
  <si>
    <t>THIS MACHINE WOULD BE USED BY SHERIFF'S OFFICE MAINTENANCE FOR REPAIRING EQUIPMENT AT LAW ENFORCEMENT FACILITIES.</t>
  </si>
  <si>
    <t xml:space="preserve">
Sales Order #: 2283352677
RTD Screening Code: DOD
Reason for Rejection: Y9</t>
  </si>
  <si>
    <t>DRILLING AND TAPPING MACHINES</t>
  </si>
  <si>
    <t>DSDRILL00</t>
  </si>
  <si>
    <t>2YTGAF60513138</t>
  </si>
  <si>
    <t>THIS FORKLIFT WOULD BE USED TO MOVE, LOAD, AND UNLOAD LAW ENFORCEMENT EQUIPMENT USED FOR LAW ENFORCEMENT PURPOSES, ON SHERIFF'S OFFICE PROPERTIES.</t>
  </si>
  <si>
    <t xml:space="preserve">
Sales Order #: 2283317325
RTD Screening Code: DOD
Reason for Rejection: Y9</t>
  </si>
  <si>
    <t>2YTGAF60442697</t>
  </si>
  <si>
    <t>THIS COMMAND POST TRUCK WOULD BE USED FOR SPECIAL OPERATIONS COMMAND AND CRITICAL INCIDENTS WITHIN KOOTENAI COUNTY.  WE HAVE AN IMMEDIATE NEED FOR THIS UNIT FOR LAW ENFORCEMENT PURPOSES.  IN THE PAST 6 MONTHS, WE HAVE HAD TWO ACTIVE SHOOTER INCIDENTS REQUIRING MORE THAN A SMALL TRAILER TO WORK OUT OF.</t>
  </si>
  <si>
    <t>2YTGAF60442693</t>
  </si>
  <si>
    <t xml:space="preserve">
Sales Order #: 2280299554
RTD Screening Code: DOD
Reason for Rejection: Y9</t>
  </si>
  <si>
    <t>2YTGAF60372167</t>
  </si>
  <si>
    <t xml:space="preserve">
Sales Order #: 2280299572
RTD Screening Code: DOD
Reason for Rejection: Y9</t>
  </si>
  <si>
    <t>2YTGAF60372164</t>
  </si>
  <si>
    <t xml:space="preserve">
Sales Order #: 2280299574
RTD Screening Code: DOD
Reason for Rejection: Y9</t>
  </si>
  <si>
    <t>2YTGAF60372162</t>
  </si>
  <si>
    <t xml:space="preserve">
Sales Order #: 2280299569
RTD Screening Code: DOD
Reason for Rejection: Y9</t>
  </si>
  <si>
    <t>2YTGAF60372161</t>
  </si>
  <si>
    <t xml:space="preserve">
Sales Order #: 2280299573
RTD Screening Code: DOD
Reason for Rejection: Y9</t>
  </si>
  <si>
    <t>2YTGAF60372160</t>
  </si>
  <si>
    <t xml:space="preserve">
Sales Order #: 2280299580
RTD Screening Code: DOD
Reason for Rejection: Y9</t>
  </si>
  <si>
    <t>2YTGAF60372155</t>
  </si>
  <si>
    <t>THIS FORKLIFT WOULD BE USED TO LOAD AND UNLOAD LAW ENFORCEMENT EQUIPMENT AT THE SHERIFF'S OFFICE FACILITIES.</t>
  </si>
  <si>
    <t xml:space="preserve">
Sales Order #: 2281586791
RTD Screening Code: DOD
Reason for Rejection: YG</t>
  </si>
  <si>
    <t>2YTGAF60301425</t>
  </si>
  <si>
    <t xml:space="preserve">
Sales Order #: 2281582563
RTD Screening Code: DOD
Reason for Rejection: Y9</t>
  </si>
  <si>
    <t>2YTGAF60301424</t>
  </si>
  <si>
    <t>THIS TRUCK WOULD BE USED BY SHERIFFS OFFICE MAINTENANCE PERSONNEL AND WOULD SUPPORT LAW ENFORCEMENT DAILY OPERATIONS.</t>
  </si>
  <si>
    <t xml:space="preserve">
Sales Order #: 2281582560
RTD Screening Code: DOD
Reason for Rejection: Y9</t>
  </si>
  <si>
    <t>2YTGAF60301398</t>
  </si>
  <si>
    <t xml:space="preserve">
Sales Order #: 2281586794
RTD Screening Code: DOD
Reason for Rejection: Y9</t>
  </si>
  <si>
    <t>2YTGAF60301397</t>
  </si>
  <si>
    <t>THESE KITS WOULD BE USED BY LAW ENFORCEMENT ARMORERS FOR USE ON SHERIFFS OFFICE WEAPONS.</t>
  </si>
  <si>
    <t xml:space="preserve">
Sales Order #: 2281586782
RTD Screening Code: DOD
Reason for Rejection: Z2</t>
  </si>
  <si>
    <t>2YTGAF60301391</t>
  </si>
  <si>
    <t>THIS GENERATOR WOULD BE USED BY SHERIFF'S OFFICE EMPLOYEES FOR OFFSITE COMMAND POST AND MAINTENANCE ISSUES.</t>
  </si>
  <si>
    <t xml:space="preserve">
Sales Order #: 2281582561
RTD Screening Code: DOD
Reason for Rejection: Z2</t>
  </si>
  <si>
    <t>2YTGAF60301387</t>
  </si>
  <si>
    <t>THIS TOOL KIT WOULD BE USED BY THE SHERIFF'S OFFICE MAINTENANCE SECTION WHICH PROVIDES SUPPORT TO LAW ENFORCEMENT SO THEY CAN PERFORM THEIR DAILY DUTIES.  THE SHERIFF'S OFFICE HAS MANY BUILDINGS THROUGHOUT THE COUNTY WHICH REQUIRES OUR MAINTENANCE SECTION TO HAVE THEIR OWN TOOLS AND NOT HAVE TO RELY ON TOO MANY PRIVATE BUSINESSES.</t>
  </si>
  <si>
    <t xml:space="preserve">
Sales Order #: 2281582562
RTD Screening Code: DOD
Reason for Rejection: Y9</t>
  </si>
  <si>
    <t>2YTGAF60301302</t>
  </si>
  <si>
    <t>ITEM TO BE USED BY AGENCY FOR SEARCHING FOR PUBLIC SAFETY SEARCH FOR PERSONS, VEHICLE S, SCENE DOCUMENTATION BY LAW ENFORCEMENT AGENCY</t>
  </si>
  <si>
    <t>2YTF9L60161261</t>
  </si>
  <si>
    <t>KLEBERG CSO (2YTF9L)</t>
  </si>
  <si>
    <t>THE REQUESTED DRONE WILL ONLY BE USED BY THE KLEBERG COUNTY SO FOR LAW ENFORCEMENT PURPOSES ONLY. THE DRONE WILL BE USED TO MONITOR DEPUTIES DURING HIGH-RISK OPERATIONS TO MAINTAIN OPERATIONAL AWARENESS AND SAFETY</t>
  </si>
  <si>
    <t xml:space="preserve">
Sales Order #: 2278974164
RTD Screening Code: DOD
Reason for Rejection: YH</t>
  </si>
  <si>
    <t>2YTF9L53186841</t>
  </si>
  <si>
    <t>THIS ITEM TO BE UTILIZED FOR ON-SITE OVERFLOW STORAGE OF LAW ENFORCEMENT AND SEARCH AND RESCUE EQUIPMENT EVIDENCE IN ORDER TO KEEP ITEMS PROTECTED FROM INCLEMENT WEATHER.</t>
  </si>
  <si>
    <t xml:space="preserve">
Sales Order #: 2285178201
RTD Screening Code: DOD
Reason for Rejection: Y9</t>
  </si>
  <si>
    <t>2YT0HN60654489</t>
  </si>
  <si>
    <t>ITEM TO BE UTILIZED FOR INTERMITTENT OVERNIGHT HOUSING FOR SWORN LAW ENFORCEMENT PERSONNEL WHEN ASSIGNED TO NORTHERN PORTION OF 6100 SQ MILE RURAL COUNTY IN ORDER TO ALLEVIATE 4 HOUR TRAVEL TIME TO AND FROM DUTY STATION.</t>
  </si>
  <si>
    <t xml:space="preserve">
Sales Order #: 2285188786
Reason for Rejection: Y9</t>
  </si>
  <si>
    <t>RECREATIONAL CAMPER, TRAILER</t>
  </si>
  <si>
    <t>DSRVCAMPR</t>
  </si>
  <si>
    <t>2YT0HN60574653</t>
  </si>
  <si>
    <t>THIS WOULD ASSIST THE KINSEY POLICE DEPARTMENT IN HAVING A EMERGENCY RESPONSE UNIT SO THAT WE CAN HAVE DURING EMERGENCY CALL OUTS OR CRIME SCENES, ALSO  DURING EXTREME WEATHER SO THAT WE CAN STILL HAVE DISPATCH AND BE ABLE TO RESPOND TO CALLS FOR SERVICE AND PROTECT OUR CITIZENS</t>
  </si>
  <si>
    <t>2YTRAR60866497</t>
  </si>
  <si>
    <t>THIS WOULD ASSIST THE KINSEY POLICE DEPARTMENT IN WELDING ITEMS FOR OUR PATROL VEHICLES BRUSH GUARDS AND I BEAMS AT THE BUILDING WE ARE BUILDLING. ALSO AT THE FIRING RANGE STEEL TARGETS FOR PRACTICE ON SHOOTING</t>
  </si>
  <si>
    <t xml:space="preserve">
Sales Order #: 2285864879
RTD Screening Code: DOD
Reason for Rejection: Y9</t>
  </si>
  <si>
    <t>2YTRAR60866486</t>
  </si>
  <si>
    <t>THIS WOULD ASSIST THE KINSEY POLICE DEPARTMENT IN FINISHING THE CEMENT WE ARE GOING TO POUR AT THE RANGE FOR OUR GUN CLEANING STATION</t>
  </si>
  <si>
    <t xml:space="preserve">
Sales Order #: 2285870154
RTD Screening Code: DOD
Reason for Rejection: Y9</t>
  </si>
  <si>
    <t>FINISHING MACHINE,C</t>
  </si>
  <si>
    <t>2YTRAR60866216</t>
  </si>
  <si>
    <t>THE KINSEY POLICE DEPARTMENT HAS RECENTLY CERTIFIED ALL OFFICERS IN THE DEPARTMENT AS SEARCH AND RESCUE DIVERS. WE WILL BE DEPLOYED TO ASSIST WITHIN OUR COUNTY AND SURROUNDING AGENCIES. THIS VESSEL WOULD HELP US BE ABLE TO DEPLOY AND HELP US TO BE SUCCESSFUL SEARCHING FOR LOST PERSONS, EVIDENCE OR DROWNED INDIVIDUALS. PLEASE ASSIST OUR AGENCY WITH THIS VESSEL SO THAT WE ASSIST THE CITIZENS IN THIS AREA AND HAVE RAPID DEPLOYMENT</t>
  </si>
  <si>
    <t>2YTRAR60866149</t>
  </si>
  <si>
    <t>THIS ITEM WOULD ASSIST THE KINSEY POLICE DEPARTMENT IN TRAVELING BACK AND FORTH TO THE COUNTY JAIL TRANSPORTING OUR INMATES TO AND FROM COURT</t>
  </si>
  <si>
    <t xml:space="preserve">
Sales Order #: 2285810354
RTD Screening Code: GSA
Reason for Rejection: Y9</t>
  </si>
  <si>
    <t>2YTRAR60795766</t>
  </si>
  <si>
    <t>THIS CONTAINER WOULD ASSIST THE KINSEY POLICE DEPARTMENT IN BEING ABLE TO LOCK UP FILES AND FIRING RANGE ITEMS</t>
  </si>
  <si>
    <t>2YTRAR60795673</t>
  </si>
  <si>
    <t>THIS WOULD ASSIST THE KINSEY POLICE DEPARTMENT IN HAVING SURVEILLANCE AT THE FIRING RANG</t>
  </si>
  <si>
    <t xml:space="preserve">
Sales Order #: 2285369343
RTD Screening Code: DOD
Reason for Rejection: Y9</t>
  </si>
  <si>
    <t>2YTRAR60795650</t>
  </si>
  <si>
    <t>THIS ITEM WOULD ASSIST THE KINSEY POLICE DEPARTMENT IN MAINTAINING THE SHOOTING RANGE AND BEING ABLE TO REACH HEIGHTS IN A SAFE MANNER TO PUT LIGHTS UP FOR NIGHT SHOOTING OR UNLOADING METAL CRATES OFF OF SEMIS TO PUT AT THE RANGE AND POLICE DEPARTMENT FOR STORAGE</t>
  </si>
  <si>
    <t>2YTRAR60725284</t>
  </si>
  <si>
    <t>THIS WOULD ASSIST THE KINSEY POLICE DEPARTMENT IN MAINTAINING THE PROPERTY AT THE FIRING RANGE</t>
  </si>
  <si>
    <t xml:space="preserve">
Sales Order #: 2283434772
RTD Screening Code: DOD
Reason for Rejection: YH</t>
  </si>
  <si>
    <t>2YTRAR60655283</t>
  </si>
  <si>
    <t>THIS WOULD ASSIST THE KINSEY POLICE DEPARTMENT IN HAVING A PLACE TO CONDUCT TRAINING AND HAVING OFFICES. OUR CURRENT POLICE DEPARTMENT ARE IN SERVER NEED OF RENOVATION AND ARE UNABLE TO DO SO BECAUSE NOT HAVING A PLACE TO SET UP AND CONDUCT BUSINESS UNTIL FINISHED. WE HAVE FLOORS FALLING IN AND OTHER STUFF. THIS WOULD GREATLY BE AN ASSET FOR THE KINSEY POLICE DEPARTMENT</t>
  </si>
  <si>
    <t xml:space="preserve">
Sales Order #: 2285179966
RTD Screening Code: DOD
Reason for Rejection: Y9</t>
  </si>
  <si>
    <t>2YTRAR60654598</t>
  </si>
  <si>
    <t>THIS WOULD ASSIST THE KINSEY POLICE DEPARTMENT IN WORKING SECURITY AT TOWN EVENTS AND BEING ABLE TO RESPOND TO INCIDENTS OFF ROAD IF NEEDED</t>
  </si>
  <si>
    <t xml:space="preserve">
Sales Order #: 2285180213
RTD Screening Code: DOD
Reason for Rejection: Y9</t>
  </si>
  <si>
    <t>2YTRAR60654594</t>
  </si>
  <si>
    <t>THIS WOULD ASSIST THE KINSEY POLICE DEPARTMENT IN KEEPING THE ROADS TO THE FIRING RANGE LEVEL AND THE GROUNDS AT THE FIRING RANGE LEVEL AND MOVING DIRT BACK AND FORTH</t>
  </si>
  <si>
    <t xml:space="preserve">
Sales Order #: 2285176975
RTD Screening Code: DOD
Reason for Rejection: Y9</t>
  </si>
  <si>
    <t>2YTRAR60654430</t>
  </si>
  <si>
    <t>THIS ITEM WOULD ASSIST THE KINSEY POLICE DEPARTMENT WHEN DOING TRAINING ON VEHICLE EXTRACTIONS AND USING TEAR GAS TO WASH CARS SO WE CAN TRAIN AGAIN AND AGAIN. THIS ALSO WOULD ASSIST WHEN WE ARRIVE ON SCENES TO USE UNTIL OTHER AGENTS SUCH AS FIRE ARRIVES</t>
  </si>
  <si>
    <t xml:space="preserve">
Sales Order #: 2283369298
RTD Screening Code: DOD
Reason for Rejection: YH</t>
  </si>
  <si>
    <t>NOZZLE HYDRO-CHEM</t>
  </si>
  <si>
    <t>2YTRAR60513702</t>
  </si>
  <si>
    <t>THIS WOULD ASSIST THE KINSEY POLICE DEPARTMENT IN STORAGE OF TOOLS AT OUR MAINTENANCE SHOP SO OUR TOOLS DOES NOT GET LOST</t>
  </si>
  <si>
    <t>CABINET,TOOL,MOBILE</t>
  </si>
  <si>
    <t>2YTRAR60463190</t>
  </si>
  <si>
    <t>THIS WOULD ASSIST THE KINSEY POLICE DEPARTMENT SO THAT WE WOULD NOT HAVE TO HIRE SOMEONE TO SEW OUR PATCHES ON OUR UNIFORMS AND JACKETS WE COULD DO IT OURSELVES</t>
  </si>
  <si>
    <t>2YTRAR60211210</t>
  </si>
  <si>
    <t>THIS WOULD ASSIST THE KINSEY POLICE DEPARTMENT IN HAVING LIGHTS AT THE FIRING RANGE IN THE BUILDING THAT WE ARE CURRENTLY BUILDING</t>
  </si>
  <si>
    <t>FIXTURE,LIGHTING</t>
  </si>
  <si>
    <t>2YTRAR60211209</t>
  </si>
  <si>
    <t>THIS WOULD ASSIST THE KINSEY POLICE DEPARTMENT IN MIXING AND POURING CONCRETE AT THE SHOOTING RANGE</t>
  </si>
  <si>
    <t>MIXER</t>
  </si>
  <si>
    <t>DSMIXER00</t>
  </si>
  <si>
    <t>2YTRAR60059630</t>
  </si>
  <si>
    <t>THIS WOULD ASSIST THE KINSEY POLICE DEPARTMENT WHEN WE HAVE TRAINING TO BE ABLE TO COOK AND BE ABLE TO FEED OFFICERS AT TRAINING. THIS WOULD ALSO HELP WHEN POLICE DEPARTMENT HAS EVENTS TO BE ABLE TO COOK FOOD FOR FUNDRAISERS TO COLLECT MONEY FOR EQUIPMENT</t>
  </si>
  <si>
    <t>GRIDDLE</t>
  </si>
  <si>
    <t>DSGRIDDLE</t>
  </si>
  <si>
    <t>2YTRAR60059398</t>
  </si>
  <si>
    <t>THIS WOULD ASSIST THE KINSEY POLICE DEPARTMENT IN KEEPING THINGS STORED SO WEATHER DOES NOT RUIN THEM</t>
  </si>
  <si>
    <t xml:space="preserve">
Sales Order #: 2281862083
Reason for Rejection: YG</t>
  </si>
  <si>
    <t>BIN</t>
  </si>
  <si>
    <t>DSBIN0000</t>
  </si>
  <si>
    <t>2YTRAR60059396</t>
  </si>
  <si>
    <t>THIS WOULD ASSIST THE KINSEY POLICE DEPARTMENT IN MAKING LUMBER FOR OR SHOOTING RANGE BARN THAT WE ARE GOING TO BUILD. THIS WILL SAVE THE DEPARTMENT MONEY IN LUMBER</t>
  </si>
  <si>
    <t>SURFACER,WOODWORKING</t>
  </si>
  <si>
    <t>2YTRAR60059333</t>
  </si>
  <si>
    <t>THIS WOULD ASSIST THE KINSEY POLICE DEPARTMENT IN KEEPING ROADWAYS CLEAR AND CLEAN SO THAT OUR PATROL VEHICLES STAY IN TACT AND NOT GET DAMAGED. ALSO TO ASSIST CLEARING ROADWAYS WHEN SEVERE WEATHER COMES SO THAT WE CAN GET TO CITIZENS IN NEED AND FOR EMERGENCY</t>
  </si>
  <si>
    <t>2YTRAR53609193</t>
  </si>
  <si>
    <t>THIS WOULD ASSIST THE KINSEY POLICE DEPARTMENT IN BEING ABLE TO MAKE OUR INTERVIEW ROOM RECORD-ABLE OR MAKE ANNOUNCEMENTS WHEN NEEDED AT EVENTS OR FINING RANGE</t>
  </si>
  <si>
    <t xml:space="preserve">
Sales Order #: 2278984488
RTD Screening Code: DOD
Reason for Rejection: YH</t>
  </si>
  <si>
    <t>SOUND RECORDING AND REPRODUCING EQUIP</t>
  </si>
  <si>
    <t>DSSOUNDEQ</t>
  </si>
  <si>
    <t>2YTRAR53397853</t>
  </si>
  <si>
    <t>THIS WOULD HELP ASSIST THE KINSEY POLICE DEPARTMENT IN UPGRADING OUR COMPUTERS IN THE POLICE DEPARTMENT AND IN EACH OF OUR PATROL VEHICLES</t>
  </si>
  <si>
    <t xml:space="preserve">
Sales Order #: 2278984491
RTD Screening Code: DOD
Reason for Rejection: YG</t>
  </si>
  <si>
    <t>KVM CONSOLE</t>
  </si>
  <si>
    <t>2YTRAR53327693</t>
  </si>
  <si>
    <t>THIS WOULD ASSIST THE KINSEY POLICE DEPARTMENT IN MAINTAINING GOOD SHAPE AND FIT FOR DUTY</t>
  </si>
  <si>
    <t xml:space="preserve">
Sales Order #: 2278908222
RTD Screening Code: DOD
Reason for Rejection: YG</t>
  </si>
  <si>
    <t>2YTRAR53327692</t>
  </si>
  <si>
    <t>THIS WOULD ASSIST THE KINSEY POLICE DEPARTMENT IN CRANKING OUR VEHICLES IF BATTERY DEAD OR IF MOTORIST HAVE DEAD BATTERIES AND WE GET CALLS TO SERVICE THEM</t>
  </si>
  <si>
    <t xml:space="preserve">
Sales Order #: 2278974167
RTD Screening Code: DOD
Reason for Rejection: YG</t>
  </si>
  <si>
    <t>2YTRAR53186648</t>
  </si>
  <si>
    <t>ORDER FROM KINGSTREE POLICE DEPARTMENT, FOR KINGSTREE POLICE DEPARTMENT, FOR USE FOR PATROL DUTIES WITH KINGSTREE POLICE DEPARTMENT</t>
  </si>
  <si>
    <t>2YTF8J60301788</t>
  </si>
  <si>
    <t>KINGSTREE POLICE DEPARTMENT (2YTF8J)</t>
  </si>
  <si>
    <t>THIS UNIT WILL BE ASSIGNED TO OUR BOAT PATROL FOR THE CITY OF KINGSTON TO PATROL OUR WATER WAYS AND USED FOR SECURITY DURING OUR MANY EVENTS IN THE SUMMER.</t>
  </si>
  <si>
    <t>2YTF8B60866514</t>
  </si>
  <si>
    <t>FOR USE BY SHERIFF'S OFFICE TO STORE EVIDENCE THAT NEEDS TO BE FROZEN.  CERTAIN TYPES OF BIOLOGICAL MATERIALS.</t>
  </si>
  <si>
    <t xml:space="preserve">
Sales Order #: 2286618448
RTD Screening Code: DOD
Reason for Rejection: BQ</t>
  </si>
  <si>
    <t>2YTF7N60937396</t>
  </si>
  <si>
    <t>BODY BAGS, TO BE USED BY SHERIFF'S OFFICE DEPUTIES WHEN RECOVERING HUMAN REMAINS.  PRIMARILY MARINE UNIT AND SEARCH AND RESCUE.</t>
  </si>
  <si>
    <t xml:space="preserve">
Sales Order #: 2285459914
RTD Screening Code: GSA
Reason for Rejection: Y9</t>
  </si>
  <si>
    <t>2YTF7N60795895</t>
  </si>
  <si>
    <t>BATTERIES USED IN ROBOTIC SYSTEMS USED BY SHERIFF'S OFFICE BOMB SQUAD.  WILL SUPPORT COUNTER IED OPERATIONS.</t>
  </si>
  <si>
    <t xml:space="preserve">
Sales Order #: 2267430798
RTD Screening Code: DOD
Reason for Rejection: Y9</t>
  </si>
  <si>
    <t>2YTF7N60160514</t>
  </si>
  <si>
    <t>TO BE USED BY THE LEO OF THIS LEA ONLY. WILL BE USED TO PATROL BEACH AREAS AND OTHER PARTS OF OUR JURISDICTION THAT ARE DIFFICULT TO TRAVERSE WITH OUR STANDARD FLEET VEHICLES</t>
  </si>
  <si>
    <t xml:space="preserve">
Sales Order #: 2260374052
RTD Screening Code: DOD
Reason for Rejection: Y9</t>
  </si>
  <si>
    <t>2YTF3360372096</t>
  </si>
  <si>
    <t>KEANSBURG POLICE DEPT (2YTF33)</t>
  </si>
  <si>
    <t xml:space="preserve">
Sales Order #: 2281667422
RTD Screening Code: DOD
Reason for Rejection: Y9</t>
  </si>
  <si>
    <t>2YTF3360372095</t>
  </si>
  <si>
    <t>EARTH MOVING AND EXCAVATING EQUIPMENT NEEDED TO MAINTAIN THE KANE COUNTY SHERIFFS OFFICE JOINT OUTDOOR SHOOTING RANGE.  ROUTINE MAINTENANCE IS REQUIRED AND EQUIPMENT MUST BE RENTED EACH TIME WE PERFORM THIS SERVICE.  WE WILL ALSO BE ABLE TO UTILIZE THIS EQUIPMENT FOR SITE MAINTENANCE.</t>
  </si>
  <si>
    <t xml:space="preserve">
Sales Order #: 2285163529
RTD Screening Code: DOD
Reason for Rejection: Y9</t>
  </si>
  <si>
    <t>2YTF3G60655425</t>
  </si>
  <si>
    <t>THERMOMETER, LAB, IS BEING REQUESTED TO EQUIP THE NEW KANE COUNTY SHERIFFS OFFICE FORENSICS LABORATORY.  THE FORENSICS LAB BUILDOUT HAS JUST BEEN COMPLETED AND THIS EQUIPMENT WILL GO A LONG WAY TO HELP EXPAND THE LABS EVIDENCE PROCESSING CAPABILITIES.</t>
  </si>
  <si>
    <t>THERMOMETER, LAB - NO MERCURY</t>
  </si>
  <si>
    <t>DSTHERMO1</t>
  </si>
  <si>
    <t>2YTF3G60584772</t>
  </si>
  <si>
    <t>WARMERS NEEDED FOR THE KANE COUNTY SHERIFFS OFFICE KITCHEN REMODEL. FOOD WILL HAVE TO BE PREPARED IN ANOTHER LOCATION, KEPT WARM AND THEN TRANSPORTED TO OUR FACILITY.  WARMERS ARE REQUIRED TO PROVIDE THIS FUNCTION.</t>
  </si>
  <si>
    <t>CABINET FOOD HOLDIN</t>
  </si>
  <si>
    <t>2YTF3G60332507</t>
  </si>
  <si>
    <t>GARBAGE DISPOSAL NEEDED TO REPLACE THE AGING UNIT AT THE KANE COUNTY SHERIFF OFFICE THAT WAS INSTALLED IN 2007.  THIS UNIT WILL SAVE ON CONTINUOUS REPAIR COSTS, FREEING UP CAPITAL FOR OTHER NEEDS.</t>
  </si>
  <si>
    <t xml:space="preserve">
Sales Order #: 2281786275
RTD Screening Code: GSA
Reason for Rejection: YG</t>
  </si>
  <si>
    <t>2YTF3G60302189</t>
  </si>
  <si>
    <t>CARGO TRUCK NEEDED TO SUPPORT THE KANE COUNTY SHERIFFS OFFICE KITCHEN REMODEL.  ITEMS WILL HAVE TO BE TRANSPORTED FROM A SEPARATE FACILITY ON CAMPUS DURING THE CONSTRUCTION. THIS TRUCK WILL FULFILL OUR LOGISTICS NEEDS.</t>
  </si>
  <si>
    <t xml:space="preserve">
Sales Order #: 2280602388
RTD Screening Code: DOD
Reason for Rejection: BQ</t>
  </si>
  <si>
    <t>2YTF3G60231019</t>
  </si>
  <si>
    <t>SERVICE EQUIPMENT NEEDED BY THE KANE COUNTY SHERIFFS OFFICE TO SERVICE THE ELEVATED HARD TO REACH AREAS ON OUR FACILITIES. THE UNIQUE CONFIGURATION WILL ALLOW US TO MOVE IT INTO TIGHT AREAS WHERE NORMAL LIFTS WILL NOT REACH.  THIS EQUIPMENT WILL ALSO BE UTILIZED BY OUR SNIPER TEAM DURING TRAININGS AND DEPLOYMENTS WHEN REQUIRED.</t>
  </si>
  <si>
    <t xml:space="preserve">
Sales Order #: 2281349160
RTD Screening Code: DOD
Reason for Rejection: Y9</t>
  </si>
  <si>
    <t>2YTF3G60161041</t>
  </si>
  <si>
    <t>BOX TRUCK NEEDED TO TRANSPORT MEALS AND EQUIPMENT BETWEEN KANE COUNTY SHERIFFS OFFICE FACILITIES DURING THE 6 MONTH KITCHEN REMODEL.  THE VEHICLE IS OLD BUT MAY LAST US LONG ENOUGH TO AVOID THE NEED TO RENT A VEHICLE DURING THE DURATION OF THE PROJECT.</t>
  </si>
  <si>
    <t xml:space="preserve">
Sales Order #: 2280751965
RTD Screening Code: RTD2
Reason for Rejection: YG</t>
  </si>
  <si>
    <t>2YTF3G60080676</t>
  </si>
  <si>
    <t>WARMERS NEEDED TO BE UTILIZED DURING THE KANE COUNTY SHERIFFS OFFICE KITCHEN REMODEL PROJECT THAT IS BEGINNING IN MARCH 2026.  OUR CURRENT KITCHEN IS BEING RENOVATED, THESE ARE NEEDED TO MAINTAIN CURRENT FOOD WARMING CAPACITY.</t>
  </si>
  <si>
    <t xml:space="preserve">
Sales Order #: 2280751962
Reason for Rejection: YD</t>
  </si>
  <si>
    <t>2YTF3G60080675</t>
  </si>
  <si>
    <t>THE JONES COUNTY SHERIFFS OFFICE WILL USE THIS EQUIPMENT IN CONJUNCTION WITH OUR GENERATORS TO MULTIPLY POWER DURING DISASTER RESPONSE OPERATIONS SEARCH AND RESCUE OPERATIONS AND SWAT OPERATIONS</t>
  </si>
  <si>
    <t xml:space="preserve">
Sales Order #: 2279147239
RTD Screening Code: RTD2
Reason for Rejection: YH</t>
  </si>
  <si>
    <t>CONVERTERS, ELECTRICAL, NONROTATING</t>
  </si>
  <si>
    <t>DSCONVER3</t>
  </si>
  <si>
    <t>2YTF1Y53469042</t>
  </si>
  <si>
    <t>JONES COUNTY SHERIFF DEPT (2YTF1Y)</t>
  </si>
  <si>
    <t>THE JOHNSTON COMMUNITY COLLEGE POLICE DEPARTMENT IS REQUESTING A VEHICLE THROUGH THE LESO PROGRAM TO SUPPORT CAMPUS PATROL, EMERGENCY RESPONSE, AND DISASTER RESPONSE OPERATIONS. THE VEHICLE WILL BE USED TO PATROL CAMPUS PROPERTY, RESPOND TO MEDICAL EMERGENCIES, HAZARDOUS CONDITIONS, SUSPICIOUS ACTIVITY, SEVERE WEATHER EVENTS, AND ASSIST WITH SECURITY DURING LARGE CAMPUS EVENTS WHILE COORDINATING WITH LOCAL LAW ENFORCEMENT AND EMERGENCY SERVICES.</t>
  </si>
  <si>
    <t xml:space="preserve">
Sales Order #: 2285446142
RTD Screening Code: GSA
Reason for Rejection: YG</t>
  </si>
  <si>
    <t>2YTTAS60795917</t>
  </si>
  <si>
    <t>JOHNSTON COMM COLLEGE PD HI_ED (2YTTAS)</t>
  </si>
  <si>
    <t>JEROME COUNTY SHERIFFS DEPARTMENT WOULD LIKE TO USE THIS VEHICLE IN THE INVESTIGATION OF HUMAN AND DRUG TRAFFICKING IN OUR JURISDICTION.</t>
  </si>
  <si>
    <t>2YTFY460221870</t>
  </si>
  <si>
    <t>JEROME COUNTY SHERIFF'S OFFICE (2YTFY4)</t>
  </si>
  <si>
    <t>JEROME COUNTY SHERIFF'S OFFICE WOULD LIKE THIS VEHICLE TO BE USED UNDERCOVER FOR DRUG AND HUMAN TRAFFICKING INVESTIGATIONS.</t>
  </si>
  <si>
    <t>2YTFY460221869</t>
  </si>
  <si>
    <t>FOR USE BY JEFFERSON COUNTY SHERIFF'S OFFICE MO. INTENDED TO REPLACE LESO-ACQUIRED NVGS. THESE ARE USED OPERATIONALLY BY SWAT TEAM MEMBERS TO ENHANCE OFFICER SAFETY. ALSO USED FOR SEARCHES OF MISSING AND WANTED PERSONS, INCREASING PUBLIC SAFETY. IF NEW ITEMS ARE RECEIVED, THE OLD ONES WOULD BE RETURNED. 
AGENCY IS AWARE THE CONDITION CODE IS H AND STILL REQUESTS ITEMS.</t>
  </si>
  <si>
    <t xml:space="preserve">
Sales Order #: 2285333699
RTD Screening Code: DOD
Reason for Rejection: BQ</t>
  </si>
  <si>
    <t>2YTFXU60795688</t>
  </si>
  <si>
    <t>JEFFERSON COUNTY SHERIFF'S OFFICE (2YTFXU)</t>
  </si>
  <si>
    <t>WILL BE USED FOR JEFFERSON CSO MO. SWAT TEAM. INTENDED TO BE AFFIXED TO SWAT CARBINES FOR TACTICAL AND LIFE SAVING OPERATIONS. JCSO'S JURISDICTION IS MOSTLY RURAL AND SWAT OPERATIONS OCCUR ON LARGE PROPERTIES. THUS, MAGNIFICATION IS CRUCIAL FOR WEAPONS SIGHTS TO BE EFFECTIVE AT LONGER DISTANCES. AGENCY IS AWARE OF CONDITION CODE.</t>
  </si>
  <si>
    <t xml:space="preserve">
Sales Order #: 2285152395
RTD Screening Code: DOD
Reason for Rejection: Y9</t>
  </si>
  <si>
    <t>2YTFXU60725187</t>
  </si>
  <si>
    <t>INTENDED FOR BARRICADED SUBJECT SITUATIONS. USED TO ILLUMINATE AREAS FOR INCREASED OFFICER SAFETY. ADDITIONALLY, THEY CAN BE USED WHILE PROCESSING A CRIME SCENE IN A LOW LIGHT OR NO LIGHT SITUATION.</t>
  </si>
  <si>
    <t xml:space="preserve">
Sales Order #: 2285177822
RTD Screening Code: DOD
Reason for Rejection: YH</t>
  </si>
  <si>
    <t>2YTFXU60584656</t>
  </si>
  <si>
    <t>THIS WILL BE USED BY LAW ENFORCEMENT TO MAINTAIN AND REBUILD BERMS AT THE JEFFERSON COUNTY TRAINING CENTER AND SHOOTING RANGE</t>
  </si>
  <si>
    <t xml:space="preserve">
Sales Order #: 2285872679
RTD Screening Code: DOD
Reason for Rejection: Y9</t>
  </si>
  <si>
    <t>2YTFX460866182</t>
  </si>
  <si>
    <t>THIS WILL BE USED BY LAW ENFORCEMENT TO TRANSPORT HEAVY EQUIPMENT TO AND FROM THE JEFFERSON COUNTY TRAINING CENTER. TRANSPORTATION WOULD BE FOR SERVICE OF EQUIPMENT AS WELL AS ACQUISITION OF OTHER EQUIPMENT THROUGH SEIZURE OR MILITARY</t>
  </si>
  <si>
    <t xml:space="preserve">
Sales Order #: 2285179960
RTD Screening Code: DOD
Reason for Rejection: Y9</t>
  </si>
  <si>
    <t>2YTFX460725106</t>
  </si>
  <si>
    <t>THIS WILL BE USED BY LAW ENFORCEMENT AT THE JEFFERSON COUNTY SHERIFF'S OFFICE TRAINING CENTER TO MAINTAIN SHOOTING BERMS AND DRAINAGE DITCHES</t>
  </si>
  <si>
    <t xml:space="preserve">
Sales Order #: 2283434786
RTD Screening Code: DOD
Reason for Rejection: Y9</t>
  </si>
  <si>
    <t>2YTFX460655398</t>
  </si>
  <si>
    <t xml:space="preserve">
Sales Order #: 2285178934
RTD Screening Code: DOD
Reason for Rejection: Y9</t>
  </si>
  <si>
    <t>2YTFX460655108</t>
  </si>
  <si>
    <t>THESE WILL BE USED BY LAW ENFORCEMENT AT THE JEFFERSON COUNTY SHERIFF'S OFFICE TRAINING CENTER TO PREPARE NEW RECRUITS FOR PHYSICAL AGILITY QUALIFICATIONS AND TO MAINTAIN PHYSICAL STANDARDS</t>
  </si>
  <si>
    <t xml:space="preserve">
Sales Order #: 2270281601
RTD Screening Code: DOD
Reason for Rejection: Y9</t>
  </si>
  <si>
    <t>BICYCLE, EXERCISE</t>
  </si>
  <si>
    <t>DSBICYCEE</t>
  </si>
  <si>
    <t>2YTFX460160569</t>
  </si>
  <si>
    <t>THIS WILL BE USED BY LAW ENFORCEMENT PERSONNEL AT JEFFERSON COUNTY SHERIFF'S OFFICE TO MAINTAIN BERMS AND PROPERTY AT THE RANGE AND TRAINING FACILITY</t>
  </si>
  <si>
    <t xml:space="preserve">
Sales Order #: 2280129887
RTD Screening Code: DOD
Reason for Rejection: Y9</t>
  </si>
  <si>
    <t>2YTFX460090015</t>
  </si>
  <si>
    <t>THESE WILL BE USED BY LAW ENFORCEMENT IN A FLOOR CLEANING MACHINE THAT JEFFERSON COUNTY SHERIFF'S OFFICE CURRENTLY HAS. THESE WILL BE REPLACEMENT BRUSHES FOR THE ONES THAT ARE DETERIORATING.</t>
  </si>
  <si>
    <t xml:space="preserve">
Sales Order #: 2280915059
RTD Screening Code: DOD
Reason for Rejection: YH</t>
  </si>
  <si>
    <t>POLY ABRASIVE BRUSH</t>
  </si>
  <si>
    <t>2YTFX460020014</t>
  </si>
  <si>
    <t>REQUESTING AGENCY HAS CONFIRMED WITH THE DLA DS LOCATION REGARDING THE LISTED ITEM CONDITION AND IS SATISFIED THAT THE ITEM REQUESTED IS OF OPERATIONAL AND OR SERVICEABLE CONDITION. BELTS WILL BE USED BY AGENCY PERSONNEL DURING PUBLIC SAFETY EVENTS, SPECIFICALLY HIGH-RISK LAW ENFORCEMENT EVENTS IN WHICH VITAL EQUIPMENT MUST BE CARRIED AND DEPLOYED TO AFFECT MISSION SUCCESS. THE BELTS WILL ALSO AID IN ORGANIZATION AND STORAGE OF EQUIPMENT.</t>
  </si>
  <si>
    <t>BELT,SAFETY,INDUSTRIAL</t>
  </si>
  <si>
    <t>2YTPUC60654550</t>
  </si>
  <si>
    <t>JAMESTOWN POLICE DEPARTMENT (2YTPUC)</t>
  </si>
  <si>
    <t>SHIRTS WILL BE USED BY AGENCY PERSONNEL FOR LOAD CARRIAGE, UNIFORMITY AND PROTECTION DURING HIGH RISK PUBLIC SAFETY EVENTS SUCH AS SEARCH AND RESCUE AND COUNTER TERRORISM AND WILL AID IN COMFORT AND EFFICIENCY DURING PERTINENT JOB TASKS, CREATING ENHANCED EFFICIENCY AND EFFECTIVENESS.</t>
  </si>
  <si>
    <t xml:space="preserve">
Sales Order #: 2283529124
RTD Screening Code: DOD
Reason for Rejection: Y9</t>
  </si>
  <si>
    <t>2YTPUC60442923</t>
  </si>
  <si>
    <t>REQUESTING AGENCY HAS CONFIRMED WITH THE DLA DS LOCATION REGARDING THE LISTED ITEM CONDITION AND IS SATISFIED THAT THE ITEM REQUESTED IS OF OPERATIONAL AND OR SERVICEABLE CONDITION. SHIRTS WILL BE USED BY AGENCY PERSONNEL FOR LOAD CARRIAGE, UNIFORMITY AND PROTECTION DURING HIGH RISK PUBLIC SAFETY EVENTS SUCH AS SEARCH AND RESCUE AND COUNTER TERRORISM AND WILL AID IN COMFORT AND EFFICIENCY DURING PERTINENT JOB TASKS, CREATING ENHANCED EFFICIENCY AND EFFECTIVENESS.</t>
  </si>
  <si>
    <t>2YTPUC60442910</t>
  </si>
  <si>
    <t>REQUESTING AGENCY HAS CONFIRMED WITH THE DLA DS LOCATION REGARDING THE LISTED ITEM CONDITION AND IS SATISFIED THAT THE ITEM REQUESTED IS OF OPERATIONAL AND OR SERVICEABLE CONDITION. TROUSERS WILL BE USED BY AGENCY PERSONNEL FOR LOAD CARRIAGE, UNIFORMITY AND PROTECTION DURING HIGH RISK PUBLIC SAFETY EVENTS SUCH AS SEARCH AND RESCUE AND COUNTER TERRORISM AND WILL AID IN COMFORT AND EFFICIENCY DURING PERTINENT JOB TASKS, CREATING ENHANCED EFFICIENCY AND EFFECTIVENESS.</t>
  </si>
  <si>
    <t>2YTPUC60442904</t>
  </si>
  <si>
    <t>REQUESTING AGENCY HAS CONFIRMED WITH THE DLA DS LOCATION REGARDING THE LISTED ITEM CONDITION AND IS SATISFIED THAT THE ITEM REQUESTED IS OF OPERATIONAL AND OR SERVICEABLE CONDITION. BOOTS WILL BE USED BY AGENCY PERSONNEL DURING PUBLIC SAFETY INCIDENTS AND TRAININGS TO BETTER ENHANCE OPERATIONAL CAPABILITY BY WEARING QUALITY FOOTWEAR.</t>
  </si>
  <si>
    <t>BOOTS, MEN'S, PAIR</t>
  </si>
  <si>
    <t>DSBOOTS01</t>
  </si>
  <si>
    <t>2YTPUC60372934</t>
  </si>
  <si>
    <t>2YTPUC60372929</t>
  </si>
  <si>
    <t>REQUESTING AGENCY HAS CONFIRMED WITH THE DLA DS LOCATION REGARDING THE LISTED ITEM CONDITION AND IS SATISFIED THAT THE ITEM REQUESTED IS OF OPERATIONAL AND OR SERVICEABLE CONDITION. BAG WILL BE USED BY AGENCY PERSONNEL DURING PUBLIC SAFETY EVENTS, SPECIFICALLY HIGH-RISK LAW ENFORCEMENT EVENTS IN WHICH VITAL EQUIPMENT MUST BE CARRIED AND DEPLOYED TO AFFECT MISSION SUCCESS. THE BAGS WILL ALSO AID IN ORGANIZATION AND STORAGE OF EQUIPMENT.</t>
  </si>
  <si>
    <t xml:space="preserve">
Sales Order #: 2281230561
RTD Screening Code: DOD
Reason for Rejection: Y9</t>
  </si>
  <si>
    <t>2YTPUC60090287</t>
  </si>
  <si>
    <t>REQUESTING AGENCY HAS CONFIRMED WITH THE DLA DS LOCATION REGARDING THE LISTED ITEM CONDITION AND IS SATISFIED THAT THE ITEM REQUESTED IS OF OPERATIONAL AND OR SERVICEABLE CONDITION. POUCHES WILL BE USED BY AGENCY PERSONNEL DURING PUBLIC SAFETY EVENTS, SPECIFICALLY HIGH-RISK LAW ENFORCEMENT EVENTS IN WHICH VITAL EQUIPMENT MUST BE CARRIED AND DEPLOYED TO AFFECT MISSION SUCCESS. THE POUCHES WILL ALSO AID IN ORGANIZATION AND STORAGE OF EQUIPMENT.</t>
  </si>
  <si>
    <t xml:space="preserve">
Sales Order #: 2281230549
RTD Screening Code: DOD
Reason for Rejection: Y9</t>
  </si>
  <si>
    <t>PATCH POCKET,UTILITY</t>
  </si>
  <si>
    <t>2YTPUC60090286</t>
  </si>
  <si>
    <t xml:space="preserve">
Sales Order #: 2281230533
RTD Screening Code: DOD
Reason for Rejection: YG</t>
  </si>
  <si>
    <t>POCKET,AMMUNITION MAGAZINE</t>
  </si>
  <si>
    <t>2YTPUC60090285</t>
  </si>
  <si>
    <t xml:space="preserve">
Sales Order #: 2281230559
RTD Screening Code: DOD
Reason for Rejection: Y9</t>
  </si>
  <si>
    <t>2YTPUC60090284</t>
  </si>
  <si>
    <t xml:space="preserve">
Sales Order #: 2282783455
RTD Screening Code: DOD
Reason for Rejection: Y9</t>
  </si>
  <si>
    <t>2YTFUX60372314</t>
  </si>
  <si>
    <t>ITASCA COUNTY SHERIFF'S OFFICE WOULD USE THESE GOGGLES FOR LAW ENFORCEMENT SWAT ACTIVITIES, WITH PREFERENCE FOR COUNTER DRUG COUNTER TERRORISM, DISATER-RELATED EMERGENCY PREPAREDNESS OR BOADER RELATED ACTIVITIES.  WE ACKNOWLEDGES THE CONDITION AND WOULD BE RESPONSIBLE FOR ANY SHIPPING FEES.</t>
  </si>
  <si>
    <t>2YTFTX60442820</t>
  </si>
  <si>
    <t>ITASCA COUNTY SHERIFF OFFICE (2YTFTX)</t>
  </si>
  <si>
    <t>FOR USE BY POLICE DEPARTMENT GYM.</t>
  </si>
  <si>
    <t xml:space="preserve">
Sales Order #: 2285179908
RTD Screening Code: DOD
Reason for Rejection: Y9</t>
  </si>
  <si>
    <t>2YTFTU60654482</t>
  </si>
  <si>
    <t>ISSAQUAH POLICE DEPT (2YTFTU)</t>
  </si>
  <si>
    <t>FOR USE AT THE ISSAQUAH POLICE DEPARTMENT</t>
  </si>
  <si>
    <t>2YTFTU60584503</t>
  </si>
  <si>
    <t>THE ISLE OF WIGHT COUNTY SHERIFF'S OFFICE IS A FULL-SERVICE LAW ENFORCEMENT AGENCY OFFERING SERVICES TO A POPULATION OF OVER 45,000 CITIZENS. OUR AGENCY OPERATES AN ANIMAL SERVICES DIVISION. THE ACQUISITION OF THIS TRAILER WILL ALLOW FOR SUPPLIES AND EQUIPMENT TO BE STORED IN ONE CENTRAL UNIT TO SUPPORT ANIMAL SEIZURE AND INVESTIGATIONS.</t>
  </si>
  <si>
    <t xml:space="preserve">
Sales Order #: 2285864234
RTD Screening Code: DOD
Reason for Rejection: Y9</t>
  </si>
  <si>
    <t>2YTFTQ60866537</t>
  </si>
  <si>
    <t>ISLE OF WIGHT CTY SHERIFF'S OFFICE (2YTFTQ)</t>
  </si>
  <si>
    <t>THE ISLE OF WIGHT COUNTY SHERIFF'S OFFICE IS A FULL-SERVICE LAW ENFORCEMENT AGENCY THAT OPERATES A MARINE UNIT. OUR CURRENT VESSEL WAS ACQUIRED VIA THE 1033 PROGRAM. WE PATROL OVER 20 MILES OF SHORELINE ON THE JAMES AND PAGAN RIVERS AND ASSIST WITH MUTUAL AID WITH THE PORT OF VIRGINIA. ACQUIRING THIS MOTOR WILL PROVIDE A BACKUP UNIT TO OUR CURRENT MOTOR.</t>
  </si>
  <si>
    <t xml:space="preserve">
Sales Order #: 2282566516
RTD Screening Code: DOD
Reason for Rejection: YG</t>
  </si>
  <si>
    <t>2YTFTQ60372087</t>
  </si>
  <si>
    <t>THE ISLE OF WIGHT COUNTY SHERIFF'S OFFICE IS A FULL-SERVICE LAW ENFORCEMENT AGENCY TO INCLUDE AN ANIMAL SERVICES DIVISION. THIS TRAILER WILL ALLOW FOR THE STORAGE OF EQUIPMENT USED TO INVESTIGATE AND PROCESS ANIMAL CRUELTY CASES.</t>
  </si>
  <si>
    <t xml:space="preserve">
Sales Order #: 2281961826
RTD Screening Code: RTD2
Reason for Rejection: YG</t>
  </si>
  <si>
    <t>2YTFTQ60151208</t>
  </si>
  <si>
    <t>TO BE USED FOR PERIMETER SECURITY ON OUR COMPLEX. IMPROVE DEPUTY SAFETY AND A MORE COST EFFECTIVE WAY TO SEARCH RURAL AND WOODED AREAS OF INDIAN RIVER COUNTY. ALSO ASSIST IN MISSING PERSONS AND NATURAL DISASTER EVACUATIONS. THANK YOU</t>
  </si>
  <si>
    <t xml:space="preserve">
Sales Order #: 2281586416
RTD Screening Code: DOD
Reason for Rejection: Y9</t>
  </si>
  <si>
    <t>2YTFQW60160956</t>
  </si>
  <si>
    <t>INDIAN RIVER SHERIFFS OFFICE (2YTFQW)</t>
  </si>
  <si>
    <t>THE METROPARKS POLICE DEPARTMENT WOULD UTYLIZE THE GENERAL MECHANICS TOOL KIT TO OUTFIT OUR EXISTING ATV, SEARCH AND RESCUE AND DRONE COMMAND POST WITH HANDTOOLS THAT WILL ALLOW REPAIRS TO BE MADE IN THE FIELD OF SMALL ENGINES, SUPPORT EQUPIPMENT, GENERATORS AND FLOODLIGHTS.</t>
  </si>
  <si>
    <t xml:space="preserve">
Sales Order #: 2276195404
RTD Screening Code: DOD
Reason for Rejection: YG</t>
  </si>
  <si>
    <t>2YTRAL60302047</t>
  </si>
  <si>
    <t>THE TOOL KITS WOULD BE USED TO SUPPLEMENT OUR SMALL EXISTING TOOL KIT WE KEEP OUR OUR ATV AND SEARCH AND RESCUE TRAILER SO THAT MINOR FIXES CAN BE MADE WHILE IN THE FIELD.</t>
  </si>
  <si>
    <t xml:space="preserve">
Sales Order #: 2282550022
RTD Screening Code: DOD
Reason for Rejection: YG</t>
  </si>
  <si>
    <t>2YTRAL60302042</t>
  </si>
  <si>
    <t>THE METROPARKS POLICE DEPARTMENT WILL UTILIZE THE LARGE CASES FOR THE STORAGE OF SUPPORT EQUIPMENT ASSIGNED TO OFFICERS SERVING ON THE LOCAL SEARCH AND RESCUE TEAM. INTEGRATED STORAGE COMPARTMENTS WILL ALLOW EQUIPMENT TO BE ORGANIZED BY FUNCTION WHILE ENSURING ITEMS REMAIN SECURE AND PROTECTED FROM ENVIRONMENTAL EXPOSURE. THIS STORAGE SOLUTION WILL ENHANCE OPERATIONAL READINESS, EQUIPMENT LONGEVITY, AND RAPID DEPLOYMENT DURING SEARCH AND RESCUE OPERATIONS.</t>
  </si>
  <si>
    <t xml:space="preserve">
Sales Order #: 2278331066
RTD Screening Code: DOD
Reason for Rejection: Y9</t>
  </si>
  <si>
    <t>2YTRAL60301534</t>
  </si>
  <si>
    <t>THE METROPARKS POLICE DEPARTMENT WOULD ISSUE INDIVIDUAL BAGS TO OFFICERS ASSIGNED TO THE SEARCH AND RESCUE TEAM, ALLOWING SPECIFIC GEAR TO BE SAFELY STORED AND KEPT SEPARATE BASED ON OPERATIONAL NEEDS, WHILE ALSO MAKING THE EQUIPMENT EASIER TO SECURE IN PATROL VEHICLES.</t>
  </si>
  <si>
    <t xml:space="preserve">
Sales Order #: 2281355603
RTD Screening Code: GSA
Reason for Rejection: YG</t>
  </si>
  <si>
    <t>INDIVIDUAL BAG</t>
  </si>
  <si>
    <t>DSBAG0002</t>
  </si>
  <si>
    <t>2YTRAL60231540</t>
  </si>
  <si>
    <t>THE METROPARKS POLICE DEPARTMENT WOULD UTILIZE THE SUV TO MEET OPERATIONAL NEEDS REQUIRING ENHANCED TOWING CAPABILITY AND EXPANDED STORAGE. THE VEHICLE WOULD SUPPORT PERSONNEL ASSIGNED TO THE SPECIALTY SEARCH AND RESCUE UNIT AND THE DRONE TEAM, WITH AN OVERSIZED CARGO AREA THAT ENSURES SPECIALIZED EQUIPMENT IS SECURELY STORED AND IMMEDIATELY AVAILABLE FOR DEPLOYMENT.</t>
  </si>
  <si>
    <t xml:space="preserve">
Sales Order #: 2281217919
RTD Screening Code: DOD
Reason for Rejection: Y9</t>
  </si>
  <si>
    <t>2YTRAL60160411</t>
  </si>
  <si>
    <t>THE SHERIFFS OFFICE IS REQUESTING THIS TRAILER TO SUPPORT TRANSPORTATION OF CARGO, EMERGENCY RESPONSE VEHICLES, AND OTHER LARGE EQUIPMENT DURING DISASTER AND EMERGENCY OPERATIONS. IT WILL ALSO BE USED TO MOVE AND SUPPORT LESO AND OTHER SPECIALIZED EQUIPMENT, A CAPABILITY WE CURRENTLY DO NOT POSSESS. WE ACKNOWLEDGE THE TRAILER IS LISTED AS CONDITION H AND ACCEPT RESPONSIBILITY FOR THE CONDITION AND MAINTENANCE OF THIS ASSET.</t>
  </si>
  <si>
    <t xml:space="preserve">
Sales Order #: 2285870139
RTD Screening Code: DOD
Reason for Rejection: Y9</t>
  </si>
  <si>
    <t>2YTFMD60866408</t>
  </si>
  <si>
    <t>THE HUMPHREYS COUNTY SHERIFF'S OFFICE IS REQUESTING THIS VEHICLE TO SUPPORT EMERGENCY OPERATIONS REQUIRING RAPID DEPLOYMENT OF SPECIALIZED EQUIPMENT AND PERSONNEL. IT WILL SERVE AS A MOBILE RESPONSE PLATFORM FOR SWAT OPERATIONS, SAR MISSIONS, AND OTHER CRITICAL INCIDENTS, ALLOWING ESSENTIAL EQUIPMENT TO BE PRE STAGED AND DEPLOYED QUICKLY. THIS CAPABILITY WILL IMPROVE OPERATIONAL READINESS, COORDINATION, AND SAFETY FOR DEPUTIES AND THE PUBLIC DURING HIGH RISK OR COMPLEX EMERGENCY READINESS.</t>
  </si>
  <si>
    <t xml:space="preserve">
Sales Order #: 2285864841
RTD Screening Code: DOD
Reason for Rejection: Y9</t>
  </si>
  <si>
    <t>2YTFMD60866136</t>
  </si>
  <si>
    <t xml:space="preserve">
Sales Order #: 2285864843
RTD Screening Code: DOD
Reason for Rejection: Y9</t>
  </si>
  <si>
    <t>2YTFMD60866135</t>
  </si>
  <si>
    <t xml:space="preserve">
Sales Order #: 2285221749
RTD Screening Code: DOD
Reason for Rejection: YH</t>
  </si>
  <si>
    <t>2YTFMD60725490</t>
  </si>
  <si>
    <t>THE SHERIFFS OFFICE REQUESTS THIS VEHICLE TO FILL A FLEET GAP AND SUPPORT COURT SERVICE DEPUTIES AND JAIL STAFF TRANSPORTING INMATES TO AND FROM COURT, AS WELL AS RETRIEVING INMATES FROM OTHER COUNTIES WHERE THEY ARE TAKEN INTO CUSTODY. THE VEHICLE MAY ALSO SUPPLEMENT UNIFORMED AND NON-UNIFORMED STAFF DUE TO THE AGING CONDITION OF OUR FLEET. WE ACKNOWLEDGE THE VEHICLE IS LISTED AS RUNNING BUT IN CONDITION H AND ACCEPT RESPONSIBILITY FOR ITS CONDITION.</t>
  </si>
  <si>
    <t xml:space="preserve">
Sales Order #: 2285222589
RTD Screening Code: DOD
Reason for Rejection: Y9</t>
  </si>
  <si>
    <t>2YTFMD60725457</t>
  </si>
  <si>
    <t>THE HUMPHREYS COUNTY SHERIFFS OFFICE REQUESTS THIS THERMAL IMAGER TO ENHANCE OPERATIONAL CAPABILITY DURING NIGHTTIME PATROL, SEARCH, AND TACTICAL OPERATIONS. OUR JURISDICTION INCLUDES LARGE RURAL AND DENSELY WOODED AREAS WHERE SUSPECT DETECTION AND TRACKING AFTER DARK IS DIFFICULT USING STANDARD EQUIPMENT. THERMAL CAPABILITY WILL ALLOW DEPUTIES TO LOCATE SUSPECTS, CONDUCT SURVEILLANCE, AND IMPROVE OFFICER AND PUBLIC SAFETY WHILE MAINTAINING TACTICAL ADVANTAGE.</t>
  </si>
  <si>
    <t xml:space="preserve">
Sales Order #: 2285180193
RTD Screening Code: DOD
Reason for Rejection: Y9</t>
  </si>
  <si>
    <t>2YTFMD60724983</t>
  </si>
  <si>
    <t>THE HUMPHREYS COUNTY SHERIFFS OFFICE IS REQUESTING THIS ARMORED HMMWV TO SUPPORT EMERGENCY SERVICES AND LAW ENFORCEMENT OPERATIONS DURING FLOODS, SEVERE WEATHER, AND DISASTERS REQUIRING PROTECTED MOBILITY. IT WILL SUPPORT SWAT OPERATIONS INCLUDING BARRICADED SUBJECTS, HOSTAGE RESCUE, HIGH RISK WARRANTS, AND DRUG ENFORCEMENT, PROVIDING ARMORED CAPABILITY NOT CURRENTLY AVAILABLE. WE ACKNOWLEDGE THE VEHICLE IS CONDITION H AND ACCEPT RESPONSIBILITY FOR REMOVAL AND REPAIR.</t>
  </si>
  <si>
    <t>2YTFMD60654651</t>
  </si>
  <si>
    <t>2YTFMD60584432</t>
  </si>
  <si>
    <t>THIS ITEM IS REQUESTED TO SUPPORT A CHARITABLE EMERGENCY ASSISTANCE PROGRAM OPERATED BY THE SHERIFFS OFFICE TO PROVIDE RELOCATION SUPPORT FOR INDIVIDUALS DISPLACED BY DISASTERS OR SEVERE WEATHER. RESOURCES WILL EQUIP WARMING AND EMERGENCY SHELTERS WITH COTS, BLANKETS, AND SLEEPING BAGS FOR DISPLACED PERSONS AND DEPUTIES OR STAFF UNABLE TO RETURN HOME DURING EMERGENCY OPERATIONS.</t>
  </si>
  <si>
    <t>2YTFMD60584356</t>
  </si>
  <si>
    <t>THE HUMPHREYS CO. SHERIFFS OFFICE IS REQUESTING THIS VEHICLE TO SUPPORT EMERGENCY OPERATIONS REQUIRING RAPID DEPLOYMENT OF SPECIALIZED EQUIPMENT AND PERSONNEL. IT WILL SERVE AS A MOBILE RESPONSE PLATFORM FOR SWAT OPERATIONS, SEARCH AND RESCUE MISSIONS, AND OTHER CRITICAL INCIDENTS, ALLOWING NEEDED EQUIPMENT TO BE PRE STAGED AND DEPLOYED QUICKLY. THIS CAPABILITY WILL IMPROVE OPERATIONAL READINESS, COORDINATION, AND SAFETY FOR DEPUTIES AND THE PUBLIC DURING HIGH RISK OR COMPLEX EMERGENCY RESPONSES</t>
  </si>
  <si>
    <t xml:space="preserve">
Sales Order #: 2285179862
RTD Screening Code: DOD
Reason for Rejection: Y9</t>
  </si>
  <si>
    <t>2YTFMD60574662</t>
  </si>
  <si>
    <t xml:space="preserve">
Sales Order #: 2283353886
RTD Screening Code: DOD
Reason for Rejection: BQ</t>
  </si>
  <si>
    <t>2YTFMD60513353</t>
  </si>
  <si>
    <t>OUR SHERIFFS OFFICE SERVES A RURAL TENNESSEE JURISDICTION THAT HAS EXPERIENCED MASS CASUALTY AND DISASTER INCIDENTS, INCLUDING A FEDERALLY DECLARED FLOOD AND AN INDUSTRIAL EXPLOSION. THE AGENCY LACKS A MOBILE COMMAND CAPABILITY AND HAS RELIED ON STATE, FEDERAL, AND DISTANT COUNTY ASSETS. DUE TO LIMITED FUNDING, THIS CAPABILITY CANNOT BE ACHIEVED THROUGH TRADITIONAL PROCUREMENT. THIS VEHICLE WOULD FILL A CRITICAL GAP BY PROVIDING MOBILE COMMAND SUPPORT FOR EMERGENCY AND LAW ENFORCEMENT OPERATIONS</t>
  </si>
  <si>
    <t>2YTFMD60442544</t>
  </si>
  <si>
    <t>THIS ITEM IS REQUESTED TO SUPPORT THE ESTABLISHMENT AND SUSTAINMENT OF A LOCAL CHARITABLE PROGRAM PROVIDING EMERGENCY RELOCATION ASSISTANCE TO INDIVIDUALS DISPLACED BY DISASTERS OR SEVERE WEATHER. RESOURCES WILL BE USED TO EQUIP WARMING AND EMERGENCY SHELTERS WITH ESSENTIAL SLEEP ACCOMMODATIONS, INCLUDING COTS, BLANKETS, AND SLEEPING BAGS, TO ENSURE SAFE TEMPORARY HOUSING FOR AFFECTED PERSONS.</t>
  </si>
  <si>
    <t>INDIVIDUAL SLEEPING SYSTEM</t>
  </si>
  <si>
    <t>DSSLEPSYS</t>
  </si>
  <si>
    <t>2YTFMD60372932</t>
  </si>
  <si>
    <t>2YTFMD60372930</t>
  </si>
  <si>
    <t>2YTFMD60372925</t>
  </si>
  <si>
    <t>2YTFMD60372924</t>
  </si>
  <si>
    <t>2YTFMD60372922</t>
  </si>
  <si>
    <t>2YTFMD60372921</t>
  </si>
  <si>
    <t>2YTFMD60372919</t>
  </si>
  <si>
    <t>2YTFMD60372917</t>
  </si>
  <si>
    <t>2YTFMD60372911</t>
  </si>
  <si>
    <t>2YTFMD60372905</t>
  </si>
  <si>
    <t>THIS REQUEST ADDRESSES AN IDENTIFIED CAPABILITY GAP WITHIN THE AGENCY. THE EMERGENCY RESPONSE TEAM LACKS ARMORED VEHICLE SUPPORT FOR HIGH-RISK LAW ENFORCEMENT OPERATIONS AND ALL-HAZARDS RESPONSE, INCLUDING ACTIVE THREAT INCIDENTS, SEVERE WEATHER, AND FLOODING. THE UNDERSIGNED HAS COORDINATED WITH THE ISSUING BASE REGARDING VEHICLE CONDITION AND ACCEPTS RESPONSIBILITY FOR THE VEHICLE AND ITS ASSIGNED CONDITION RATING, CONSISTENT WITH LESO PROGRAM REQUIREMENTS.</t>
  </si>
  <si>
    <t>2YTFMD60372797</t>
  </si>
  <si>
    <t>THIS REQUEST SEEKS APPROVAL TO EQUIP SWORN DEPUTIES WITH APPROPRIATE EYE PROTECTION SUITABLE FOR BOTH OPERATIONAL DUTIES AND FIREARMS TRAINING, AND TO PROVIDE TRAINING FACILITY STAFF WITH ADEQUATE EYE PROTECTION. THESE MEASURES WILL ENHANCE SAFETY, REDUCE RISK OF INJURY, AND SUPPORT THE OVERALL WELLBEING OF PERSONNEL.</t>
  </si>
  <si>
    <t>2YTFMD60372418</t>
  </si>
  <si>
    <t>THIS REQUEST SEEKS APPROVAL FOR AN EXPANDABLE CONTAINER TO SUPPORT INCREASED STORAGE AND MAINTENANCE NEEDS DURING AND AFTER THE TRANSITION TO A NEW FACILITY. THE CONTAINER WILL PROVIDE TEMPORARY SPACE DURING RELOCATION AND LONG-TERM WORKSPACE FOR VEHICLE REPAIR OVERSIGHT, MINOR PROJECTS, AND COORDINATED MAINTENANCE OF PATROL AND SURPLUS VEHICLES.</t>
  </si>
  <si>
    <t xml:space="preserve">
Sales Order #: 2282071335
RTD Screening Code: DOD
Reason for Rejection: YF</t>
  </si>
  <si>
    <t>CONTAINER EXPANDABL</t>
  </si>
  <si>
    <t>2YTFMD60211541</t>
  </si>
  <si>
    <t>WOULD BE USED BY HUBBARD POLICE OFFICERS FOR MULTI-REGIONAL RESPONSE TO ACCOMPLISH SEARCH AND RESCUE OPERATIONS, AND HIGH RISK TACTICAL OPERATIONS TO ALLOW OUR OFFICERS TO ACCESS THE ENVIRONMENT AND MONITOR SUSPECT MOVEMENT WITHOUT PUTTING OFFICERS OR THE PUBLIC AT RISK.  WOULD ALSO BE USED TO DOCUMENT CRIME SCENES AND LOCATE MISSING PEOPLE AT RISK SUCH AS DEMENTIA PATIENTS OR MISSING JUVENILES.</t>
  </si>
  <si>
    <t xml:space="preserve">
Sales Order #: 2280117691
RTD Screening Code: DOD
Reason for Rejection: YD</t>
  </si>
  <si>
    <t>2YTFK753469044</t>
  </si>
  <si>
    <t>HUBBARD POLICE DEPT (2YTFK7)</t>
  </si>
  <si>
    <t>THIS ITEM IS BEING REQUESTED BY THE HUBBARD COUNTY SHERIFF'S OFFICE TO BE USED BY OFFICERS FOR LAW ENFORCEMENT PURPOSES.  THE REQUESTED NIGHT VISION WILL BE USED BY SWAT OFFICERS FOR NIGHTTIME AND LOW LIGHT OPERATIONS.  THIS INCLUDES HIGH RISK WARRANT SERVICE, SEARCH AND RESCUE, K9 OPERATIONS, BARRICADED SUBJECTS AND MORE.  LEA HAS CONFIRMED SITE HAS BEEN CONTACTED 
AND ACCEPT CONDITION OF PROPERTY</t>
  </si>
  <si>
    <t>2YTFK660867523</t>
  </si>
  <si>
    <t>HUBBARD COUNTY SHERIFF DEPT (2YTFK6)</t>
  </si>
  <si>
    <t>THIS ITEM IS BEING REQUESTED BY THE HUBBARD COUNTY SHERIFF'S OFFICE TO BE USED BY DEPUTIES FOR LAW ENFORCEMENT PURPOSES.  THE REQUESTED NIGHT VISION WILL BE USED BY SWAT FOR NIGHTTIME AND LOW LIGHT OPERATIONS.  THIS INCLUDES SEARCH AND RESCUE, HIGH RISK WARRANT SERVICE, BUILDING CLEARING, AND K9 OPERATIONS AND BARRICADED SUBJECTS. LEA HAS CONFIRMED SITE HAS BEEN CONTACTED AND ACCEPT CONDITION OF PROPERTY.</t>
  </si>
  <si>
    <t>2YTFK660867494</t>
  </si>
  <si>
    <t>THIS ITEM IS BEING REQUESTED BY THE HUBBARD COUNTY SHERIFF'S OFFICE TO BE USED BY OFFICERS FOR LAW ENFORCEMENT PURPOSES.  THE REQUESTED NIGHT VISION WILL BE USED BY THE LAKES AREA SWAT TEAM FOR NIGHTTIME AND LOW LIGHT OPERATIONS INCLUDING WARRANT SERVICE, BARRICADED SUBJECTS, HOSTAGE RESCUE, SEARCH AND RESCUE, K9 OPERATIONS, AND BUILDING CLEARING. LEA HAS CONFIRMED SITE HAS BEEN CONTACTED AND ACCEPT CONDITION OF PROPERTY</t>
  </si>
  <si>
    <t>2YTFK660867259</t>
  </si>
  <si>
    <t>THIS ITEM IS BEING REQUESTED BY THE HUBBARD COUNTY SHERIFF'S OFFICE TO BE USED BY OFFICERS FOR LAW ENFORCEMENT PURPOSES.  THE REQUESTED NIGHT VISION WILL BE USED BY OFFICERS FOR NIGHTTIME AND LOW LIGHT OPERATIONS INCLUDING SEARCH AND RESCUE, K9, WARRANT SERVICE AND OPERATIONS BY SWAT. LEA HAS CONFIRMED SITE HAS BEEN CONTACTED AND ACCEPT CONDITION OF PROPERTY.</t>
  </si>
  <si>
    <t xml:space="preserve">
Sales Order #: 2286239155
RTD Screening Code: DOD
Reason for Rejection: Y9</t>
  </si>
  <si>
    <t>2YTFK660866849</t>
  </si>
  <si>
    <t>THIS ITEM IS BEING REQUESTED BY THE HUBBARD COUNTY SHERIFFS OFFICE TO BE USED BY DEPUTIES FOR LAW ENFORCEMENT PURPOSES.  THE NIGHT VISION DEVICES WILL BE USED BY DEPUTIES FOR NIGHTTIME PATROL OPERATIONS INCLUDING SEARCH AND RESCUE, K9, WARRANT EXECUTION, AREA SEARCHES FOR HIGH-RISK SUSPECTS, AND SWAT OPERATIONS. LEA HAS CONFIRMED SITE HAS BEEN CONTACTED AND ACCEPT CONDITION OF PROPERTY</t>
  </si>
  <si>
    <t xml:space="preserve">
Sales Order #: 2286317829
RTD Screening Code: DOD
Reason for Rejection: Y9</t>
  </si>
  <si>
    <t>2YTFK660866642</t>
  </si>
  <si>
    <t>THIS ITEM IS BEING REQUESTED BY THE HUBBARD COUNTY SHERIFF'S OFFICE TO BE USED BY DEPUTIES FOR LAW ENFORCEMENT PURPOSES.  THE IR ILLUMINATORS WILL BE USED WHEN CONDUCTING NIGHTTIME AND LOW LIGHT OPERATIONS UNDER NIGHT VISION.  THIS INCLUDES SEARCH AND RESCUE, WARRANT SERVICE, K9, BUILDING CLEARING AND OPERATIONS CONDUCTED BY SWAT.  LEA HAS CONFIRMED SITE HAS BEEN CONTACTED AND ACCEPT CONDITION OF PROPERTY</t>
  </si>
  <si>
    <t>2YTFK660866310</t>
  </si>
  <si>
    <t>THIS ITEM IS BEING REQUESTED BY THE HUBBARD COUNTY SHERIFF'S TO BE USED FOR LAW ENFORCEMENT PURPOSES.  THE REQUESTED NIGHT VISION WILL BE USED BY DEPUTIES FOR NIGHTTIME OPERATIONS AND OPERATIONS IN LOW LIGHT.  THIS INCLUDES SEARCH AND RESCUE, K9, WARRANT SERVICE BUILDING CLEARING AND OTHER OPERATIONS CONDUCTED BY SWAT.  LEA HAS CONFIRMED SITE HAS BEEN CONTACTED AND ACCEPT CONDITION OF PROPERTY</t>
  </si>
  <si>
    <t>2YTFK660866306</t>
  </si>
  <si>
    <t>TO BE USED BY THE HUBBARD COUNTY SHERIFFS OFFICE FOR LE PURPOSES. I UNDERSTAND THE CONDITION OF THE ITEMS WHEN THEY ARE RECEIVED.</t>
  </si>
  <si>
    <t>2YTFK660724931</t>
  </si>
  <si>
    <t>THIS ITEM IS BEING REQUESTED BY THE HUBBARD COUNTY SHERIFF'S OFFICE TO BE USED FOR LAW ENFORCEMENT PURPOSES.  THE NIGHT VISION DEVICES WILL BE USED BY THE LAKES AREA SWAT TEAM AND DEPUTIES FOR NIGHTTIME OPERATIONS INCLUDING HIGH-RISK APPREHENSIONS, SEARCH AND RESCUE AND RECONNAISSANCE. LEA HAS CONFIRMED SITE HAS BEEN CONTACTED 
AND ACCEPT CONDITION OF PROPERTY</t>
  </si>
  <si>
    <t>2YTFK660585434</t>
  </si>
  <si>
    <t>TO BE USED BY THIS LEA BY LEO FOR LIGHTING WHILE INVESTIGATING TRAFFIC COLLISIONS WHEN TAKING MEASUREMENTS AT THE SCENE. THIS MAY ALSO BE USED BY DETECTIVES WHEN PHOTOGRAPHING EVIDENCE.</t>
  </si>
  <si>
    <t xml:space="preserve">
Sales Order #: 2281298561
RTD Screening Code: DOD
Reason for Rejection: Y9</t>
  </si>
  <si>
    <t>2YTFKZ60372209</t>
  </si>
  <si>
    <t>HOWELL TOWNSHIP POLICE DEPT (2YTFKZ)</t>
  </si>
  <si>
    <t>TO BE UTILIZED BY THIS LAW ENFORCEMENT AGENCY TO PROVIDE LAW ENFORCEMENT OFFICERS WITH THE ABILITY TO SAFELY TRANSPORT TRAINING EQUIPMENT, THIS MAY INCLUDE BARRIERS, TARGETS FOR FIREARMS AND AMMUNITION.</t>
  </si>
  <si>
    <t xml:space="preserve">
Sales Order #: 2281667426
RTD Screening Code: DOD
Reason for Rejection: Y9</t>
  </si>
  <si>
    <t>2YTFKZ60372126</t>
  </si>
  <si>
    <t>TO BE USED TO REPLACE AND ISSUE NEW TOURNIQUETS TO LAW ENFORCEMENT OFFICERS AT THE HOWELL POLICE DEPARTMENT.</t>
  </si>
  <si>
    <t xml:space="preserve">
Sales Order #: 2278279281
RTD Screening Code: DOD
Reason for Rejection: YG</t>
  </si>
  <si>
    <t>2YTFKY60029866</t>
  </si>
  <si>
    <t>HOWELL POLICE DEPARTMENT (2YTFKY)</t>
  </si>
  <si>
    <t>HCSO IS A LAW ENFORCEMENT AGENCY. HCSO WILL USE THE REQUESTED DUTY BELT EQUIPMENT, INCLUDING MAGAZINE POUCHES AND A FLASHLIGHT, TO ENSURE DEPUTIES ARE PROPERLY EQUIPPED FOR DAILY PATROL OPERATIONS. THESE ITEMS IMPROVE ACCESSIBILITY, ORGANIZATION, AND READINESS OF ESSENTIAL GEAR. PROPERLY CONFIGURED DUTY BELTS ENHANCE OFFICER SAFETY, SUPPORT EFFECTIVE RESPONSE, AND ENSURE DEPUTIES CAN PERFORM THEIR DUTIES EFFICIENTLY.</t>
  </si>
  <si>
    <t>LAW ENFORCEMENT ENS</t>
  </si>
  <si>
    <t>2YTFKX60937337</t>
  </si>
  <si>
    <t>HCSO IS A LAW ENFORCEMENT AGENCY. HCSO WILL USE THE REQUESTED CRYE HALFJAK TO PROVIDE DEPUTIES WITH DURABLE, WEATHER-RESISTANT OUTERWEAR FOR TRAINING, PATROL, AND TACTICAL OPERATIONS. THIS GEAR OFFERS PROTECTION FROM THE ELEMENTS WHILE ALLOWING MOBILITY AND COMFORT. PROPER OUTERWEAR IMPROVES SAFETY, SUPPORTS PERFORMANCE IN ADVERSE CONDITIONS, AND ENSURES DEPUTIES REMAIN EFFECTIVE DURING EXTENDED OPERATIONS AND EMERGENCY RESPONSE.</t>
  </si>
  <si>
    <t xml:space="preserve">
Sales Order #: 2286464047
RTD Screening Code: DOD
Reason for Rejection: Y9</t>
  </si>
  <si>
    <t>2YTFKX60937334</t>
  </si>
  <si>
    <t>HCSO IS A LAW ENFORCEMENT AGENCY. HCSO WILL USE THE REQUESTED CRYE HALF JACKS TO PROVIDE DEPUTIES WITH PROTECTIVE OUTERWEAR DURING TRAINING, PATROL, AND TACTICAL OPERATIONS. THESE GARMENTS OFFER DURABILITY, WEATHER RESISTANCE, AND FUNCTIONALITY WHILE ALLOWING FREEDOM OF MOVEMENT. PROPER GEAR IMPROVES COMFORT, SAFETY, AND PERFORMANCE, ENSURING DEPUTIES REMAIN EFFECTIVE DURING EXTENDED OPERATIONS AND IN VARYING ENVIRONMENTAL CONDITIONS.</t>
  </si>
  <si>
    <t xml:space="preserve">
Sales Order #: 2285810410
RTD Screening Code: DOD
Reason for Rejection: Y9</t>
  </si>
  <si>
    <t>OUTERWEAR, WOMEN'S</t>
  </si>
  <si>
    <t>DSWOUTERW</t>
  </si>
  <si>
    <t>2YTFKX60866738</t>
  </si>
  <si>
    <t xml:space="preserve">
Sales Order #: 2285810404
RTD Screening Code: DOD
Reason for Rejection: Y9</t>
  </si>
  <si>
    <t>2YTFKX60866737</t>
  </si>
  <si>
    <t>2YTFKX60866736</t>
  </si>
  <si>
    <t>HCSO IS A LAW ENFORCEMENT AGENCY. HCSO WILL USE THE REQUESTED DODGE DURANGO FOR PATROL OPERATIONS THROUGHOUT HOWELL COUNTY. THIS VEHICLE WILL ALLOW DEPUTIES TO RESPOND QUICKLY TO CALLS FOR SERVICE, PATROL RURAL AREAS, AND ASSIST DURING EMERGENCIES AND DISASTER RESPONSE. A RELIABLE PATROL VEHICLE IMPROVES RESPONSE TIMES, INCREASES DEPUTY SAFETY, AND ENSURES HCSO CAN EFFECTIVELY SERVE AND PROTECT THE COMMUNITY.</t>
  </si>
  <si>
    <t xml:space="preserve">
Sales Order #: 2285870152
RTD Screening Code: DOD
Reason for Rejection: Y9</t>
  </si>
  <si>
    <t>2YTFKX60866412</t>
  </si>
  <si>
    <t>HCSO IS A LAW ENFORCEMENT AGENCY. HCSO WILL USE THE REQUESTED PICKUP WITH A CAMPER SHELL TO SUPPORT INVESTIGATIVE OPERATIONS THROUGHOUT THE COUNTY. THE COVERED BED PROVIDES SECURE, WEATHER-PROTECTED STORAGE FOR EVIDENCE COLLECTION GEAR, SCENE EQUIPMENT, AND INVESTIGATIVE SUPPLIES. THIS VEHICLE IMPROVES MOBILITY IN RURAL AREAS AND ENSURES INVESTIGATORS CAN SAFELY TRANSPORT EQUIPMENT WHILE RESPONDING TO CRIME SCENES AND FOLLOW-UP INVESTIGATIONS.</t>
  </si>
  <si>
    <t xml:space="preserve">
Sales Order #: 2285864881
RTD Screening Code: DOD
Reason for Rejection: Y9</t>
  </si>
  <si>
    <t>2YTFKX60866146</t>
  </si>
  <si>
    <t>HCSO IS A LAW ENFORCEMENT AGENCY. HCSO WILL USE THE REQUESTED CONEX SHIPPING CONTAINERS TO CONSTRUCT A STRUCTURE FOR SIMUNITION TRAINING AT THE HCSO TRAINING FACILITY. THESE CONTAINERS WILL CREATE A SAFE, CONTROLLED ENVIRONMENT FOR REALISTIC SCENARIO-BASED TRAINING. THIS FACILITY IMPROVES DEPUTY READINESS, ENHANCES SAFETY, AND STRENGTHENS TRAINING FOR CRITICAL INCIDENTS AND TACTICAL RESPONSE.</t>
  </si>
  <si>
    <t xml:space="preserve">
Sales Order #: 2285872666
RTD Screening Code: DOD
Reason for Rejection: Y9</t>
  </si>
  <si>
    <t>2YTFKX60866138</t>
  </si>
  <si>
    <t>HCSO IS A LAW ENFORCEMENT AGENCY. HCSO WILL USE THE REQUESTED ENCLOSED CARGO TRAILER TO TRANSPORT AND STORE EQUIPMENT USED FOR TRAINING, MAINTENANCE, AND DISASTER RESPONSE. THE ENCLOSED DESIGN PROTECTS TOOLS, RESCUE GEAR, AND SUPPLIES FROM WEATHER AND THEFT WHILE ALLOWING EFFICIENT DEPLOYMENT TO INCIDENT LOCATIONS. THIS TRAILER IMPROVES ORGANIZATION, MOBILITY, AND READINESS DURING EMERGENCIES AND OPERATIONAL ACTIVITIES.</t>
  </si>
  <si>
    <t xml:space="preserve">
Sales Order #: 2285872625
RTD Screening Code: DOD
Reason for Rejection: Y9</t>
  </si>
  <si>
    <t>2YTFKX60866132</t>
  </si>
  <si>
    <t>HCSO IS A LAW ENFORCEMENT AGENCY. HCSO WILL USE THE REQUESTED SUV TO SUPPORT INVESTIGATIVE OPERATIONS THROUGHOUT HOWELL COUNTY. INVESTIGATORS FREQUENTLY RESPOND TO CRIME SCENES, CONDUCT FOLLOW-UP INVESTIGATIONS, TRANSPORT EVIDENCE, AND COORDINATE WITH PARTNER AGENCIES. A RELIABLE SUV IMPROVES MOBILITY ACROSS RURAL AREAS, INCREASES RESPONSE CAPABILITY, AND ENSURES INVESTIGATORS CAN EFFECTIVELY SERVE VICTIMS AND PURSUE CRIMINAL CASES.</t>
  </si>
  <si>
    <t xml:space="preserve">
Sales Order #: 2285320901
RTD Screening Code: GSA
Reason for Rejection: Y9</t>
  </si>
  <si>
    <t>2YTFKX60795827</t>
  </si>
  <si>
    <t>HCSO IS A LAW ENFORCEMENT AGENCY. HCSO WILL USE THE REQUESTED VEHICLE AT THE TRAINING RANGE FOR REALISTIC FIREARMS AND TACTICAL SCENARIOS. IT WILL SUPPORT EXERCISES SUCH AS TRAFFIC STOPS, VEHICLE ASSAULTS, AND RESCUE OPERATIONS. DEDICATED TRAINING VEHICLES IMPROVE SAFETY, ENHANCE REALISM, AND ALLOW DEPUTIES TO PRACTICE CRITICAL SKILLS IN CONTROLLED CONDITIONS, STRENGTHENING OVERALL PREPAREDNESS FOR REAL-WORLD INCIDENTS.</t>
  </si>
  <si>
    <t>2YTFKX60786827</t>
  </si>
  <si>
    <t>HCSO IS A LAW ENFORCEMENT AGENCY. HCSO WILL USE THE REQUESTED PELICAN CASES TO SECURELY STORE AND TRANSPORT CRITICAL EQUIPMENT. THESE WATERPROOF, IMPACT-RESISTANT CASES PROTECT RADIOS, MEDICAL SUPPLIES, OPTICS, AND OTHER SENSITIVE GEAR FROM MOISTURE, DUST, AND DAMAGE. PROPER STORAGE ENSURES EQUIPMENT REMAINS OPERATIONAL AND READY FOR PATROL, TRAINING, AND DISASTER RESPONSE OPERATIONS.</t>
  </si>
  <si>
    <t xml:space="preserve">
Sales Order #: 2285713648
RTD Screening Code: DOD
Reason for Rejection: Y9</t>
  </si>
  <si>
    <t>2YTFKX60726054</t>
  </si>
  <si>
    <t>HCSO IS A LAW ENFORCEMENT AGENCY. HCSO WILL USE THE REQUESTED IFAK TRAUMA KITS TO PROVIDE DEPUTIES WITH LIFESAVING MEDICAL EQUIPMENT DURING PATROL, TRAINING, AND EMERGENCY RESPONSE. THESE KITS CONTAIN CRITICAL SUPPLIES TO TREAT SEVERE BLEEDING AND OTHER TRAUMATIC INJURIES UNTIL ADVANCED MEDICAL CARE ARRIVES. ISSUING IFAKS IMPROVES DEPUTY SAFETY, ENHANCES EMERGENCY PREPAREDNESS, AND INCREASES THE ABILITY TO PROVIDE IMMEDIATE LIFESAVING AID TO CITIZENS.</t>
  </si>
  <si>
    <t xml:space="preserve">
Sales Order #: 2285303471
RTD Screening Code: DOD
Reason for Rejection: Y9</t>
  </si>
  <si>
    <t>2YTFKX60725744</t>
  </si>
  <si>
    <t>HCSO IS A LAW ENFORCEMENT AGENCY. HCSO WILL USE THE REQUESTED SHIPPING CONTAINERS WITH ROLL-UP DOORS TO SECURELY STORE TRAINING EQUIPMENT, DISASTER RESPONSE GEAR, AND MAINTENANCE TOOLS AT HCSO FACILITIES AND THE TRAINING RANGE. THESE CONTAINERS PROVIDE ORGANIZED, WEATHER-RESISTANT STORAGE, PROTECT CRITICAL EQUIPMENT, IMPROVE ACCESSIBILITY, AND ENSURE ESSENTIAL RESOURCES REMAIN READY FOR TRAINING, EMERGENCY RESPONSE, AND DISASTER RECOVERY OPERATIONS.</t>
  </si>
  <si>
    <t>2YTFKX60725498</t>
  </si>
  <si>
    <t>HCSO IS A LAW ENFORCEMENT AGENCY. HCSO WILL USE THE REQUESTED MOUNTAIN BIKE TO IMPROVE MOBILITY IN AREAS NOT EASILY ACCESSIBLE BY PATROL VEHICLES, INCLUDING TRAILS, PARKS, AND LARGE PUBLIC EVENTS. A BICYCLE ALLOWS DEPUTIES TO QUICKLY NAVIGATE CROWDS, PATROL NARROW PATHS, AND RESPOND IN OFF-ROAD ENVIRONMENTS. THIS EQUIPMENT ENHANCES COMMUNITY POLICING, INCREASES PATROL FLEXIBILITY, AND IMPROVES RESPONSE CAPABILITIES DURING EMERGENCIES AND DISASTER OPERATIONS.</t>
  </si>
  <si>
    <t xml:space="preserve">
Sales Order #: 2285247427
RTD Screening Code: DOD
Reason for Rejection: Y9</t>
  </si>
  <si>
    <t>2YTFKX60725409</t>
  </si>
  <si>
    <t>HCSO IS A LAW ENFORCEMENT AGENCY. HCSO WILL USE THE REQUESTED SIDE-BY-SIDE UTILITY VEHICLE TO ACCESS REMOTE, RURAL, AND OFF-ROAD AREAS DURING PATROL, SEARCH AND RESCUE, AND DISASTER RESPONSE OPERATIONS. THIS VEHICLE WILL ALLOW DEPUTIES TO NAVIGATE ROUGH TERRAIN, TRANSPORT EQUIPMENT, AND REACH STRANDED CITIZENS DURING FLOODS, STORMS, OR OTHER EMERGENCIES. A UTILITY VEHICLE ENHANCES MOBILITY, IMPROVES RESPONSE TIMES, AND STRENGTHENS OVERALL OPERATIONAL READINESS.</t>
  </si>
  <si>
    <t xml:space="preserve">
Sales Order #: 2285176980
RTD Screening Code: DOD
Reason for Rejection: Y9</t>
  </si>
  <si>
    <t>2YTFKX60725134</t>
  </si>
  <si>
    <t xml:space="preserve">
Sales Order #: 2285178997
RTD Screening Code: DOD
Reason for Rejection: Y9</t>
  </si>
  <si>
    <t>2YTFKX60725133</t>
  </si>
  <si>
    <t>HCSO IS A LAW ENFORCEMENT AGENCY. HCSO WILL USE THE REQUESTED PELTOR COMTAC COMMUNICATION HEADSETS TO ENHANCE HEARING PROTECTION AND OPERATIONAL COMMUNICATION DURING TRAINING AND TACTICAL INCIDENTS. THESE HEADSETS PROVIDE NOISE REDUCTION DURING FIREARMS USE WHILE ALLOWING CLEAR RADIO AND TEAM COMMUNICATION. THIS EQUIPMENT IMPROVES DEPUTY SAFETY, SITUATIONAL AWARENESS, AND COORDINATION, STRENGTHENING EFFECTIVENESS DURING RANGE OPERATIONS, CRITICAL INCIDENTS, AND DISASTER RESPONSE MISSIONS.</t>
  </si>
  <si>
    <t xml:space="preserve">
Sales Order #: 2285178153
RTD Screening Code: DOD
Reason for Rejection: Y9</t>
  </si>
  <si>
    <t>2YTFKX60725132</t>
  </si>
  <si>
    <t xml:space="preserve">
Sales Order #: 2285176991
RTD Screening Code: DOD
Reason for Rejection: Y9</t>
  </si>
  <si>
    <t>2YTFKX60725131</t>
  </si>
  <si>
    <t>HCSO IS A LAW ENFORCEMENT AGENCY. HCSO WILL USE THE REQUESTED SUREFIRE HELMET-MOUNTED LIGHTS TO IMPROVE VISIBILITY DURING NIGHTTIME AND LOW-LIGHT TACTICAL OPERATIONS. THESE LIGHTS PROVIDE HANDS-FREE ILLUMINATION FOR BUILDING SEARCHES, SEARCH AND RESCUE MISSIONS, AND DISASTER RESPONSE. HELMET-MOUNTED LIGHTING ENHANCES SAFETY, INCREASES SITUATIONAL AWARENESS, AND ALLOWS DEPUTIES TO OPERATE EFFECTIVELY WHILE MAINTAINING CONTROL OF ESSENTIAL EQUIPMENT.</t>
  </si>
  <si>
    <t xml:space="preserve">
Sales Order #: 2285180122
RTD Screening Code: DOD
Reason for Rejection: Y9</t>
  </si>
  <si>
    <t>2YTFKX60725129</t>
  </si>
  <si>
    <t xml:space="preserve">
Sales Order #: 2285179922
RTD Screening Code: DOD
Reason for Rejection: Y9</t>
  </si>
  <si>
    <t>2YTFKX60725128</t>
  </si>
  <si>
    <t>HCSO IS A LAW ENFORCEMENT AGENCY. HCSO WILL USE THE REQUESTED LASER RANGE FINDER TO ACCURATELY MEASURE DISTANCES DURING TRAINING, TACTICAL OPERATIONS, AND RANGE MAINTENANCE. THIS EQUIPMENT ENHANCES PRECISION IN FIREARMS TRAINING, IMPROVES SAFETY PLANNING, AND SUPPORTS EFFECTIVE SCENE ASSESSMENT IN RURAL TERRAIN. A RELIABLE RANGE FINDER INCREASES OPERATIONAL ACCURACY, REDUCES RISK, AND STRENGTHENS OVERALL READINESS FOR LAW ENFORCEMENT AND DISASTER RESPONSE MISSIONS.</t>
  </si>
  <si>
    <t xml:space="preserve">
Sales Order #: 2285179454
RTD Screening Code: DOD
Reason for Rejection: Y9</t>
  </si>
  <si>
    <t>2YTFKX60724936</t>
  </si>
  <si>
    <t>HCSO WILL USE THE REQUESTED WHEEL LOADER TO REPLACE AN INOPERABLE UNIT ESSENTIAL TO RANGE MAINTENANCE AND DISASTER RESPONSE. HOWELL COUNTY IS UNDER A FEDERAL DISASTER DECLARATION, AND THIS EQUIPMENT IS CRITICAL TO ONGOING CLEANUP AND RECOVERY EFFORTS. THE LOADER SUPPORTS DEBRIS REMOVAL, ROADWAY REPAIR, BERM CONSTRUCTION, AND STORM RECOVERY. REPLACING THE NONFUNCTIONAL UNIT RESTORES CAPABILITY, IMPROVES EFFICIENCY, AND ENSURES HCSO REMAINS PREPARED TO RESPOND DURING EMERGENCIES.</t>
  </si>
  <si>
    <t xml:space="preserve">
Sales Order #: 2285178146
RTD Screening Code: DOD
Reason for Rejection: Y9</t>
  </si>
  <si>
    <t>2YTFKX60724881</t>
  </si>
  <si>
    <t>HCSO IS A LAW ENFORCEMENT AGENCY. HCSO WILL USE THE REQUESTED PAPER SHREDDER TO SECURELY DESTROY SENSITIVE DOCUMENTS CONTAINING PERSONAL, INVESTIGATIVE, AND OPERATIONAL INFORMATION. PROPER DOCUMENT DESTRUCTION PROTECTS CITIZEN PRIVACY, MAINTAINS EVIDENCE SECURITY, AND ENSURES COMPLIANCE WITH RECORDS MANAGEMENT STANDARDS. A RELIABLE SHREDDER SUPPORTS DAILY ADMINISTRATIVE FUNCTIONS AND HELPS SAFEGUARD CONFIDENTIAL INFORMATION.</t>
  </si>
  <si>
    <t xml:space="preserve">
Sales Order #: 2285308389
RTD Screening Code: DOD
Reason for Rejection: Y9</t>
  </si>
  <si>
    <t>2YTFKX60655770</t>
  </si>
  <si>
    <t>HCSO IS A LAW ENFORCEMENT AGENCY. HCSO WILL USE THE REQUESTED BACKHOE TO SUPPORT FACILITY MAINTENANCE, RANGE IMPROVEMENTS, AND DISASTER RESPONSE OPERATIONS. THIS EQUIPMENT WILL ASSIST WITH EXCAVATION, TRENCHING, DRAINAGE REPAIR, DEBRIS REMOVAL, AND INFRASTRUCTURE PROJECTS. A DEDICATED BACKHOE IMPROVES EFFICIENCY, REDUCES RELIANCE ON CONTRACTORS, ENHANCES SAFETY, AND ENSURES HCSO CAN QUICKLY ADDRESS PROPERTY NEEDS AND EMERGENCY SITUATIONS THROUGHOUT THE COUNTY.</t>
  </si>
  <si>
    <t xml:space="preserve">
Sales Order #: 2283434805
RTD Screening Code: DOD
Reason for Rejection: Y9</t>
  </si>
  <si>
    <t>2YTFKX60655237</t>
  </si>
  <si>
    <t>HCSO IS A LAW ENFORCEMENT AGENCY. HCSO WILL USE THE REQUESTED LANDSCAPE RAKE TO GROOM AND LEVEL DIRT WORK SURROUNDING THE RECENT JAIL FENCE EXPANSION. THIS EQUIPMENT WILL HELP REMOVE ROCKS AND DEBRIS, IMPROVE DRAINAGE, MAINTAIN CLEAR PERIMETERS, AND ENHANCE SECURITY VISIBILITY. A LANDSCAPE RAKE ENSURES THE AREA REMAINS PROPERLY MAINTAINED, REDUCES EROSION CONCERNS, AND SUPPORTS LONG-TERM FACILITY SAFETY AND OPERATIONAL INTEGRITY.</t>
  </si>
  <si>
    <t xml:space="preserve">
Sales Order #: 2285152371
RTD Screening Code: DOD
Reason for Rejection: Y9</t>
  </si>
  <si>
    <t>2YTFKX60655234</t>
  </si>
  <si>
    <t>HOWELL COUNTY SHERIFFS OFFICE IS A LAW ENFORCEMENT AGENCY. HCSO WILL USE THE REQUESTED RESCUE TRUCK TO TRANSPORT TOOLS, SPECIALIZED EQUIPMENT, ROPES, LIFE JACKETS, AND MEDICAL GEAR FOR FLOODS, TORNADOES, HAZMAT INCIDENTS, AND OTHER LARGE-SCALE EMERGENCIES. CURRENTLY UNDER A FEDERAL DISASTER DECLARATION, THIS VEHICLE WILL STRENGTHEN DISASTER RESPONSE, IMPROVE DEPLOYMENT SPEED, ENHANCE INTERAGENCY COORDINATION, AND ENSURE CRITICAL LIFESAVING RESOURCES REACH IMPACTED CITIZENS QUICKLY AND SAFELY.</t>
  </si>
  <si>
    <t xml:space="preserve">
Sales Order #: 2285180175
RTD Screening Code: DOD
Reason for Rejection: Y9</t>
  </si>
  <si>
    <t>2YTFKX60654708</t>
  </si>
  <si>
    <t>THE HOWELL COUNTY SHERIFF'S OFFICE IS A LAW ENFORCEMENT AGENCY. HCSO WILL THESE BINOCULARS FOR SURVEILLANCE TASKS. THESE WILL ALLOW</t>
  </si>
  <si>
    <t xml:space="preserve">
Sales Order #: 2285178211
RTD Screening Code: DOD
Reason for Rejection: Y9</t>
  </si>
  <si>
    <t>2YTFKX60654519</t>
  </si>
  <si>
    <t>THE HOWELL COUNTY SHERIFFS OFFICE IS A LAW ENFORCEMENT AGENCY. HCSO WILL USE THE REQUESTED JOHN DEERE TRACTOR FOR BRUSH HOGGING AND PROPERTY MAINTENANCE AT SHERIFFS OFFICE FACILITIES AND TRAINING GROUNDS. THIS EQUIPMENT WILL BE USED TO CLEAR OVERGROWTH, MAINTAIN PERIMETERS, IMPROVE VISIBILITY, AND REDUCE FIRE HAZARDS. A DEDICATED TRACTOR ENHANCES SAFETY, PRESERVES PROPERTY, AND ENSURES OUR FACILITIES REMAIN SECURE AND OPERATIONAL YEAR ROUND.</t>
  </si>
  <si>
    <t xml:space="preserve">
Sales Order #: 2285178982
RTD Screening Code: DOD
Reason for Rejection: Y9</t>
  </si>
  <si>
    <t>2YTFKX60654516</t>
  </si>
  <si>
    <t>THE HOWELL COUNTY SHERIFFS OFFICE IS A LAW ENFORCEMENT AGENCY. HCSO WILL USE THE REQUESTED CAT BACKHOE WITH ROCK BREAKER ATTACHMENT TO BUILD AND MAINTAIN RANGE FACILITIES. THIS EQUIPMENT WILL SUPPORT EXCAVATION, BERM CONSTRUCTION, DRAINAGE WORK, AND BREAKING ROCK OR CONCRETE AS NEEDED. A DEDICATED BACKHOE INCREASES EFFICIENCY, ENHANCES SAFETY, REDUCES CONTRACTED COSTS, AND ENSURES OUR TRAINING RANGE REMAINS FUNCTIONAL AND PROPERLY MAINTAINED.</t>
  </si>
  <si>
    <t xml:space="preserve">
Sales Order #: 2285180179
RTD Screening Code: DOD
Reason for Rejection: Y9</t>
  </si>
  <si>
    <t>2YTFKX60654515</t>
  </si>
  <si>
    <t>HCSO IS A LAW ENFORCEMENT AGENCY. HCSO WILL USE THE REQUESTED SMALL RESCUE-STYLE FIRE TRUCK AT THE SHOOTING RANGE, WHERE LIVE-FIRE TRAINING CAN GENERATE GRASS OR BRUSH FIRES. THIS WILL PROTECT CRITICAL TRAINING ASSETS AND NEIGHBORING PROPERTIES. THE UNIT WILL ALSO BE STOCKED WITH MEDICAL AND RESCUE SUPPLIES TO BE DEPLOYED DURING NATURAL DISASTERS. THIS ENHANCES PUBLIC SAFETY, PROVIDES IMMEDIATE FIRE SUPPRESSION CAPABILITY, AND REDUCES BURDEN ON LOCAL VOLUNTEER FIRE DEPARTMENTS.</t>
  </si>
  <si>
    <t xml:space="preserve">
Sales Order #: 2283719903
RTD Screening Code: DOD
Reason for Rejection: Y9</t>
  </si>
  <si>
    <t>2YTFKX60654318</t>
  </si>
  <si>
    <t>HCSO IS A LAW ENFORCEMENT AGENCY. HCSO WILL USE THE REQUESTED PORTABLE SCENE LIGHTS TO ILLUMINATE CRASH SCENES, CRIME SCENES, DISASTER AREAS, AND NIGHTTIME OPERATIONS. PROPER LIGHTING IMPROVES DEPUTY SAFETY, ENHANCES VISIBILITY, PRESERVES EVIDENCE INTEGRITY, AND INCREASES OPERATIONAL EFFICIENCY. PORTABLE LIGHTING IS ESSENTIAL FOR RURAL RESPONSES AND EMERGENCY INCIDENTS, ENSURING HCSO CAN OPERATE SAFELY AND EFFECTIVELY IN LOW-LIGHT OR HAZARDOUS CONDITIONS.</t>
  </si>
  <si>
    <t xml:space="preserve">
Sales Order #: 2285179896
RTD Screening Code: GSA
Reason for Rejection: Y9</t>
  </si>
  <si>
    <t>2YTFKX60584964</t>
  </si>
  <si>
    <t>THE HOWELL COUNTY SHERIFFS OFFICE IS A LAW ENFORCEMENT AGENCY. HCSO WILL USE THE REQUESTED RIFLE SLINGS FOR DEPUTY PATROL RIFLES TO ENHANCE SAFETY, WEAPON RETENTION, AND OPERATIONAL READINESS. PROPER SLINGS ALLOW DEPUTIES TO SECURELY CARRY RIFLES WHILE MAINTAINING HANDS-FREE CAPABILITY FOR MEDICAL AID, SUSPECT CONTROL, OR OTHER TASKS. THIS EQUIPMENT IMPROVES CONTROL, REDUCES RISK OF ACCIDENTAL DROPS, AND SUPPORTS SAFE, EFFECTIVE LAW ENFORCEMENT OPERATIONS.</t>
  </si>
  <si>
    <t xml:space="preserve">
Sales Order #: 2285179425
RTD Screening Code: DOD
Reason for Rejection: Y9</t>
  </si>
  <si>
    <t>2YTFKX60584514</t>
  </si>
  <si>
    <t xml:space="preserve">
Sales Order #: 2285177746
RTD Screening Code: DOD
Reason for Rejection: Y9</t>
  </si>
  <si>
    <t>2YTFKX60584508</t>
  </si>
  <si>
    <t>THE HOWELL COUNTY SHERIFFS OFFICE IS A LAW ENFORCEMENT AGENCY. HCSO WILL USE THIS TRUCK FOR EMERGENCY RESPONSE AND STOCKED WITH EMERGENCY RESPONSE GEAR, COMMUNICATIONS EQUIPMENT AND OTHER SUPPLIES AND STAGED FOR RAPID RESPONSE IN A LOCATION WITHIN??THE 928 SQUARE MILES THAT MAKE UP HOWELL COUNTY. HOWELL COUNTY IS CURRENTLY UNDER A FEDERAL DISASTER DECLARATION THIS TRUCK WOULD AID IN OUR CONTINUED RESPONSE EFFORTS.??</t>
  </si>
  <si>
    <t xml:space="preserve">
Sales Order #: 2285188812
RTD Screening Code: ACCM
Reason for Rejection: Y9</t>
  </si>
  <si>
    <t>2YTFKX60574710</t>
  </si>
  <si>
    <t xml:space="preserve">
Sales Order #: 2285188813
RTD Screening Code: ACCM
Reason for Rejection: Y9</t>
  </si>
  <si>
    <t>2YTFKX60574709</t>
  </si>
  <si>
    <t xml:space="preserve">
Sales Order #: 2285179015
RTD Screening Code: DOD
Reason for Rejection: Y9</t>
  </si>
  <si>
    <t>2YTFKX60574707</t>
  </si>
  <si>
    <t xml:space="preserve">
THE HOWELL COUNTY SHERIFF'S OFFICE IS A LAW ENFORCEMENT AGENCY. HCSO WILL??ISSUE THESE CARRIERS TO DEPUTIES AND INVESTIGATORS. THESE ITEMS WILL BE UTILIZED TO CARRY OC SPRAY ON DUTY BELTS.</t>
  </si>
  <si>
    <t xml:space="preserve">
Sales Order #: 2283369289
RTD Screening Code: DOD
Reason for Rejection: YH</t>
  </si>
  <si>
    <t>2YTFKX60513582</t>
  </si>
  <si>
    <t>THE HOWELL COUNTY SHERIFF'S OFFICE IS A LAW ENFORCEMENT AGENCY.?? THESE INFARED LIGHTS WOULD FILL A NEED FOR LOW LIGHT AND NO LIGHT NAVIGATION DURING EMERGENCIES LIKE NATURAL DISASTERS, MISSING PERSONS CASES, FUGITIVE APPREHENSION, AND OTHER CRISES. THESE UNITS WOULD PAIR WITH EXISTING NIGHT VISION DEVICES AND ENHANCE HCSO'S CAPABILITIES AND BENEFIT NOT ONLY HOWELL COUNTY BUT ALSO SURROUNDING AREAS RELYING ON HCSO FOR MUTUAL AID IN EMERGENCY RESPONSE.</t>
  </si>
  <si>
    <t xml:space="preserve">
Sales Order #: 2283363756
RTD Screening Code: DOD
Reason for Rejection: Y9</t>
  </si>
  <si>
    <t>2YTFKX60513345</t>
  </si>
  <si>
    <t>THE HOWELL COUNTY SHERIFF'S OFFICE IS A LAW ENFORCEMENT AGENCY.?? THESE LIGHTS WOULD FILL A NEED FOR LOW LIGHT AND NO LIGHT NAVIGATION DURING EMERGENCIES LIKE NATURAL DISASTERS, MISSING PERSONS CASES, FUGITIVE APPREHENSION, AND OTHER CRISES. THESE UNITS WOULD ENHANCE HCSO'S CAPABILITIES AND BENEFIT NOT ONLY HOWELL COUNTY BUT ALSO SURROUNDING AREAS RELYING ON HCSO FOR MUTUAL AID IN EMERGENCY RESPONSE.</t>
  </si>
  <si>
    <t xml:space="preserve">
Sales Order #: 2283363740
RTD Screening Code: DOD
Reason for Rejection: Y9</t>
  </si>
  <si>
    <t>2YTFKX60513343</t>
  </si>
  <si>
    <t>2YTFKX60513336</t>
  </si>
  <si>
    <t>2YTFKX60513335</t>
  </si>
  <si>
    <t xml:space="preserve">
Sales Order #: 2283363730
RTD Screening Code: DOD
Reason for Rejection: Y9</t>
  </si>
  <si>
    <t>2YTFKX60513334</t>
  </si>
  <si>
    <t>THE HOWELL COUNTY SHERIFF'S OFFICE IS A LAW ENFORCEMENT AGENCY. HCSO WILL UTILIZE THIS THESE LAWN MOWERS TO MAINTAIN GRASSY AREAS AT THE HOWELL COUNTY SHERIFF'S OFFICE AND AT THE HOWELL COUNTY TRAINING FACILITY AND RANGE. ONE MOWER WILL BE ASSIGNED TO EACH LOCATION AS THEY ARE APPROXIMATELY 20 MILES APART.??</t>
  </si>
  <si>
    <t xml:space="preserve">
Sales Order #: 2283507436
RTD Screening Code: DOD
Reason for Rejection: Y9</t>
  </si>
  <si>
    <t>2YTFKX60513090</t>
  </si>
  <si>
    <t>2YTFKX60493997</t>
  </si>
  <si>
    <t>2YTFKX60493996</t>
  </si>
  <si>
    <t>2YTFKX60493995</t>
  </si>
  <si>
    <t>THE HOWELL COUNTY SHERIFF'S OFFICE IS A LAW ENFORCEMENT AGENCY. HCSO WILL USE THE REQUESTED??CONTAINERS TO CONSTRUCT A SIMUNITIONS SHOOT HOUSE AT THE HCSO TRAINING FACILITY. THIS FACILITY IS USED BY HCSO AND NUMEROUS OTHER LOCAL LAW ENFORCEMENT AGENCIES.</t>
  </si>
  <si>
    <t xml:space="preserve">
Sales Order #: 2283336775
RTD Screening Code: DOD
Reason for Rejection: Y9</t>
  </si>
  <si>
    <t>2YTFKX60442898</t>
  </si>
  <si>
    <t>THE HOWELL COUNTY SHERIFF'S OFFICE IS A LAW ENFORCEMENT AGENCY. THIS GRAPPLE BUCKET WILL BE USED TO HAUL, MOVE AND LOAD DEBRIS FROM 2 RECENT NATURAL DISASTERS, A FLOOD AND TORNADO. THIS GRAPPLE BUCKET WOULD ALSO BE UTILIZED IN DISASTER RESPONSE IN THE FUTURE FOR ACCESSING BLOCKED ROADS, HOMES AND PERSONS IN NEED OF MEDICAL AID. IT WOULD ALSO BE USED TO AID IN CONSTRUCTION OF THE HCSO TRAINING FACILITY WHICH IS OPEN TO ALL AREA LAW ENFORCEMENT AGENCIES.??</t>
  </si>
  <si>
    <t xml:space="preserve">
Sales Order #: 2282334359
RTD Screening Code: DOD
Reason for Rejection: Y9</t>
  </si>
  <si>
    <t>2YTFKX60371959</t>
  </si>
  <si>
    <t>THE HOWELL COUNTY SHERIFF'S OFFICE IS A LAW ENFORCEMENT AGENCY. THIS LOADER WILL BE USED TO HAUL, MOVE AND LOAD DEBRIS FROM ROADWAYS FROM 2 RECENT NATURAL DISASTERS, A FLOOD AND TORNADO. THIS LOADER WOULD ALSO BE UTILIZED IN DISASTER RESPONSE IN THE FUTURE FOR ACCESSING BLOCKED ROADS, HOMES AND PERSONS IN NEED OF MEDICAL AID. IT WOULD ALSO BE USED TO AID IN CONSTRUCTION OF THE HCSO TRAINING FACILITY WHICH IS OPEN TO ALL AREA LAW ENFORCEMENT AGENCIES.??</t>
  </si>
  <si>
    <t xml:space="preserve">
Sales Order #: 2282334369
RTD Screening Code: DOD
Reason for Rejection: Y9</t>
  </si>
  <si>
    <t>2YTFKX60371943</t>
  </si>
  <si>
    <t>THE HOWELL COUNTY SHERIFF'S OFFICE IS A LAW ENFORCEMENT AGENCY. HCSO WILL USE THIS TRUCK FOR EMERGENCY RESPONSE AND STOCKED WITH EMERGENCY RESPONSE GEAR, COMMUNICATIONS EQUIPMENT AND OTHER SUPPLIES AND STAGED FOR RAPID RESPONSE IN A LOCATION WITHIN??THE 928 SQUARE MILES THAT MAKE UP HOWELL COUNTY. THE TRUCK WILL ALSO ALLOW FOR TOWING TRAILERS WITH ADDITIONAL EQUIPMENT. HOWELL COUNTY IS CURRENTLY UNDER A FEDERAL DISASTER DECLARATION THIS TRUCK WOULD AID IN OUR CONTINUED RESPONSE EFFORTS.??</t>
  </si>
  <si>
    <t xml:space="preserve">
Sales Order #: 2282170016
RTD Screening Code: DOD
Reason for Rejection: Y9</t>
  </si>
  <si>
    <t>2YTFKX60301770</t>
  </si>
  <si>
    <t>THE HOWELL COUNTY SHERIFF'S OFFICE IS A LAW ENFORCEMENT AGENCY. HCSO WILL??THIS ROAD GRADER FOR GRAVEL PARKING LOT AND GRAVEL ROAD MAINTENANCE TASKS AT HCSO PROPERTIES. GRADER WILL PRIMARILY BE UTILIZED AT THE HCSO TRAINING FACILITY. DUE TO THE TERRAIN OF THE PROPERTY, WE HAVE ROADS WASHED OUT AND IMPASSIBLE AFTER EACH SUBSTANTIAL RAINFALL. THIS GRADER WILL ALSO BE USED FOR EMERGENCY DEBRIS REMOVAL AND OTHER EMERGENCY RESPONSE AS NEEDED.??</t>
  </si>
  <si>
    <t xml:space="preserve">
Sales Order #: 2278282270
RTD Screening Code: DOD
Reason for Rejection: YH</t>
  </si>
  <si>
    <t>2YTFKX60301428</t>
  </si>
  <si>
    <t>THE HOWELL COUNTY SHERIFF'S OFFICE IS A LAW ENFORCEMENT AGENCY. HCSO WILL THESE CHARGERS TO MAINTAIN THE BATTERIES ON VEHICLES AND EMERGENCY RESPONSE EQUIPMENT TO ENSURE THEY ARE READY FOR DUTY AND WILL OPERATE AS DESIGNED.</t>
  </si>
  <si>
    <t xml:space="preserve">
Sales Order #: 2278282274
RTD Screening Code: DOD
Reason for Rejection: Y9</t>
  </si>
  <si>
    <t>2YTFKX60301308</t>
  </si>
  <si>
    <t>THE HOWELL COUNTY SHERIFF'S OFFICE IS A LAW ENFORCEMENT AGENCY.?? THIS VEHICLE WOULD BE ISSUED TO THE FUGITIVE APPREHENSION TEAM FOR UNDERCOVER SURVEILLANCE OPERATIONS. THIS VEHICLE WOULD ENHANCE HCSO'S CAPABILITIES AND BENEFIT NOT ONLY HOWELL COUNTY BUT ALSO SURROUNDING AGENCIES UTILIZING HCSO FOR MUTUAL AID ASSISTANCE.</t>
  </si>
  <si>
    <t xml:space="preserve">
Sales Order #: 2278282276
RTD Screening Code: DOD
Reason for Rejection: Y9</t>
  </si>
  <si>
    <t>2YTFKX60301303</t>
  </si>
  <si>
    <t>THE HOWELL COUNTY SHERIFF'S OFFICE IS A LAW ENFORCEMENT AGENCY.?? THIS VEHICLE WOULD BE ISSUED TO THE NARCOTICS DIVISION FOR UNDERCOVER SURVEILLANCE OPERATIONS. THIS VEHICLE WOULD ENHANCE HCSO'S CAPABILITIES AND BENEFIT NOT ONLY HOWELL COUNTY BUT ALSO SURROUNDING AGENCIES UTILIZING HCSO FOR MUTUAL AID ASSISTANCE.</t>
  </si>
  <si>
    <t xml:space="preserve">
Sales Order #: 2278282262
RTD Screening Code: DOD
Reason for Rejection: Y9</t>
  </si>
  <si>
    <t>2YTFKX60301300</t>
  </si>
  <si>
    <t>THE HOWELL COUNTY SHERIFF'S OFFICE IS A LAW ENFORCEMENT AGENCY. HCSO WILL USE THE REQUESTED??CONTAINERS FOR SECURE AND DRY STORAGE OF PROPERTY AND RECORDS. THESE CONTAINERS WILL PROTECT THESE ITEMS FROM THE ELEMENTS. THE HCSO BUILDING HAS BEEN OUTGROWN AND INTERIOR STORAGE SPACE IS VERY LIMITED. THESE CONTAINERS WILL GREATLY INCREASE OUR SECURE STORAGE SPACE.??</t>
  </si>
  <si>
    <t xml:space="preserve">
Sales Order #: 2282934684
Reason for Rejection: Y9</t>
  </si>
  <si>
    <t>2YTFKX60292416</t>
  </si>
  <si>
    <t>THE HOWELL COUNTY SHERIFF'S OFFICE IS A LAW ENFORCEMENT AGENCY. THE REQUESTED VAN WOULD BE UTILIZED FOR TRANSPORTATION OF INMATES AND WOULD REPLACE A VAN IN NEED OF BEING RETIRED DUE TO HIGH MILEAGE.. HCSO TRANSPORTS INMATES ON A DAILY BASIS FOR A MULTITUDE OF REASONS INCLUDING COURT APPEARANCES, FACILITY TRANSFERS, MEDICAL AND MENTAL HEALTH APPOINTMENTS AS WELL AS TRANSFERS TO THE DEPARTMENT OF CORRECTIONS</t>
  </si>
  <si>
    <t xml:space="preserve">
Sales Order #: 2281980520
RTD Screening Code: DOD
Reason for Rejection: Y9</t>
  </si>
  <si>
    <t>2YTFKX60231224</t>
  </si>
  <si>
    <t>??THE HOWELL COUNTY SHERIFF'S OFFICE IS A LAW ENFORCEMENT AGENCY. HCSO WILL USE THIS PHYSICAL FITNESS EQUIPMENT TO AID IN HEALTH AND WELLNESS OF HCSO DEPUTIES AND EMPLOYEES. WITH??THIS ASSORTMENT OF PHYSICAL FITNESS EQUIPMENT DEPUTIES WILL BE ABLE TO ENGAGE IN A NUMBER OF PHYSICAL FITNESS ROUTINES. THIS EQUIPMENT WILL BE PLACED AT THE HCSO TRAINING FACILITY AND AVAILABLE FOR USE BY ALL EMPLOYEES OF HCSO AND AREA LEA ON SITE FOR TRAINING SESSIONS.??</t>
  </si>
  <si>
    <t>2YTFKX60231221</t>
  </si>
  <si>
    <t>THE HOWELL COUNTY SHERIFF'S OFFICE IS A LAW ENFORCEMENT AGENCY. HCSO WILL ADD THIS CONCERTINA WIRE TO THE EXTERIOR FENCING OF HOWELL COUNTY JAIL INCREASING SECURITY.</t>
  </si>
  <si>
    <t xml:space="preserve">
Sales Order #: 2269787907
RTD Screening Code: DOD
Reason for Rejection: YG</t>
  </si>
  <si>
    <t>BARBED TAPE,CONCERTINA</t>
  </si>
  <si>
    <t>2YTFKX60231117</t>
  </si>
  <si>
    <t>THE HOWELL COUNTY SHERIFF'S OFFICE IS A LAW ENFORCEMENT AGENCY. HCSO WILL USE THIS TRUCK FOR??THE EMERGENCY MANAGEMENT DIRECTOR. THIS TRUCK WILL BE UTILIZED TO PULL MULTIPLE TRAILERS FOR EMERGENCY RESPONSE. THESE TRAILERS INCLUDE A HAM RADIO COMMUNICATIONS TRAILER, TRAILERS WITH RESPONSE EQUIPMENT LIKE SKIDSTEERS AND SIDE BY SIDES AND A MOBILE HAM RADIO TRAILER. HOWELL COUNTY IS CURRENTLY UNDER A FEDERAL DISASTER DECLARATION THIS TRAILER WOULD AID IN OUR CONTINUED RESPONSE EFFORTS.??</t>
  </si>
  <si>
    <t xml:space="preserve">
Sales Order #: 2280363888
RTD Screening Code: DOD
Reason for Rejection: Y9</t>
  </si>
  <si>
    <t>2YTFKX60230830</t>
  </si>
  <si>
    <t>THE HOWELL COUNTY SHERIFF'S OFFICE IS A LAW ENFORCEMENT AGENCY. HCSO WILL??THIS 0FF ROAD DUMP TRUCK FOR MULTIPLE TASKS AT HCSO PROPERTIES. THESE WILL INCLUDE MOVING BULK MATERIALS, SHOOTING RANGE, PARKING LOT AND ROAD MAINTENANCE AND OTHER ROUTINE TASKS AS NEEDED. THIS DUMP TRUCK WILL ALSO BE USED FOR EMERGENCY DEBRIS REMOVAL AND OTHER EMERGENCY RESPONSE IN TIMES OF DISASTER.??</t>
  </si>
  <si>
    <t xml:space="preserve">
Sales Order #: 2280363870
RTD Screening Code: DOD
Reason for Rejection: YH</t>
  </si>
  <si>
    <t>2YTFKX60160906</t>
  </si>
  <si>
    <t>THE HOWELL COUNTY SHERIFF'S OFFICE IS A LAW ENFORCEMENT AGENCY.??THESE COMPUTERS WOULD BE ASSIGNED TO THE MOBILE COMMAND POST FOR USE BY DEPUTIES. THESE WOULD FILL A NEED FOR ADDITIONAL COMPUTERS DURING EMERGENCIES LIKE NATURAL DISASTERS, MISSING PERSONS CASES, FUGITIVE APPREHENSION, AND OTHER CRISES. THESE UNITS WOULD ENHANCE HCSO'S CAPABILITIES AND BENEFIT NOT ONLY HOWELL COUNTY BUT ALSO SURROUNDING AREAS RELYING ON HCSO FOR MUTUAL AID IN EMERGENCY RESPONSE.</t>
  </si>
  <si>
    <t xml:space="preserve">
Sales Order #: 2279226549
RTD Screening Code: DOD
Reason for Rejection: YD</t>
  </si>
  <si>
    <t>COMPUTER SYSTEM,DIG</t>
  </si>
  <si>
    <t>2YTFKX53609135</t>
  </si>
  <si>
    <t>TO INCREASE COMMUNICATIONS CAPABILITY WITHIN OUR SHERIFF'S OFFICE BY ALLOWING FOR INCREASED RANGE AND SETUP OF COMMUNICATIONS EQUIPMENT.</t>
  </si>
  <si>
    <t xml:space="preserve">
Sales Order #: 2285348000
Reason for Rejection: Y9</t>
  </si>
  <si>
    <t>ANTENNA GROUP,COMMON GROUND STATION</t>
  </si>
  <si>
    <t>2YTFKS60795792</t>
  </si>
  <si>
    <t>ABILITY TO RECEIVED DATA FROM DRONE IN USE BY THE SHERIFF'S OFFICE EXTENDING OUR ABILITY TO RECEIVE THE DATA FROM A GREATER RANGE INCREASING OUR COMMUNICATIONS ABILITY.</t>
  </si>
  <si>
    <t>ANTENNA</t>
  </si>
  <si>
    <t>2YTFKS60655788</t>
  </si>
  <si>
    <t>WELDING GUNS WILL BE USED BY HOUSTON POLICE OFFICERS IN THE HIGH WATER RESCUE UNIT TO REPLACE WORN GUNS USED TO REPAIR AND MAINTAIN HOUSTON POLICE HIGH WATER RESCUE TRUCKS MAINTAINING MISSION READINESS AND EFFECTIVENESS FOR DEPLOYMENT DURING ENVIRONMENTAL DISASTERS IN THE CITY</t>
  </si>
  <si>
    <t xml:space="preserve">
Sales Order #: 2285686245
RTD Screening Code: DOD
Reason for Rejection: Y9</t>
  </si>
  <si>
    <t>2YTFKH60796035</t>
  </si>
  <si>
    <t>REFRIGERATION TOOL KIT WILL BE USED BY HOUSTON POLICE OFFICERS IN THE 1033 UNIT TO REPAIR 1033 AWARDED REFRIGERATORS SO THAT THEY CAN BE USED BY OFFICERS AT OUTLYING POLICE STATIONS TO SECURELY HOLD ORGANIC EVIDENCE UNTIL IT CAN BE PICKED UP BY EVIDENTIARY TECHNICIANS FOR TESTING IN CRIMINAL INVESTIGATIONS</t>
  </si>
  <si>
    <t xml:space="preserve">
Sales Order #: 2285177777
RTD Screening Code: DOD
Reason for Rejection: YH</t>
  </si>
  <si>
    <t>2YTFKH60725328</t>
  </si>
  <si>
    <t>UTILITY VEHICLE WILL BE USED BY HOUSTON POLICE OFFICERS IN THE SPECIAL RESPONSE GROUP TO PROVIDE BETTER MOBILITY AND ABILITY TO RESPOND QUICKLY TO LARGE PROTESTS IN THE CITY</t>
  </si>
  <si>
    <t xml:space="preserve">
Sales Order #: 2285177792
RTD Screening Code: DOD
Reason for Rejection: Y9</t>
  </si>
  <si>
    <t>2YTFKH60724994</t>
  </si>
  <si>
    <t xml:space="preserve">
Sales Order #: 2285179956
RTD Screening Code: DOD
Reason for Rejection: Y9</t>
  </si>
  <si>
    <t>2YTFKH60724993</t>
  </si>
  <si>
    <t>HOUSTON POLICE DEPARTMENT WILL USE THESE BAGS FOR LAW ENFORCEMENT PURPOSES ONLY, IN ORDER TO SECURE POLICE EQUIPMENT.</t>
  </si>
  <si>
    <t xml:space="preserve">
Sales Order #: 2285178969
RTD Screening Code: DOD
Reason for Rejection: Y9</t>
  </si>
  <si>
    <t>2YTFKH60654732</t>
  </si>
  <si>
    <t>TROOP SEAT WILL BE USED BY HOUSTON POLICE OFFICERS IN THE HOUSTON POLICE HIGH WATER RESCUE UNIT TO REPLACE DAMAGED TROOP SEATS ON HOUSTON POLICE HIGH WATER RESCUE TRUCKS TO MAINTAIN MISSION READINESS AND EFFECTIVENESS DURING DEPLOYMENT IN ENVIRONMENTAL DISASTERS IN THE CITY</t>
  </si>
  <si>
    <t xml:space="preserve">
Sales Order #: 2282783466
RTD Screening Code: DOD
Reason for Rejection: Z2</t>
  </si>
  <si>
    <t>SEAT,VEHICULAR</t>
  </si>
  <si>
    <t>2YTFKH60302311</t>
  </si>
  <si>
    <t>VICES WILL BE USED BY HOUSTON POLICE OFFICERS IN THE HIGH WATER RESCUE UNIT TO INSTALL ON REPAIR BENCHES USED TO REPAIR AND MODIFY PARTS FOR HOUSTON POLICE HIGH WATER RESCUE TRUCKS TO MAINTAIN MISSION READINESS FOR DEPLOYMENT DURING ENVIRONMENTAL DISASTERS IN THE CITY.</t>
  </si>
  <si>
    <t xml:space="preserve">
Sales Order #: 2282049437
RTD Screening Code: GSA
Reason for Rejection: Y9</t>
  </si>
  <si>
    <t>2YTFKH60301601</t>
  </si>
  <si>
    <t>PAINT SPRAY GUNS WILL BE USED BY HOUSTON POLICE OFFICERS IN THE HIGH WATER RESCUE UNIT TO PAINT AND TOUCH UP PAINT ON HOUSTON POLICE HIGH WATER RESCUE TRUCKS TO MAINTAIN A PROFESSIONAL APPEARANCE AND TO MAKE RESCUE TRUCKS INCREASINGLY VISIBLE FOR DEPLOYMENT IN ENVIRONMENTAL DISASTERS</t>
  </si>
  <si>
    <t xml:space="preserve">
Sales Order #: 2282019339
RTD Screening Code: GSA
Reason for Rejection: Y9</t>
  </si>
  <si>
    <t>SPRAY GUN,PAINT</t>
  </si>
  <si>
    <t>2YTFKH60301586</t>
  </si>
  <si>
    <t>ELECTRODE HOLDERS WILL BE USED BY HOUSTON POLICE OFFICERS IN THE HOUSTON POLICE HIGH WATER RESCUE UNIT TO REPLACE AND UPGRADE HOLDERS ON THE WELDERS USE TO CONSTRUCT AND REPAIR HOUSTON POLICE HIGH WATER RESCUE TRUCKS TO MAINTAIN MISSION READINESS AND EFFECTIVENESS.</t>
  </si>
  <si>
    <t xml:space="preserve">
Sales Order #: 2282019318
RTD Screening Code: DOD
Reason for Rejection: Y9</t>
  </si>
  <si>
    <t>HOLDER,ELECTRODE,WE</t>
  </si>
  <si>
    <t>2YTFKH60301414</t>
  </si>
  <si>
    <t>THERMOSTATS WILL BE USED BY HOUSTON POLICE OFFICERS IN THE HIGH WATER RESCUE UNIT TO REPLACE INOPERABLE THERMOSTATS ON HOUSTON POLICE HIGH WATER RESCUE TRUCKS TO MAINTAIN MISSION READINESS AND EFFECTIVENESS FOR DEPLOYMENT DURING ENVIRONMENTAL DISASTERS IN THE CITY.</t>
  </si>
  <si>
    <t xml:space="preserve">
Sales Order #: 2280893029
RTD Screening Code: DOD
Reason for Rejection: YH</t>
  </si>
  <si>
    <t>2YTFKH60029671</t>
  </si>
  <si>
    <t>GENERATORS WILL BE USED BY HOUSTON POLICE OFFICERS IN THE HOUSTON POLICE DRONE UNIT TO PROVIDE POWER FOR EXTENDED OPERATIONS IN THE FIELD TO POWER AND CHARGE HOUSTON POLICE  DRONE BATTERIES KEEPING OPERATIONS NON STOP AND EFFECTIVE DURING DEPLOYMENTS</t>
  </si>
  <si>
    <t xml:space="preserve">
Sales Order #: 2280619893
RTD Screening Code: DOD
Reason for Rejection: Y9</t>
  </si>
  <si>
    <t>2YTFKH60020072</t>
  </si>
  <si>
    <t>WITH A SMALL AGENCY, WE ARE UNABLE TO PURCHASE ITEMS LIKE NIGHT VISION THAT ARE CRUCIAL IN NIGHT TIME OPERATIONS. OUR AGENCY IS APART OF A MULTI JURISDICTION SPECIAL RESPONSE TEAM. ALL MEMBERS OF OUR AGENCY ARE INVOLVED IN THE TEAM. THESE NIGHT VISION VIEWERS WILL GIVE ALL MEMBERS IN OUR DEPARTMENT AN ADVANTAGE WHEN ENSURING THE SAFETY OF THE PUBLIC AND OFFICERS DURING NIGHT TIME OPERATIONS.</t>
  </si>
  <si>
    <t xml:space="preserve">
Sales Order #: 2285864251
RTD Screening Code: DOD
Reason for Rejection: Y9</t>
  </si>
  <si>
    <t>2YTFHS60796261</t>
  </si>
  <si>
    <t>HOLYOKE POLICE DEPT (2YTFHS)</t>
  </si>
  <si>
    <t>THIS ALL TERRAIN VEHICLE, AG BVUS IS REQUESTED BY HOLLY HILL POLICE DEPARTMENT, FOR USE BY HOLLY HILL PD OFFICERS FOR OFF ROAD, SWAMP, OR WATER SEARCH AND RESCUE MISSION OF FUGITIVE APPREHENSION.</t>
  </si>
  <si>
    <t>2YTRSD60513296</t>
  </si>
  <si>
    <t>HOLLY HILL PD (2YTRSD)</t>
  </si>
  <si>
    <t>THIS TRUCK,LIFT,FORK IS REQUESTED BY THE HOLLY HILL POLICE DEPARTMENT, FOR USE BY HOLLY HILL PD OFFICERS TO LOAD AND UNLOAD LARGE PD EQUIPMENT SUCH AS GENERATORS, VEHICLES, AND MOVE AND POSITION CONEX BOXES AT OUR RANGE AND TRAINING AREA.</t>
  </si>
  <si>
    <t>2YTRSD60160530</t>
  </si>
  <si>
    <t>TO BE ISSUED AND USED BY THE POLICE DEPARTMENT FOR PATROL.  WE ARE IN DESPERATE NEED OF VEHICLES AND OUR BUDGET IS MINIMAL.  WE CAN NOT PURCHASE A VEHICLE NOR BUDGET FUTURE NEEDS DUE TO LACK OF FUNDING.  THIS VEHICLE WILL BE  USED FOR DAILY PATROL AFTER UPFITTING.</t>
  </si>
  <si>
    <t>2YT0D660725268</t>
  </si>
  <si>
    <t>HIGHLAND LAKE POLICE DEPT (2YT0D6)</t>
  </si>
  <si>
    <t>TO BE USED BY THE POLICE DEPARTMENT ISSUED TO OFFICERS.  DUE TO SEVERE BUDGET LIMITATIONS EQUIPMENT LIKE THIS IS NOT POSSIBLE FOR PURCHASE AND CAN ONLY BE ACQUIRED THROUGH PROGRAMS LIKE LESO.</t>
  </si>
  <si>
    <t>2YT0D660655287</t>
  </si>
  <si>
    <t>2YT0D660655286</t>
  </si>
  <si>
    <t>2YT0D660655285</t>
  </si>
  <si>
    <t>HICKMAN COUNTY IS A FEDERALLY DECLEARED DISASTER AREA. THE HICKMAN COUNTY SHERIFF'S OFFICE NEEDS A HEAVY DUTY LOW BOY TRAILER TO MOVE HEAVY EQUIPMENT INTO DISASTER AREAS. THE SHERIFF'S OFFICE WILL REPAIR THE TRAILER</t>
  </si>
  <si>
    <t xml:space="preserve">
Sales Order #: 2285125290
RTD Screening Code: DOD
Reason for Rejection: Y9</t>
  </si>
  <si>
    <t>2YTFC260725540</t>
  </si>
  <si>
    <t>HICKMAN COUNTY IS A FEDERALLY DECLEARED DISASTER AREA. THE HICKMAN COUNTY SHERIFF'S OFFICE IS IN NEED OF A SEMI TO HELP MOVE HEAVY EQUIPMENT TO REMOVE DEBRIS AND ASSIST WITH RESCUE IF NECESSARY. THE SHERIFF'S OFFICE WILL BRING THE SEMI INTO RUNNING CONDITION.</t>
  </si>
  <si>
    <t xml:space="preserve">
Sales Order #: 2285179952
RTD Screening Code: DOD
Reason for Rejection: Y9</t>
  </si>
  <si>
    <t>2YTFC260724997</t>
  </si>
  <si>
    <t>HICKMAN COUNTY IS A FEDERAL DECLEARED DISASTER AREA. HICKMAN COUNTY SHERIFF'S OFFICE IS NEEDING A HEAVY DUTY SEMI TRAILER TO MOVE HEAVY EQUIPMENT INTO DISASTER AREAS FOR RESCUE AND DEBRIS REMOVAL.</t>
  </si>
  <si>
    <t xml:space="preserve">
Sales Order #: 2285179844
RTD Screening Code: DOD
Reason for Rejection: Y9</t>
  </si>
  <si>
    <t>2YTFC260724995</t>
  </si>
  <si>
    <t>HICKMAN COUNTY IS A FEDERAL DECLEARED DISASTER AREA. THE TRAILER WILL HELP THE SHERIFF'S OFFICE MOVE HEAVY EQUIP. INTO AREAS FOR DEBRIS REMOVAL. SHERIFF'S OFFICE WILL BRING THE TRAILER INTO WORKING CONDITION.</t>
  </si>
  <si>
    <t xml:space="preserve">
Sales Order #: 2285178139
RTD Screening Code: DOD
Reason for Rejection: Y9</t>
  </si>
  <si>
    <t>2YTFC260724902</t>
  </si>
  <si>
    <t>HICKMAN COUNTY IS CURRENTLY DECLEARED A FEDERAL DISASTER AREA. THESE ITEMS WILL BE USED WITH CURRENT SKID STEERS TO HELP WITH DEBRIS REMOVAL.</t>
  </si>
  <si>
    <t xml:space="preserve">
Sales Order #: 2284043952
RTD Screening Code: DOD
Reason for Rejection: YG</t>
  </si>
  <si>
    <t>2YTFC260654531</t>
  </si>
  <si>
    <t>HICKMAN COUNTY IS CURRENTLY A FERDERAL DISASTER AREA. THE SHERIFF'S OFFICE WILL USE THIS VEHICLE WITH ITS INMATE CREWS TO HELP REMOVE DEBRIS WITH CURRENT SKID STREERS</t>
  </si>
  <si>
    <t>2YTFC260654421</t>
  </si>
  <si>
    <t>THE HICKMAN COUNTY IS A FEDERALLY DECLEARED DISASTER AREA. THIS VEHICLE WILL BE USED AS A REHAB VEHICLE DURING DISASTER TIMES OR HIGH RISK INCIDENTS.</t>
  </si>
  <si>
    <t xml:space="preserve">
Sales Order #: 2285176983
RTD Screening Code: DOD
Reason for Rejection: Y9</t>
  </si>
  <si>
    <t>2YTFC260574680</t>
  </si>
  <si>
    <t>THE HENDERSON POLICE DEPARTMENT OFFICERS WOULD UTILIZE THIS ALL TERRAIN WHEELED VEHICLE FOR OFF ROAD POLICE INCIDENTS, AROUND POLICE FACILITIES FOR MAINTENANCE, AND DURING TRAINING EXERCISES FOR OFFICER CONTINUED EDUCATION.  ALSO TO BE AVAILABLE FOR OUR REGIONAL SWAT OFFICERS FOR SPECIAL POLICE OPERATIONS.</t>
  </si>
  <si>
    <t xml:space="preserve">
Sales Order #: 2285179982
RTD Screening Code: DOD
Reason for Rejection: Y9</t>
  </si>
  <si>
    <t>2YTFAN60654464</t>
  </si>
  <si>
    <t>HENDERSON POLICE DEPT (2YTFAN)</t>
  </si>
  <si>
    <t>THE HEADLAND POLICE DEPARTMENT AND OFFICERS WOULD BENEFIT FROM THIS EQUIPMENT BY HAVING THE MEANS TO SEARCH AREAS OF CONCERN AND EMPLOY INTO AREAS OF NEED FOR THE SAFETY OF ALL OFFICERS AND PEOPLE INVOLVED. THIS EQUIPMENT WOULD KEEP OFFICERS SAFE IN DEALING WITH HIGH STRESS SITUATIOINS</t>
  </si>
  <si>
    <t xml:space="preserve">
Sales Order #: 2285177787
RTD Screening Code: DOD
Reason for Rejection: Y9</t>
  </si>
  <si>
    <t>2YTE9E60794597</t>
  </si>
  <si>
    <t>HEADLAND POLICE DEPT (2YTE9E)</t>
  </si>
  <si>
    <t>THE HEADLAND POLICE DEPARTMNET AND OFFICERS WOULD BENEFIT FROM THIS EQUIPMENT BY HAVING THE MEANS TO PROVIDE COMMUNICATIONS AND OFFICER SAFETY NEEDS TO AREAS OF NEED. THIS EQUIPMENT WOULD FURNISH THE DEPARTMENT AND OFFICER WITH THE EQUIPMENT TO DO THIER JOB SAFELY AND MORE EFFICIENT</t>
  </si>
  <si>
    <t xml:space="preserve">
Sales Order #: 2285176998
RTD Screening Code: DOD
Reason for Rejection: Y9</t>
  </si>
  <si>
    <t>2YTE9E60574684</t>
  </si>
  <si>
    <t>CISCO NETWORKING DEVICES WILL SUPPORT HAWTHORNE PD ADP OPERATIONS IN ALL AREAS ALLOWING OFFICERS TO ACCESS NETWORK RESOURCES.</t>
  </si>
  <si>
    <t xml:space="preserve">
Sales Order #: 2274034377
RTD Screening Code: DOD
Reason for Rejection: YG</t>
  </si>
  <si>
    <t>2YTE8L53468444</t>
  </si>
  <si>
    <t>HAWTHORNE POLICE DEPT (2YTE8L)</t>
  </si>
  <si>
    <t xml:space="preserve">
Sales Order #: 2279482086
RTD Screening Code: DOD
Reason for Rejection: YG</t>
  </si>
  <si>
    <t>ADP INPUT/OUTPUT AND STORAGE DEVICES</t>
  </si>
  <si>
    <t>DSADPIODV</t>
  </si>
  <si>
    <t>2YTE8L53468443</t>
  </si>
  <si>
    <t>DELL NETWORK STORAGE DEVICE WILL BE USED TO SUPPORT HAWTHORNE PD VIDEO CAMERA SYSTEM. ALLOWING OFFICERS TO ACCESS VIDEO RECORDINGS AND DIGITAL EVIDENCE.</t>
  </si>
  <si>
    <t xml:space="preserve">
Sales Order #: 2274034376
RTD Screening Code: DOD
Reason for Rejection: YG</t>
  </si>
  <si>
    <t>2YTE8L53468442</t>
  </si>
  <si>
    <t>CISCO NETWORK SWITCHES WILL BE USED BY HAWTHORNE PD TO PROVIDE ACCESS TO NETWORK RESOURCES ALLOWING OFFICERS TO PROCESS REPORTS, ACCESS DATABASES AND PERFORM THEIR DUTY'S.</t>
  </si>
  <si>
    <t xml:space="preserve">
Sales Order #: 2278974627
RTD Screening Code: DOD
Reason for Rejection: YH</t>
  </si>
  <si>
    <t>2YTE8L53186920</t>
  </si>
  <si>
    <t>FOR USE BY THIS LEA ONLY. THIS SHIPPING CONTAINER WILL BE UTILIZED BY THE HARVEY CEDARS POLICE DEPARTMENT TO PROTECT AND STORE OUR POLICE EQUIPMENT.</t>
  </si>
  <si>
    <t>2YTE6360725262</t>
  </si>
  <si>
    <t>HARVEY CEDARS POLICE DEPT (2YTE63)</t>
  </si>
  <si>
    <t>2YTE6360725261</t>
  </si>
  <si>
    <t>FOR USE BY THIS LEA ONLY. THESE PELICAN CASE STORAGE UNITS WILL BE UTILIZED BY THE HARVEY CEDARS POLICE DEPARTMENT TO STORE FRAGILE PATROL EQUIPMENT TO KEEP IT GETTING DAMAGED WHILE BEING TRANSPORTED TO CRIME SCENES AND OTHER POLICE OPERATIONS.</t>
  </si>
  <si>
    <t>2YTE6360725260</t>
  </si>
  <si>
    <t>THESE ITEMS WILL BE UTILIZED BY THE HARRIS COUNTY SHERIFF'S OFFICE. THESE WILL BE USED BY THE OFFICERS DURING A DISASTER OR CATASTROPHIC EVENT.</t>
  </si>
  <si>
    <t xml:space="preserve">
Sales Order #: 2283790525
RTD Screening Code: DOD
Reason for Rejection: YH</t>
  </si>
  <si>
    <t>2YTE5N60513351</t>
  </si>
  <si>
    <t>HARRIS CSO (2YTE5N)</t>
  </si>
  <si>
    <t>ITEM WILL BE UTILIZED BY THE HARRIS COUNTY SHERIFF'S OFFICE. ITEM WILL BE USED FOR LAW ENFORCEMENT PURPOSES TO STORE EVIDENCE AND TRAINING MATERIALS FOR OFFICERS.</t>
  </si>
  <si>
    <t xml:space="preserve">
Sales Order #: 2283206033
RTD Screening Code: DOD
Reason for Rejection: Y9</t>
  </si>
  <si>
    <t>2YTE5N60513206</t>
  </si>
  <si>
    <t xml:space="preserve">
Sales Order #: 2283637537
RTD Screening Code: DOD
Reason for Rejection: Y9</t>
  </si>
  <si>
    <t>2YTE5N60513204</t>
  </si>
  <si>
    <t xml:space="preserve">
Sales Order #: 2283637530
RTD Screening Code: DOD
Reason for Rejection: Y9</t>
  </si>
  <si>
    <t>2YTE5N60513202</t>
  </si>
  <si>
    <t>THIS ITEM WILL BE UTILIZED TO ESTABLISH EMERGENCY POWER DURING EMERGENCY INCIDENTS WHERE SHORELINE POWER IS NOT AVAILABLE TO RUN COMMUNICATIONS AND IT EQUIPMENT AT COMMAND POSTS AND FIELD OPERATING LOCATIONS.  THIS EQUIPMENT MAY ALSO BE USED TO POWER RADIO NETWORK BACK-HAUL AND INFRASTRUCTURE.</t>
  </si>
  <si>
    <t xml:space="preserve">
Sales Order #: 2275170165
RTD Screening Code: DOD
Reason for Rejection: YH</t>
  </si>
  <si>
    <t>SOLAR CELL PANEL AS</t>
  </si>
  <si>
    <t>2YT0E752411737</t>
  </si>
  <si>
    <t>HARPERSVILLE POLICE DEPT (2YT0E7)</t>
  </si>
  <si>
    <t>THE HARDIN COUNTY SHERIFF OFFICE, IF AWARDED THIS VAN, WOULD BENEFIT AS USING IT TO TRANSPORT PERSONNEL TO TRAININGS, GENERAL OFFICE DUTIES, AND JURY TRANSPORT.</t>
  </si>
  <si>
    <t xml:space="preserve">
Sales Order #: 2280301193
RTD Screening Code: DOD
Reason for Rejection: Y9</t>
  </si>
  <si>
    <t>2YTE4J60160456</t>
  </si>
  <si>
    <t>HARDIN COUNTY SHERIFF'S OFFICE (2YTE4J)</t>
  </si>
  <si>
    <t>WE ARE A SHERIFF DEPT WITH A LIMITED BUDGET. WE ARE IN NEED OF THIS EQUIPMENT FOR OUR OFFICERS TO USE WORKING ON THEIR TRAINING GROUNDS AND TO HELP CLEAR ROADWAYS AFTER SEVERE WEATHER SO THEY CAN RESPOND TO CALLS FOR ASSISTANCE.</t>
  </si>
  <si>
    <t xml:space="preserve">
Sales Order #: 2285178209
RTD Screening Code: DOD
Reason for Rejection: Y9</t>
  </si>
  <si>
    <t>2YTE4H60654480</t>
  </si>
  <si>
    <t>HARDIN COUNTY SHERIFF'S DEPT (2YTE4H)</t>
  </si>
  <si>
    <t>WE ARE A SHERIFF DEPT WITH A LIMITED BUDGET. WE ARE IN NEED OF THIS TRAILER FOR OUR OFFICERS TO USE TRANSPORTING THEIR SIDE BY SIDES TO AREAS DURING SEARCH AND RESCUE MISSIONS. ALSO THE TRAILER CAN HAUL THEIR BACKHOE TO AREAS FOR CLEANING ROADWAYS AFTER SEVERE WEATHER CONDITIONS.</t>
  </si>
  <si>
    <t xml:space="preserve">
Sales Order #: 2285178998
RTD Screening Code: DOD
Reason for Rejection: Y9</t>
  </si>
  <si>
    <t>2YTE4H60654476</t>
  </si>
  <si>
    <t>HANNIBAL POLICE DEPT S.R.T. NEEDS THESE ITEMS TO ASSIST WITH IDENTIFICATION, TARGETING AND OPERATING HIGH RISK SITUATIONS IN LOW LIGHT ENVIRONMENTS.</t>
  </si>
  <si>
    <t xml:space="preserve">
Sales Order #: 2283384320
RTD Screening Code: DOD
Reason for Rejection: YH</t>
  </si>
  <si>
    <t>2YTE3N60442796</t>
  </si>
  <si>
    <t>HANNIBAL POLICE DEPT (2YTE3N)</t>
  </si>
  <si>
    <t>EMERGENCY VEHICLE REQUESTED BY HAMPTON COUNTY SHERIFF'S OFFICE, FOR USE BY HAMPTON COUNTY DEPUTIES, FOR EMERGENCY OPERATIONS. VEHICLE NEEDED FOR SWAT, INVESTIGATIONS AND DURING TIMES OF EMERGENCY INCIDENTS.</t>
  </si>
  <si>
    <t>2YTE2060866460</t>
  </si>
  <si>
    <t>HAMPTON COUNTY SHERIFF OFFICE (2YTE20)</t>
  </si>
  <si>
    <t>EMERGENCY VEHICLE REQUESTED BY HAMPTON COUNTY SHERIFF'S OFFICE FOR USE WITH HIGH RISK SEARCH WARRANTS, SWAT USE AND TRANSPORT, INVESTIGATION DIVISION, AND EMERGENCY NEEDS OF THE DEPARTMENT,</t>
  </si>
  <si>
    <t>2YTE2060303899</t>
  </si>
  <si>
    <t>TO BE USED BY THE LEOS AND PERSONNEL OF THIS LEA AGENCY ONLY.  THIS APPARATUS WILL BE USED BY THIS LEA TO STORE AND TRANSPORT POLICE RELATED SUPPLIES AND EQUIPMENT.</t>
  </si>
  <si>
    <t xml:space="preserve">
Sales Order #: 2285872669
RTD Screening Code: DOD
Reason for Rejection: Y9</t>
  </si>
  <si>
    <t>2YTS0260866594</t>
  </si>
  <si>
    <t>HALEDON PD (2YTS02)</t>
  </si>
  <si>
    <t>TO BE USED BY LAW ENFORCEMENT OFFICERS FOR THE PATROL OF AREAS NOT NORMALLY ACCESSED WITH A REGULAR VEHICLE.</t>
  </si>
  <si>
    <t xml:space="preserve">
Sales Order #: 2283507428
RTD Screening Code: DOD
Reason for Rejection: Y9</t>
  </si>
  <si>
    <t>2YTEZF60513160</t>
  </si>
  <si>
    <t>TO BE USED BY LAW ENFORCEMENT OFFICERS FOR THE CARE AND MAINTENANCE OF UNIFORMS. THIS WILL PROVIDE THE ABILITY TO CLEAN UNIFORMS THAT HAVE BEEN EXPOSED TO DANGEROUS SUBSTANCES OR PATHOGENS.</t>
  </si>
  <si>
    <t>2YTEZF60442636</t>
  </si>
  <si>
    <t>FOR USE BY THIS LEA ONLY. TO BE USED BY THE LEOS OF THIS AGENCY. THIS EYE PROTECTION WILL BE UTILIZED DURING LAW ENFORCEMENT OPERATIONS AND TRAINING TO ENSURE OFFICER SAFETY.</t>
  </si>
  <si>
    <t xml:space="preserve">
Sales Order #: 2286347631
RTD Screening Code: DOD
Reason for Rejection: Y9</t>
  </si>
  <si>
    <t>2YTEY460937010</t>
  </si>
  <si>
    <t>FOR USE BY THIS LEA ONLY. TO BE USED BY THE LEOS OF THIS AGENCY. THIS BATTERY BACKUP WILL BE UTILIZED TO MAINTAIN POWER TO ESSENTIAL EQUIPMENT DURING LAW ENFORCEMENT OPERATIONS, EMERGENCY RESPONSE, AND CRITICAL INCIDENTS.</t>
  </si>
  <si>
    <t xml:space="preserve">
Sales Order #: 2286425666
RTD Screening Code: DOD
Reason for Rejection: Y9</t>
  </si>
  <si>
    <t>2YTEY460867224</t>
  </si>
  <si>
    <t>FOR USE BY THIS LEA ONLY. TO BE USED BY THE LEOS OF THIS AGENCY. THIS MONITOR WILL BE UTILIZED TO SUPPORT LAW ENFORCEMENT OPERATIONS, INCLUDING REPORT WRITING, DATA REVIEW, AND REAL-TIME INCIDENT MONITORING.</t>
  </si>
  <si>
    <t xml:space="preserve">
Sales Order #: 2285942619
RTD Screening Code: DOD
Reason for Rejection: Y9</t>
  </si>
  <si>
    <t>2YTEY460866689</t>
  </si>
  <si>
    <t xml:space="preserve">
Sales Order #: 2285840406
RTD Screening Code: DOD
Reason for Rejection: Y9</t>
  </si>
  <si>
    <t>2YTEY460866681</t>
  </si>
  <si>
    <t>FOR USE BY THIS LEA ONLY. TO BE USED BY THE LEOS OF THIS AGENCY. THIS SUV WILL BE UTILIZED DURING LAW ENFORCEMENT OPERATIONS, EMERGENCY RESPONSE, PERSONNEL TRANSPORT, AND CRITICAL INCIDENT RESPONSE.</t>
  </si>
  <si>
    <t xml:space="preserve">
Sales Order #: 2285761798
RTD Screening Code: DOD
Reason for Rejection: Y9</t>
  </si>
  <si>
    <t>2YTEY460866317</t>
  </si>
  <si>
    <t>FOR USE BY THIS LEA ONLY. TO BE USED BY THE LEOS OF THIS AGENCY. THIS TOOL KIT WILL BE UTILIZED TO SUPPORT MAINTENANCE AND REPAIRS OF LAW ENFORCEMENT EQUIPMENT AND VEHICLES DURING OPERATIONS AND TRAINING.</t>
  </si>
  <si>
    <t xml:space="preserve">
Sales Order #: 2285838695
RTD Screening Code: DOD
Reason for Rejection: Y9</t>
  </si>
  <si>
    <t>2YTEY460866314</t>
  </si>
  <si>
    <t>FOR USE BY THIS LEA ONLY. TO BE USED BY THE LEOS OF THIS AGENCY. THESE COMPUTERS WILL BE UTILIZED TO SUPPORT LAW ENFORCEMENT OPERATIONS, REPORT WRITING, DATA ACCESS, AND INCIDENT MANAGEMENT.</t>
  </si>
  <si>
    <t xml:space="preserve">
Sales Order #: 2285870148
RTD Screening Code: DOD
Reason for Rejection: Y9</t>
  </si>
  <si>
    <t>2YTEY460866313</t>
  </si>
  <si>
    <t>FOR USE BY THIS LEA ONLY. TO BE USED BY THE LEOS OF THIS AGENCY. THIS UTILITY TRUCK WILL BE UTILIZED BY OUR TRAFFIC OFFICERS TO SUPPORT LAW ENFORCEMENT OPERATIONS, TRAFFIC ENFORCEMENT, SCENE MANAGEMENT, AND PUBLIC SAFETY RESPONSE.</t>
  </si>
  <si>
    <t xml:space="preserve">
Sales Order #: 2285870182
RTD Screening Code: GSA
Reason for Rejection: Y9</t>
  </si>
  <si>
    <t>2YTEY460796073</t>
  </si>
  <si>
    <t xml:space="preserve">
Sales Order #: 2285713623
RTD Screening Code: GSA
Reason for Rejection: Y9</t>
  </si>
  <si>
    <t>2YTEY460796052</t>
  </si>
  <si>
    <t>FOR USE BY THIS LEA ONLY. TO BE USED BY THE LEOS OF THIS AGENCY. THESE BINOCULARS WILL BE UTILIZED DURING LAW ENFORCEMENT OPERATIONS, SEARCH AND RESCUE MISSIONS, SURVEILLANCE, AND HOMELAND SECURITY MISSIONS TO ENHANCE EFFECTIVENESS AND SAFETY.</t>
  </si>
  <si>
    <t xml:space="preserve">
Sales Order #: 2285333703
RTD Screening Code: DOD
Reason for Rejection: Y9</t>
  </si>
  <si>
    <t>2YTEY460725558</t>
  </si>
  <si>
    <t>FOR USE BY THIS LEA ONLY. TO BE USED BY THE LEOS OF THIS AGENCY. THIS HELMET-ATTACHABLE HEADSET WILL BE UTILIZED TO MAINTAIN SECURE COMMUNICATIONS DURING LAW ENFORCEMENT OPERATIONS, TACTICAL DEPLOYMENTS, AND CRITICAL INCIDENT RESPONSE.</t>
  </si>
  <si>
    <t xml:space="preserve">
Sales Order #: 2285152407
RTD Screening Code: DOD
Reason for Rejection: Y9</t>
  </si>
  <si>
    <t>2YTEY460725137</t>
  </si>
  <si>
    <t>FOR USE BY THIS LEA ONLY. TO BE USED BY THE LEOS OF THIS AGENCY. THIS TRAFFIC SPEED RADAR TRAILER WILL BE UTILIZED TO SUPPORT TRAFFIC ENFORCEMENT, SPEED MONITORING, AND PUBLIC SAFETY INTIATIVES.</t>
  </si>
  <si>
    <t xml:space="preserve">
Sales Order #: 2285152366
RTD Screening Code: DOD
Reason for Rejection: Y9</t>
  </si>
  <si>
    <t>2YTEY460725088</t>
  </si>
  <si>
    <t xml:space="preserve">
Sales Order #: 2285178994
RTD Screening Code: DOD
Reason for Rejection: Y9</t>
  </si>
  <si>
    <t>2YTEY460725067</t>
  </si>
  <si>
    <t>FOR USE BY THIS LEA ONLY. TO BE USED BY THE LEOS OF THIS AGENCY. THIS COMMAND TRAILER WILL BE UTILIZED TO SUPPORT LAW ENFORCEMENT OPERATIONS, MAJOR INCIDENTS, AND EVENTS BY PROVIDING A MOBILE COMMAND AND COORDINATION PLATFORM.</t>
  </si>
  <si>
    <t xml:space="preserve">
Sales Order #: 2279219608
RTD Screening Code: DOD
Reason for Rejection: Y9</t>
  </si>
  <si>
    <t>2YTEY460090228</t>
  </si>
  <si>
    <t>FOR USE BY THIS LEA ONLY. TO BE USED BY THE LEOS OF THIS AGENCY. THIS HEADSET WITH NATO PLUG WILL BE UTILIZED TO SUPPORT SECURE COMMUNICATIONS DURING LAW ENFORCEMENT OPERATIONS, CRITICAL INCIDENTS, AND TRAINING.</t>
  </si>
  <si>
    <t xml:space="preserve">
Sales Order #: 2280759642
RTD Screening Code: DOD
Reason for Rejection: Y9</t>
  </si>
  <si>
    <t>2YTEY460090032</t>
  </si>
  <si>
    <t>FOR USE BY THIS LEA ONLY. TO BE USED BY THE LEOS OF THIS AGENCY. THIS SUV WILL BE UTILIZED FOR DAILY LAW ENFORCEMENT OPERATIONS, EMERGENCY RESPONSE, COMMUNITY ENGAGEMENT, AND TRANSPORT DURING CRITICAL INCIDENTS TO SUPPORT PUBLIC SAFETY.</t>
  </si>
  <si>
    <t xml:space="preserve">
Sales Order #: 2280117688
RTD Screening Code: RTD2
Reason for Rejection: YH</t>
  </si>
  <si>
    <t>2YTEY453469051</t>
  </si>
  <si>
    <t>INDIVIDUAL FIRST AID KITS ARE REQUESTED TO ALLOW OFFICERS TO IMMEDIATELY TREAT LIFE-THREATENING INJURIES TO OFFICERS OR CIVILIANS DURING EMERGENCIES. THIS EQUIPMENT SUPPORTS RAPID MEDICAL INTERVENTION PRIOR TO EMS ARRIVAL AND IMPROVES SURVIVAL OUTCOMES.</t>
  </si>
  <si>
    <t xml:space="preserve">
Sales Order #: 2286326878
RTD Screening Code: DOD
Reason for Rejection: Y9</t>
  </si>
  <si>
    <t>2YTEWV60937037</t>
  </si>
  <si>
    <t xml:space="preserve">
Sales Order #: 2283429214
RTD Screening Code: DOD
Reason for Rejection: Y9</t>
  </si>
  <si>
    <t>2YTEWV60654566</t>
  </si>
  <si>
    <t xml:space="preserve">
Sales Order #: 2283429211
RTD Screening Code: DOD
Reason for Rejection: Y9</t>
  </si>
  <si>
    <t>2YTEWV60654565</t>
  </si>
  <si>
    <t>THE AVAILABILITY OF THESE KITS ENABLES OUR DEPARTMENT TO IMPLEMENT STOP THE BLEED AND OTHER TACTICAL MEDICAL TRAINING, ENSURING OFFICERS ARE PREPARED TO EFFECTIVELY RESPOND TO MODERN THREATS AND EMERGENCIES. THE KITS AND SUPPLIES ARE ESSENTIAL FOR ADDRESSING LEADING CAUSES OF PREVENTABLE DEATH IN TRAUMA SITUATIONS, POTENTIALLY SAVING THE LIVES OF CIVILIANS OR FELLOW OFFICERS</t>
  </si>
  <si>
    <t xml:space="preserve">
Sales Order #: 2281961847
RTD Screening Code: DOD
Reason for Rejection: Y9</t>
  </si>
  <si>
    <t>2YTEWV60231223</t>
  </si>
  <si>
    <t>THE AVAILABILITY OF THESE KITS ENABLES OUR DEPARTMENT TO IMPLEMENT STOP THE BLEED AND OTHER TACTICAL MEDICAL TRAINING, ENSURING OFFICERS ARE PREPARED TO EFFECTIVELY RESPOND TO MODERN THREATS AND EMERGENCIES. THE KITS AND SUPPLIES ARE ESSENTIAL FOR ADDRESSING THE LEADING CAUSES OF PREVENTABLE DEATH IN TRAUMA SITUATIONS, POTENTIALLY SAVING THE LIVES OF CIVILIANS OR FELLOW OFFICERS</t>
  </si>
  <si>
    <t xml:space="preserve">
Sales Order #: 2281961845
RTD Screening Code: DOD
Reason for Rejection: Y9</t>
  </si>
  <si>
    <t>2YTEWV60231222</t>
  </si>
  <si>
    <t>ITEM WILL BE USED BY GPF PD OR THE CARE AND MAINTENANCE OF DEPARTMENT FIREARMS BY OFFICERS WHO ARE TRAINED ARMORERS.</t>
  </si>
  <si>
    <t xml:space="preserve">
Sales Order #: 2281060130
RTD Screening Code: DOD
Reason for Rejection: Y9</t>
  </si>
  <si>
    <t>2YTEWV60090176</t>
  </si>
  <si>
    <t>ITEM WILL BE USED FOR THE CARE AND MAINTENANCE OF DEPARTMENT FIREARMS BY TRAINED ARMORERS.</t>
  </si>
  <si>
    <t xml:space="preserve">
Sales Order #: 2281060136
RTD Screening Code: DOD
Reason for Rejection: Y9</t>
  </si>
  <si>
    <t>2YTEWV60090174</t>
  </si>
  <si>
    <t>NIGHT VISION REQUESTED BY THE GREENWOOD COUNTY SHERIFF'S OFFICE, FOR USE BY GREENWOOD COUNTY SHERIFF'S OFFICE DEPUTIES TO BETTER ENHANCE OFFICER SAFETY AT NIGHT. REQUESTING AGENCY IS AWARE THESE UNITS ARE CONDITION F  AND STILL WISHES TO PROCEED WITH REQUEST.</t>
  </si>
  <si>
    <t xml:space="preserve">
Sales Order #: 2285152412
RTD Screening Code: DOD
Reason for Rejection: Y9</t>
  </si>
  <si>
    <t>2YTEVU60654475</t>
  </si>
  <si>
    <t>GREENWOOD COUNTY SHERIFFS OFFICE (2YTEVU)</t>
  </si>
  <si>
    <t>ILLUMINATORS REQUESTED BY GREENWOOD COUNTY SHERIFF'S OFFICE, FOR USE BY GREENWOOD COUNTY SHERIFF'S OFFICE DEPUTIES, TO ENHANCE VISIBILITY AND OFFICER SAFETY.</t>
  </si>
  <si>
    <t xml:space="preserve">
Sales Order #: 2285188782
Reason for Rejection: Y9</t>
  </si>
  <si>
    <t>2YTEVU60584683</t>
  </si>
  <si>
    <t>THE GREENEVILLE POLICE DEPARTMENT NEEDS A BULLDOZER TO ENHANCE PUBLIC SAFETY AND EMERGENCY RESPONSE. IT CAN CLEAR DEBRIS AFTER NATURAL DISASTERS, REMOVE VEHICLES BLOCKING CRITICAL ROUTES, ASSIST IN SEARCH AND RESCUE OPERATIONS, AND CREATE SAFE PERIMETERS DURING HIGH-RISK INCIDENTS. THIS EQUIPMENT IMPROVES RESPONSE SPEED, PROTECTS OFFICERS AND CIVILIANS, AND STRENGTHENS OVERALL COMMUNITY RESILIENCE.</t>
  </si>
  <si>
    <t xml:space="preserve">
Sales Order #: 2285180141
RTD Screening Code: DOD
Reason for Rejection: Y9</t>
  </si>
  <si>
    <t>2YTEUF60655027</t>
  </si>
  <si>
    <t>THE GREENEVILLE POLICE DEPARTMENT NEEDS THIS UNIT FOR AN OFFICER'S RESTING AREA. WE WERE OUT ON NATURAL DISASTERS FOR MONTHS AND DIDN'T HAVE A PLACE FOR OFFICERS TO TAKE A BREAK OR REST. THIS UNIT WILL SERVE US WELL FOR THIS. WE CAN ALSO USE THIS UNIT FOR SOME TRAINING AS WELL.</t>
  </si>
  <si>
    <t>2YTEUF60442644</t>
  </si>
  <si>
    <t>THE GREENEVILLE POLICE DEPARTMENT NEEDS A WHEELED EXCAVATOR TO ENHANCE POLICE OPERATIONAL READINESS BY SUPPORTING DISASTER RESPONSE, SEARCH AND RECOVERY, HAZARD MITIGATION, AND CRITICAL INCIDENTS. ITS ROAD MOBILITY ALLOWS RAPID SELF-DEPLOYMENT WITHOUT TRANSPORT DELAYS. THE EQUIPMENT IMPROVES OFFICER AND PUBLIC SAFETY BY REDUCING MANUAL LABOR IN HAZARDOUS CONDITIONS AND LOWERS LONG-TERM COSTS BY MINIMIZING RELIANCE ON CONTRACTORS WHILE SUPPORTING INTERAGENCY OPERATIONS.</t>
  </si>
  <si>
    <t xml:space="preserve">
Sales Order #: 2281278317
RTD Screening Code: DOD
Reason for Rejection: Y9</t>
  </si>
  <si>
    <t>2YTEUF60160670</t>
  </si>
  <si>
    <t>THE UNMANNED GROUND VEHICLE WILL BE USED BY THE SPECIAL OPERATIONS TEAM OF THE GREENE COUNTY SHERIFFS OFFICE TO DEPLOY IN BARRICADED SUSPECT SITUATIONS, HAZARDOUS MATERIAL SPILLS, AND OTHER SITUATIONS WHERE IT IS UNSAFE TO SEND AN OFFICER INTO. THIS DEVICE WILL ALLOW US TO SEE WHATS GOING ON.</t>
  </si>
  <si>
    <t xml:space="preserve">
Sales Order #: 2285178932
RTD Screening Code: DOD
Reason for Rejection: Y9</t>
  </si>
  <si>
    <t>2YTET661004947</t>
  </si>
  <si>
    <t>ATV WILL BE USED BY THE GREENE COUNTY SHERIFFS OFFICE TO ALLOW OFFICERS TO PATROL AROUND DURING FESTIVALS AND OTHER EVENTS WHERE MOBILITY IS NEEDED. WITH THE STORAGE ON THE BACK IT WILL ALLOW OFFICERS TO STORE MUCH NEEDED EQUIPMENT.</t>
  </si>
  <si>
    <t xml:space="preserve">
Sales Order #: 2285864912
RTD Screening Code: DOD
Reason for Rejection: Y9</t>
  </si>
  <si>
    <t>2YTET660866126</t>
  </si>
  <si>
    <t>SPEED TRAILER WILL BE USED BY THE GREENE COUNTY SHERIFFS OFFICE TO CONTROL SPEEDING ON OUR COUNTY ROADWAYS THEREBY PROMOTING TRAFFIC SAFETY.</t>
  </si>
  <si>
    <t xml:space="preserve">
Sales Order #: 2285179936
RTD Screening Code: DOD
Reason for Rejection: Y9</t>
  </si>
  <si>
    <t>2YTET660725011</t>
  </si>
  <si>
    <t>TRAILER WILL BE USED BY THE GREENE COUNTY SHERIFFS OFFICE TO STORE DISASTER RESPONSE EQUIPMENT IN. OUR OLDER TRAILER WE USED FOR THIS IS NOW LEAKING AND TOO COSTLY TO REPAIR SO WE NEED A DRY SECURE TRAILER SO OUR EQUIPMENT CAN BE READY ON A MOMENTS NOTICE TO RESPOND TO A DISASTER.</t>
  </si>
  <si>
    <t xml:space="preserve">
Sales Order #: 2285179004
RTD Screening Code: DOD
Reason for Rejection: Y9</t>
  </si>
  <si>
    <t>2YTET660724944</t>
  </si>
  <si>
    <t>AXES WILL BE ASSIGNED TO THE LIEUTENANT AND SERGEANT OF EACH SHIFT OF THE GREENE COUNTY SHERIFFS DEPT FOR EMERGENCIES THAT MAY ARISE WHILE ON DUTY. THIS WILL ALLOW THEM TO USE THEM AS NEEDED.</t>
  </si>
  <si>
    <t xml:space="preserve">
Sales Order #: 2283338421
RTD Screening Code: DOD
Reason for Rejection: Y9</t>
  </si>
  <si>
    <t>AX,SINGLE BIT</t>
  </si>
  <si>
    <t>2YTET660442670</t>
  </si>
  <si>
    <t>TOOL BOX WILL BE USED BY THE FLEET DIVISION OF THE GREENE COUNTY SHERIFFS OFFICE TO STORE TOOLS AND EQUIPMENT THAT IS USED TO WORK ON OUR FLEET VEHICLES.</t>
  </si>
  <si>
    <t>2YTET660442665</t>
  </si>
  <si>
    <t>STOKES LITTER WILL BE USED BY THE GREENE COUNTY SHERIFFS OFFICE TO RESCUE SUBJECT. THESE WILL BE USED TO MOVE PATIENTS OUT OF REMOTE AREAS OR GET THEM OUT TO AWAITING MEDICAL CARE.</t>
  </si>
  <si>
    <t xml:space="preserve">
Sales Order #: 2283338431
RTD Screening Code: DOD
Reason for Rejection: Y9</t>
  </si>
  <si>
    <t>2YTET660442664</t>
  </si>
  <si>
    <t>WASHER  DRYER WILL BE USED BY THE GREENE COUNTY SHERIFFS OFFICE FOR CLEANING OF CONTAMINATED UNIFORMS. WE WILL PUT ONE AT THE MAIN OFFICE ONE AT THE RANGE AND ONE AT FLEET SERVICES SO OFFICERS AND EMPLOYEES WHO BECOME CONTAMINATED ON DUTY CAN CHANGE AND WASH THEIR CLOTHES INSTEAD OF TAKING THEM HOME TO CONTAMINATE THEIR FAMILY WASHER</t>
  </si>
  <si>
    <t>2YTET660442662</t>
  </si>
  <si>
    <t>CHAINS WILL BE USED BY THE GREENE COUNTY SHERIFFS OFFICE TO SECURE ITEMS WE PICKUP UP FROM LESO ON OUR FLAT BED TRAILERS. THIS WILL ALLOW US TO SAFELY TRANSPORT THE ITEMS.</t>
  </si>
  <si>
    <t xml:space="preserve">
Sales Order #: 2278331096
RTD Screening Code: DOD
Reason for Rejection: Y9</t>
  </si>
  <si>
    <t>CHAIN ASSEMBLY, SINGLE LEG</t>
  </si>
  <si>
    <t>2YTET660301457</t>
  </si>
  <si>
    <t>CORD WILL BE USED BY THE GREENE COUNTY SHERIFFS OFFICE TO ROPE OF AREAS WHERE THE PUBLIC SHOULD NOT GO AND TO USE TO SECURE LOADS WHEN NEEDED.</t>
  </si>
  <si>
    <t xml:space="preserve">
Sales Order #: 2278331068
RTD Screening Code: DOD
Reason for Rejection: Y9</t>
  </si>
  <si>
    <t>CORD,FIBROUS</t>
  </si>
  <si>
    <t>2YTET660301436</t>
  </si>
  <si>
    <t>ROAD GRADER WILL BE USED BY THE GREENE COUNTY SHERIFFS OFFICE TO KEEP OUR ROADS MAINTAINED INTO AND AROUND OUR FIRING RANGE. WE USE TO HAVE A ROAD GRADER BUT THE ENGINE THREW A ROD AND WAS UNECONOMICAL TO REPAIR.</t>
  </si>
  <si>
    <t xml:space="preserve">
Sales Order #: 2281217910
RTD Screening Code: DOD
Reason for Rejection: Y9</t>
  </si>
  <si>
    <t>2YTET660160370</t>
  </si>
  <si>
    <t>WE USE THEM FOR OUR SWAT TEAM FOR AIMING WITH THE LASER AND WHILE UNDER NIGHT VISION.  WE USE THEM ON AR PLATFORMS AND SNIPER RIFLES.  CALLED THE SITE WHO COULD NOT VERIFY THE CONDITION OTHER THAN LOOKING AT CONDITION CODE.  WILL ACCEPT AT THE CURRENT CONDITION CODE.</t>
  </si>
  <si>
    <t xml:space="preserve">
Sales Order #: 2285152369
RTD Screening Code: DOD
Reason for Rejection: Y9</t>
  </si>
  <si>
    <t>2YTES960725007</t>
  </si>
  <si>
    <t>GREEN BAY POLICE DEPT (2YTES9)</t>
  </si>
  <si>
    <t>THESE HEADSETS WILL BE ISSUED TO NEW SWAT TEAM AND BOMB TEAM MEMBERS TO BE USED DURING CALL OUTS TO KEEP OFFICERS HEARING PROTECTED AND ALLOW FOR BETTER SITUATIONAL AWARENESS.</t>
  </si>
  <si>
    <t>2YTES760301658</t>
  </si>
  <si>
    <t>THIS 3 COMPUTERS WILL BE USED AT THE DRUG TASK FORCE OFFICE TO DISPLAY SURVEILLANCE CAMERAS, GPS TRACKERS, AND OTHER TECH RELATED EQUIPMENT IN THE MAIN OFFICE FOR INVESTIGATORS TO MONITOR WHILE CONDUCTING OPERATIONS.</t>
  </si>
  <si>
    <t>2YTES760231040</t>
  </si>
  <si>
    <t>THE TOWN OF GREECE POLICE DEPARTMENT WILL ASSIGN THESE NIGHT VISION SETS TO MEMBERS OF THE SWAT TEAM TO ASSIST THEM DURING NIGHTTIME TACTICAL OPERATIONS. I HAVE CONTACTED THE DLA SITE AND CONFIRMED THEIR CONDITION.</t>
  </si>
  <si>
    <t>2YTES460231018</t>
  </si>
  <si>
    <t>GREECE PD (2YTES4)</t>
  </si>
  <si>
    <t xml:space="preserve">
Sales Order #: 2280998315
RTD Screening Code: DOD
Reason for Rejection: Y9</t>
  </si>
  <si>
    <t>2YTES460231017</t>
  </si>
  <si>
    <t>THIS EQUIPMENT WILL BE USED FOR LAW ENFORCEMENT PURPOSES ONLY, THE GRANITE SHOALS POLICE DEPARTMENT FEATURES A FLEET OF 25 WHEELED VEHICLES AND A PATROL BOAT. DUE TO THE MAINTENANCE REQUIREMENTS AND CONSTRAINTS, IT IS SOMETIMES NECESSARY TO CONDUCT MAINTENANCE INSIDE OF THE MAINTENANCE BAY AT OUR DEPARTMENT WHERE MAIN LINE CONTRACTED SERVICE IS UNAVAILABLE OR INEFFICIENT TO MAINTAIN OPERATIONAL CAPACITY. THESE TOOL KITS WILL ENHANCE OUR MAINTENANCE CAPABILITIES.</t>
  </si>
  <si>
    <t xml:space="preserve">
Sales Order #: 2286317837
RTD Screening Code: DOD
Reason for Rejection: Y9</t>
  </si>
  <si>
    <t>2YTERJ60937126</t>
  </si>
  <si>
    <t>THIS EQUIPMENT WILL BE USED FOR LAW ENFORCEMENT PURPOSED ONLY. THE GRANITE SHOALS POLICE DEPARTMENT CONDUCTS SEARCH AND RESCUE OPERATIONS DURING CRITICAL EVENTS. THIS INCLUDES AREAS WHICH ARE BROAD WITH MUCH AREA FEATURING UNIMPROVED SURFACES WHERE IT WOULD BE UNSAFE TO DEPLOY REGULAR PATROL VEHICLES. VEHICLES WITH OFF ROAD CAPABILITIES WILL ENHANCE THESE EFFORTS AND AID IN INVESTIGATIONS FOR THE SAME ENVIRONMENT.</t>
  </si>
  <si>
    <t xml:space="preserve">
Sales Order #: 2285179935
RTD Screening Code: DOD
Reason for Rejection: Y9</t>
  </si>
  <si>
    <t>2YTERJ60725057</t>
  </si>
  <si>
    <t xml:space="preserve">
Sales Order #: 2285179456
RTD Screening Code: DOD
Reason for Rejection: Y9</t>
  </si>
  <si>
    <t>2YTERJ60725056</t>
  </si>
  <si>
    <t xml:space="preserve">
Sales Order #: 2282783465
RTD Screening Code: DOD
Reason for Rejection: Y9</t>
  </si>
  <si>
    <t>2YTERJ60372306</t>
  </si>
  <si>
    <t>THIS EQUIPMENT WILL BE USED FOR LAW ENFORCEMENT PURPOSES ONLY. GRANITE SHOALS POLICE DEPARTMENT OPERATES AN ACTIVE LAKE PATROL UNIT DURING PEAK BOATING SEASON. WE REGULARLY CONDUCT SAR OPERATIONS AND REQUIRE AN UNINTERRUPTED ABILITY TO RESPOND TO INCIDENTS ON LAKE LBJ. THIS ENGINE WILL PROVIDE MORE POWER, CAPABILITY, AND SPEED ENSURING THAT RESPONSE IS RAPID AND EFFICIENT. OUR CURRENT ENGINE IS SHOWING AGE AND MAINTENANCE COULD SLOW OUR EFFECTIVENESS. THIS ENGINE WILL MITIGATE ISSUE.</t>
  </si>
  <si>
    <t xml:space="preserve">
Sales Order #: 2282334341
RTD Screening Code: DOD
Reason for Rejection: Y9</t>
  </si>
  <si>
    <t>2YTERJ60372008</t>
  </si>
  <si>
    <t xml:space="preserve">
Sales Order #: 2282428285
RTD Screening Code: DOD
Reason for Rejection: Y9</t>
  </si>
  <si>
    <t>2YTERJ60372002</t>
  </si>
  <si>
    <t xml:space="preserve">
Sales Order #: 2282334336
RTD Screening Code: DOD
Reason for Rejection: Y9</t>
  </si>
  <si>
    <t>2YTERJ60371994</t>
  </si>
  <si>
    <t xml:space="preserve">
Sales Order #: 2282428289
RTD Screening Code: DOD
Reason for Rejection: Y9</t>
  </si>
  <si>
    <t>2YTERJ60371989</t>
  </si>
  <si>
    <t>FOR USE BY ON DUTY SWORN OFFICERS. TO BE WORN AS PPE ON LIVE FIRE RANGE.</t>
  </si>
  <si>
    <t xml:space="preserve">
Sales Order #: 2285152405
RTD Screening Code: DOD
Reason for Rejection: Y9</t>
  </si>
  <si>
    <t>2YTEQK60655317</t>
  </si>
  <si>
    <t>FOR USE ON AGENCY PATROL RIFLES</t>
  </si>
  <si>
    <t>2YTEP160239415</t>
  </si>
  <si>
    <t>GRANBY POLICE DEPARTMENT (2YTEP1)</t>
  </si>
  <si>
    <t>MA</t>
  </si>
  <si>
    <t>2YTEP160169418</t>
  </si>
  <si>
    <t>2YTEP160169417</t>
  </si>
  <si>
    <t>GRADY COUNTY SHERIFF'S OFFICE WILL UTILIZE NIGHT VISION GOGGLES FOR SWAT OPERATIONS INCLUDING HIGH RISK WARRANT SERVICE, SEARCHES, AND SURVEILLANCE IN LOW LIGHT CONDITIONS. NIGHT VISION GOGGLES ALLOW OFFICERS TO NAVIGATE AND IDENTIFY THREATS, IMPROVING SAFETY AND EFFECTIVENESS DURING CRITICAL INCIDENTS. LEA HAS CONFIRMED SITE HAS BEEN CONTACTED AND ACCEPT CONDITION OF PROPERTY.</t>
  </si>
  <si>
    <t>2YTEPE60867524</t>
  </si>
  <si>
    <t>GRADY COUNTY SHERIFFS OFFICE (2YTEPE)</t>
  </si>
  <si>
    <t>THIS ITEM WILL ONLY BE USED BY THE GLEASON POLICE DEPARTMENT. THIS ITEM WILL BE USED TO HELP BUILD LIGHTING FOR OUR CURRENT TRAINING FACILITY AND FUTURE PROJECTS. THIS ITEM WILL ALSO BE USED DURING TIMES OF NATURAL DISASTERS. THE GLEASON POLICE HAS MADE CONTACT WITH RED RIVER AND KNOWS THE CURRENT CONDITION OF THE ITEM.</t>
  </si>
  <si>
    <t xml:space="preserve">
Sales Order #: 2284436739
RTD Screening Code: DOD
Reason for Rejection: YH</t>
  </si>
  <si>
    <t>2YTEMC60654260</t>
  </si>
  <si>
    <t>THIS ITEM WILL ONLY BE USED BY THE GLEASON POLICE DEPARTMENT. THIS ITEM WILL BE USED AT THE TRAINING FACILITY TO STORE EQUIPMENT NEEDED TO UPKEEP THE FACILITY FOR TRAINING. THIS ITEM WILL USED TO STORE EQUIPMENT THAT IS USED IN CASE OF NATURAL DISASTER AND FUTURE WINTER STORMS THAT THE POLICE DEPARTMENT USES.</t>
  </si>
  <si>
    <t>2YTEMC60583974</t>
  </si>
  <si>
    <t>THIS ITEM WILL BE ONLY USED BY THE GLEASON POLICE DEPARTMENT. THIS ITEM WILL BE USED IN TIMES OF NATURAL DISASTER. THIS ITEM WILL BE USED TO PULL A TAILER THAT WOULD BE USED FOR CLEANUP WITH NATURAL DISASTER. THIS ITEM WILL BE USED TO MOVE HEAVY EQUIPMENT THAT WOULD BE UP FOR CLEANUP OF NATURAL DISASTER.</t>
  </si>
  <si>
    <t xml:space="preserve">
Sales Order #: 2275996668
RTD Screening Code: DOD
Reason for Rejection: YH</t>
  </si>
  <si>
    <t>2YTEMC52693081</t>
  </si>
  <si>
    <t>THESE ITEMS WILL BE USED BY THE POLICE DEPARTMENT FOR INSERVICE POLICE TRAINING.</t>
  </si>
  <si>
    <t xml:space="preserve">
Sales Order #: 2285081997
RTD Screening Code: DOD
Reason for Rejection: Y9</t>
  </si>
  <si>
    <t>2YTEJX60725394</t>
  </si>
  <si>
    <t>THESE ITEMS WILL BE USED BY THE POLICE OFFICERS FOR HEARING PROTECTION AND ENHANCED RADIO COMMUNITACTION. SETS WILL BE PLACED INTO EACH PATROL VEHICLE AS PART OF THE CRISIS SUPPLIES AND ALSO INTO THE TRAINING SUPPLIES FOR USE DURING FIRARMS TRAINING</t>
  </si>
  <si>
    <t xml:space="preserve">
Sales Order #: 2283434798
RTD Screening Code: DOD
Reason for Rejection: Y9</t>
  </si>
  <si>
    <t>2YTEJX60725339</t>
  </si>
  <si>
    <t>THIS CAR WILL BE USED BY THE POLICE DEPARTMENT AS AN UNDERCOVER VEHICLE FOR INVESTIGATIVE PURPOSES AND FUNCTIONS.</t>
  </si>
  <si>
    <t xml:space="preserve">
Sales Order #: 2285176968
RTD Screening Code: DOD
Reason for Rejection: Y9</t>
  </si>
  <si>
    <t>2YTEJX60724981</t>
  </si>
  <si>
    <t>THIS GENERATOR WILL BE USED BY THE POLICE DEPARTMENT TO PROVIDE POWER TO THE POLICE STATON FOR CONTINUED OPERATION DURING EMERGENCY WHERE THE ELECTRIC SERVICE IS INTERRUPTED.</t>
  </si>
  <si>
    <t xml:space="preserve">
Sales Order #: 2285178950
RTD Screening Code: GSA
Reason for Rejection: Y9</t>
  </si>
  <si>
    <t>2YTEJX60584704</t>
  </si>
  <si>
    <t>THIS GENERATOR WILL BE USED BY THE POLICE DEPARTMENT TO PROVIDE POWER TO OUR SHOOTING RANGE CONSTRUCTION SITE FOR IMPROVING THE EFFECTIVENESS OF TRAINING ACTIVES.</t>
  </si>
  <si>
    <t xml:space="preserve">
Sales Order #: 2285188766
Reason for Rejection: Y9</t>
  </si>
  <si>
    <t>2YTEJX60574703</t>
  </si>
  <si>
    <t>THESE CHAIRS WILL BE PLACED INTO THE POLICE STATION TO REPLACE UNSERVICEABLE CHAIRS</t>
  </si>
  <si>
    <t xml:space="preserve">
Sales Order #: 2285188775
Reason for Rejection: Y9</t>
  </si>
  <si>
    <t>2YTEJX60574701</t>
  </si>
  <si>
    <t>THIS TOOL KIT WILL BE USED BY THE POLICE DEPARTMENT FOR INSTALLING, MAINTAINING AND REPAIRING FIREARMS RELATED EQUIPMENT USED BY OUR DEPARTMENT.</t>
  </si>
  <si>
    <t xml:space="preserve">
Sales Order #: 2283631623
RTD Screening Code: DOD
Reason for Rejection: Y9</t>
  </si>
  <si>
    <t>2YTEJX60442939</t>
  </si>
  <si>
    <t>2YTEJX60442902</t>
  </si>
  <si>
    <t>THESE HELMENTS WILL BE PLACED INTO PATROL CARS IN ORDER TO BE PLACED ON SUBJECTS WHO ARE ATTEMPTING TO INJURED THEMSELFS BE STRIKING THE VEHICLES INTERIOR.</t>
  </si>
  <si>
    <t xml:space="preserve">
Sales Order #: 2283314648
RTD Screening Code: DOD
Reason for Rejection: Y9</t>
  </si>
  <si>
    <t>2YTEJX60442603</t>
  </si>
  <si>
    <t>THIS TOOL KIT WILL BE USED BY THE POLICE DEPARTMENT FOR INSTALLING, MAINTAINING AND REPAIRING VARIOUS FIXTURES AND EQUIPMENT USED BY OUR DEPARTMENT.</t>
  </si>
  <si>
    <t>2YTEJX60372903</t>
  </si>
  <si>
    <t>I'D LIKE TO SUPPLY THE POLICE OFFICERS WITH THESE TO AID THEM ON LONG ACCIDENT SCENES AS WELL AS LONG OUTDOOR CRIMINAL INVESTIGATIONS IN THE EXTREME COLD</t>
  </si>
  <si>
    <t xml:space="preserve">
Sales Order #: 2282934576
RTD Screening Code: DOD
Reason for Rejection: Y9</t>
  </si>
  <si>
    <t>2YTEJC60372373</t>
  </si>
  <si>
    <t>THIS UNIT WOULD HELP IN DRONE OPS AND LOOKING FOR FUGITIVES AND FLOOD WATER VICTIMS AND OPS</t>
  </si>
  <si>
    <t>2YTEF660866489</t>
  </si>
  <si>
    <t>WE WOULD LIKE TO HAVE THIS TO IMPROVE THE GAINESBORO POLICE DRONE AND HIGH WATER SUPPORT IT WOULD BE A GREAT ADDITION THEY STATE IT HAS A F CONDITION BUT IS IN GREAT SHAPE INSIDE AND OUTSIDE</t>
  </si>
  <si>
    <t xml:space="preserve">
Sales Order #: 2285713634
RTD Screening Code: DOD
Reason for Rejection: Y9</t>
  </si>
  <si>
    <t>2YTEF660796036</t>
  </si>
  <si>
    <t>GAINESBORO POLICE NEEDS THESE TO DO SCHOOL TRAINING FOR ACTIVE SHOOTER WE HAVE THE LOWERS TO MAKE THESE WORK GAINESBORO WILL BE ON SITE THERE FRIDAY TO PICK UP OTHER EQUIPMENT</t>
  </si>
  <si>
    <t xml:space="preserve">
Sales Order #: 2283338432
RTD Screening Code: DOD
Reason for Rejection: Y9</t>
  </si>
  <si>
    <t>2YTEF660372721</t>
  </si>
  <si>
    <t>THIS PIECE OF EQUIPMENT WOULD BE USED BY GEORGIA DEPT OF PUBLIC SAFETY TO MOVE AND MAINTAIN ITEMS USED FOR LAW ENFORCEMENT OPERATIONS. 21</t>
  </si>
  <si>
    <t xml:space="preserve">
Sales Order #: 2279882053
RTD Screening Code: DOD
Reason for Rejection: YH</t>
  </si>
  <si>
    <t>2YTEEW53398550</t>
  </si>
  <si>
    <t>ITEM TO BE USED BY THE FULTON POLICE DEPARTMENT TO CONDUCT INVESTIGATIONS.</t>
  </si>
  <si>
    <t>2YTEEE60937194</t>
  </si>
  <si>
    <t>THE FULTON POLICE DEPARTMENT IS REQUESTING THIS ITEM FOR USE AS A COMMAND VEHICLE. THIS VEHICLE WOULD BE USED DURING EMERGENCY SITUATIONS OR NATURAL DISASTER. THIS VEHICLE WOULD ALLOW THE CITY OF FULTON POLICE DEPARTMENT TO PERFORM THEIR MISSION IN A MORE EFFECTIVE AND SAFE WAY.</t>
  </si>
  <si>
    <t>2YTEEE60442571</t>
  </si>
  <si>
    <t>THE FULTON POLICE DEPARTMENT WILL USE THIS EQUIPMENT FOR POLICE CALLS FOR SERVICE. THIS WILL GREATLY BENEFIT THE FULTON POLICE OFFICER SAFETY.</t>
  </si>
  <si>
    <t xml:space="preserve">
Sales Order #: 2280889245
RTD Screening Code: DOD
Reason for Rejection: YG</t>
  </si>
  <si>
    <t>2YTEEE60309789</t>
  </si>
  <si>
    <t>THE FULTON COUNTY SHERIFFS OFFICE IS REQUESTING THIS ATV SO IT CAN BE USED BY DEPUTIES FOR SEARCH AND RESCUE IN OUR RURAL COUNTY.</t>
  </si>
  <si>
    <t xml:space="preserve">
Sales Order #: 2285864869
RTD Screening Code: DOD
Reason for Rejection: Y9</t>
  </si>
  <si>
    <t>2YTEED60866131</t>
  </si>
  <si>
    <t>FULTON CTY SHERIFF DEPT (2YTEED)</t>
  </si>
  <si>
    <t xml:space="preserve">
Sales Order #: 2285864894
RTD Screening Code: DOD
Reason for Rejection: Y9</t>
  </si>
  <si>
    <t>2YTEED60866130</t>
  </si>
  <si>
    <t>THE FULTON COUNTY SHERIFFS OFFICE IS REQUESTING THIS VEHICLE SO IT CAN BE USED BY DEPUTIES ON OUR SPECIAL RESPONSE TEAM TO PROVIDE EMERGENCY SERVICES. THIS WILL FURTHER BE USED AS A MOBILE COMMAND</t>
  </si>
  <si>
    <t xml:space="preserve">
Sales Order #: 2285864855
RTD Screening Code: DOD
Reason for Rejection: Y9</t>
  </si>
  <si>
    <t>2YTEED60866118</t>
  </si>
  <si>
    <t>THE FULTON COUNTY SHERIFFS OFFICE IS REQUESTING THESE NIGHT VISION VIEWERS SO DEPUTIES CAN USE THEM FOR NIGHT OPERATIONS ON OUR SPECIAL RESPONSE TEAM. THESE WILL ALSO ASSIST IN SEARCH AND RESCUE OPERATIONS AT NIGHT.</t>
  </si>
  <si>
    <t>2YTEED60725439</t>
  </si>
  <si>
    <t>THE FULTON COUNTY SHERIFFS OFFICE IS REQUESTING THIS TRAILER SO WE CAN MOVE OUR HEAVY EQUIPMENT TO EMERGENCY CALLS.</t>
  </si>
  <si>
    <t xml:space="preserve">
Sales Order #: 2285176992
RTD Screening Code: DOD
Reason for Rejection: Y9</t>
  </si>
  <si>
    <t>2YTEED60724815</t>
  </si>
  <si>
    <t>THE FULTON COUNTY SHERIFFS OFFICE IS REQUESTING THIS TRUCK SO OUR OFFICE CAN MOVE OUR LARGE SPECIALIZED EQUIPMENT TO VARIOUS LOCATIONS. THIS WILL ALLOW SPECIAL EQUIPMENT TO BE TRANSPORTED TO EMERGENCY SCENES.</t>
  </si>
  <si>
    <t xml:space="preserve">
Sales Order #: 2280363892
RTD Screening Code: DOD
Reason for Rejection: Y9</t>
  </si>
  <si>
    <t>2YTEED60230767</t>
  </si>
  <si>
    <t>FOR USE BY OUR POLICE TACTICAL TEAM</t>
  </si>
  <si>
    <t xml:space="preserve">
Sales Order #: 2285514992
RTD Screening Code: DOD
Reason for Rejection: Y9</t>
  </si>
  <si>
    <t>2YTEC860795803</t>
  </si>
  <si>
    <t>FRIDLEY POLICE DEPT (2YTEC8)</t>
  </si>
  <si>
    <t>FOR USE BY OUR POLICE MEDICS TO AID THEIR PARTNERS AND THE CITIZENS OF OUR COMMUNITY.</t>
  </si>
  <si>
    <t xml:space="preserve">
Sales Order #: 2285514997
RTD Screening Code: DOD
Reason for Rejection: YG</t>
  </si>
  <si>
    <t>SUCTION APPARATUS,OROPHARYNGEAL,TRACHEAL</t>
  </si>
  <si>
    <t>2YTEC860725801</t>
  </si>
  <si>
    <t>FOR USE BY OUR POLICE OFFICERS TO AID THEMSELVES, THEIR PARTNERS, AND THE CITIZENS OF OUR COMMUNITY.</t>
  </si>
  <si>
    <t xml:space="preserve">
Sales Order #: 2285514996
RTD Screening Code: DOD
Reason for Rejection: YF</t>
  </si>
  <si>
    <t>2YTEC860725800</t>
  </si>
  <si>
    <t>FOR USE BY OUR POLICE TACTICAL TEAM TO CLEAR STRUCTURES AND UNSAFE AREAS PRIOR TO POLICE ENTERING.</t>
  </si>
  <si>
    <t>2YTEC860584792</t>
  </si>
  <si>
    <t>FOR USE FOR BY OUR POLICE OFFICERS TO AID THEMSELVES, AND THE CITIZENS OF THE COMMUNITY.</t>
  </si>
  <si>
    <t>2YTEC860584770</t>
  </si>
  <si>
    <t>THIS EQUIPMENT WILL BE UTILIZED FOR LAW ENFORCEMENT USE ONLY. LEOS OF THIS LEA WHILE INSTLALING POLE CAMERA IN HIGH LOCATIONS, WHILE USING POWER TOOLS AND WILL BE USED TO DO MAINTENACNE ON WEAPONS.</t>
  </si>
  <si>
    <t xml:space="preserve">
Sales Order #: 2285870142
RTD Screening Code: DOD
Reason for Rejection: Y9</t>
  </si>
  <si>
    <t>2YTECD60866363</t>
  </si>
  <si>
    <t xml:space="preserve">
Sales Order #: 2285870188
RTD Screening Code: DOD
Reason for Rejection: Y9</t>
  </si>
  <si>
    <t>2YTECD60866362</t>
  </si>
  <si>
    <t>THIS EQUIPMENT WILL BE UTILIZED FOR LAW ENFORCEMENT USE ONLY. LEOS OF THIS LEA WILL USE THE PRINTER DAILY TO PRINT REPORTS, FORMS AND PAPERWORK FOR CASES.</t>
  </si>
  <si>
    <t xml:space="preserve">
Sales Order #: 2285178943
RTD Screening Code: DOD
Reason for Rejection: Y9</t>
  </si>
  <si>
    <t>2YTECD60725197</t>
  </si>
  <si>
    <t>THIS EQUIPMENT WILL BE UTILIZED FOR LAW ENFORCEMENT USE ONLY. LEA WILL USE THE TRAFFIC AND TRANSIT SIGNAL SYSTEM TO BE PLACED WITHIN THE JURISDICTION FOR SPEEDING COMPLAINTS AND ENFORCEMENT MOTOR VEHICLE LAW.</t>
  </si>
  <si>
    <t xml:space="preserve">
Sales Order #: 2285179961
RTD Screening Code: DOD
Reason for Rejection: Y9</t>
  </si>
  <si>
    <t>2YTECD60725154</t>
  </si>
  <si>
    <t xml:space="preserve">
Sales Order #: 2285179953
RTD Screening Code: DOD
Reason for Rejection: Y9</t>
  </si>
  <si>
    <t>2YTECD60725061</t>
  </si>
  <si>
    <t xml:space="preserve">
Sales Order #: 2285180190
RTD Screening Code: DOD
Reason for Rejection: Y9</t>
  </si>
  <si>
    <t>2YTECD60655165</t>
  </si>
  <si>
    <t>2YTECD60654533</t>
  </si>
  <si>
    <t>THIS EQUIPMENT WILL BE UTILIZED FOR LAW ENFORCEMENT USE ONLY. LEOS OF THIS LEA WILL USE DURING TRAINING, CASE WORK WHILE ON THE ROAD, INVESTIGATIONS AND DAY TO DAY OPERATIONS WHILE AWAY FROM THE OFFICE.</t>
  </si>
  <si>
    <t>2YTECD60654483</t>
  </si>
  <si>
    <t>THIS EQUIPMENT WILL BE UTILIZED FOR LAW ENFORCEMENT USE ONLY. LEOS OF THIS LEA WHILE INSTLALING POLE CAMERA IN HIGH LOCATIONS TO CONFIRM THE PLACEMENT OF CAMERA AND WHILE INVESTIGATING CASES IN THE FIELD, MORE SPECFICALLY TO REVIEW VIDEO SURVEILLANCE FOR ACTIVE CASES.</t>
  </si>
  <si>
    <t>DISPLAY UNIT,TELEVI</t>
  </si>
  <si>
    <t>2YTECD60514136</t>
  </si>
  <si>
    <t xml:space="preserve">
Sales Order #: 2283623332
RTD Screening Code: DOD
Reason for Rejection: Y9</t>
  </si>
  <si>
    <t>2YTECD60442945</t>
  </si>
  <si>
    <t>FREDERICK COUNTY SHERIFF'S OFFICE A LESO AGENCY WITH A DIVE TEAM THAT CAN USE THESE DRY BAGS TO SECURE EQUIPMENT IN ON THE AGENCY'S BOAT AND DIVE RESPONSE VEHICLES TO PROTECT EQUIPMENT FROM EXPOSURE TO WATER ENROUTE OR DURING CALLS FOR SERVICE.</t>
  </si>
  <si>
    <t xml:space="preserve">
Sales Order #: 2285569525
RTD Screening Code: DOD
Reason for Rejection: Y9</t>
  </si>
  <si>
    <t>MARINE LIFESAVING AND DIVING EQUIPMENT</t>
  </si>
  <si>
    <t>DSMARLIFD</t>
  </si>
  <si>
    <t>2YTEBY60795931</t>
  </si>
  <si>
    <t>FREDERICK COUNTY SHERIFF'S OFFICE (2YTEBY)</t>
  </si>
  <si>
    <t>FREDERICK COUNTY SHERIFF'S OFFICE A LESO AGENCY THAT CAN USE THESE ITEMS WITH ITS AGENCY'S SELF CONTAINED BREATHING APPARATUS USED FOR CONFINED SPACE ENTRY FOR CALLS FOR SERVICE BY OFFICERS ON THE DIVE TEAM TRAINED AND CERTIFIED FOR CONFINED SPACE ENTRY.</t>
  </si>
  <si>
    <t xml:space="preserve">
Sales Order #: 2285026283
RTD Screening Code: DOD
Reason for Rejection: Y9</t>
  </si>
  <si>
    <t>2YTEBY60795710</t>
  </si>
  <si>
    <t>FREDERICK COUNTY SHERIFF'S OFFICE A LESO AGENCY THAT CAN USE THESE SCBA FACE PIECES WITH IS CURRENT AIR PACKS TO BE ISSUED TO OFFICERS TRAINED  FOR USE WHEN DOING CONFINED SPACE RESCUE AND ALSO CRIMES SCENE PROCESSING WHEN CONTAMINATES IN THE AIR THAT WILL HARM THE OFFICER.</t>
  </si>
  <si>
    <t xml:space="preserve">
Sales Order #: 2285026288
RTD Screening Code: DOD
Reason for Rejection: Y9</t>
  </si>
  <si>
    <t>2YTEBY60725525</t>
  </si>
  <si>
    <t>THE CITY OF FRANKLIN COVERS 8.5 SQUARE MILES WITH A POPULATION OF 8,300 CITIZENS. THE FRANKLIN POLICE DEPARTMENT HAS 29 SWORN MEMBERS AND THE PRIMARY LAW ENFORCEMENT AGENCY IN THE CITY. THE VEHICLE WILL BE CONVERTED INTO A PATROL VEHICLE, WE ARE EXPERIENCING A SHORTAGE OF VEHICLES DUE TO ACCIDENTS AND MAINTENANCE DELAYS.</t>
  </si>
  <si>
    <t xml:space="preserve">
Sales Order #: 2285870195
RTD Screening Code: DOD
Reason for Rejection: Y9</t>
  </si>
  <si>
    <t>2YTEBB60866407</t>
  </si>
  <si>
    <t>THE CITY OF FRANKLIN COVERS 8.5 SQUARE MILES WITH A POPULATION OF 8,300 CITIZENS. THE FRANKLIN POLICE DEPARTMENT HAS 29 SWORN MEMBERS AND THE PRIMARY LAW ENFORCEMENT AGENCY IN THE CITY. THE ILLUMINATORS WILL BE UTILIZED BY THE SWAT TEAM FOR TWO PURPOSES, THE LASER IS USED TO COMMUNICATE COVERTLY AND TO SAFELY FIRE IN LOW LIGHT SITUATIONS.</t>
  </si>
  <si>
    <t>2YTEBB60866264</t>
  </si>
  <si>
    <t>THE CITY OF FRANKLIN COVERS 8.5 SQUARE MILES WITH A POPULATION OF 8,300 CITIZENS. THE FRANKLIN POLICE DEPARTMENT HAS 29 SWORN MEMBERS AND THE PRIMARY LAW ENFORCEMENT AGENCY IN THE CITY. THE VEHICLE WILL BE UTILIZED FOR UNDERCOVER NARCOTICS CASES AND SURVEILLANCE OPERATIONS.</t>
  </si>
  <si>
    <t xml:space="preserve">
Sales Order #: 2285761797
RTD Screening Code: DOD
Reason for Rejection: Y9</t>
  </si>
  <si>
    <t>2YTEBB60866263</t>
  </si>
  <si>
    <t>THE CITY OF FRANKLIN COVERS 8.5 SQUARE MILES WITH A POPULATION OF 8,300 CITIZENS. THE FRANKLIN POLICE DEPARTMENT HAS 29 SWORN MEMBERS AND THE PRIMARY LAW ENFORCEMENT AGENCY IN THE CITY. THE COMMERCIAL VAN WILL BE USED BY THE SWAT TEAM AS THE VEHICLE THE TEAM WILL DEPLOY FROM. CURRENTLY THE POLICE DEPARTMENT DOES NOT HAVE A VEHICLE THAT CAN HOLD ALL THE TEAM MEMBERS AND THEIR EQUIPMENT.</t>
  </si>
  <si>
    <t>2YTEBB60584797</t>
  </si>
  <si>
    <t>THE CITY OF FRANKLIN COVERS 8.5 SQUARE MILES WITH A POPULATION OF 8,300 CITIZENS. THE FRANKLIN POLICE DEPARTMENT HAS 29 SWORN MEMBERS AND THE PRIMARY LAW ENFORCEMENT AGENCY IN THE CITY. THE POLICE DEPARTMENT WILL US THE ALL-TERRAIN VEHICLE FOR SEARCH AND RESCUE OPERATIONS IN THE WOODED AREAS AND AREAS THAT ARE NOT ACCESSIBLE BY ROADS. THERE ARE NUMEROUS TRAILS THROUGH THE WOODS THAT CITIZENS RIDE DIRTBIKES AND FOUR WHEELERS.</t>
  </si>
  <si>
    <t>2YTEBB60513249</t>
  </si>
  <si>
    <t>THE CITY OF FRANKLIN COVERS 8.5 SQUARE MILES WITH A POPULATION OF 8,300 CITIZENS. THE FRANKLIN POLICE DEPARTMENT HAS 29 SWORN MEMBERS AND THE PRIMARY LAW ENFORCEMENT AGENCY IN THE CITY. THE VAN WILL BE USED AS AN UNDERCOVER VEHICLE FOR SURVEILLANCE OPERATIONS AND NARCOTICS INVESTIGATIONS.</t>
  </si>
  <si>
    <t xml:space="preserve">
Sales Order #: 2283007673
RTD Screening Code: DOD
Reason for Rejection: Y9</t>
  </si>
  <si>
    <t>VAN</t>
  </si>
  <si>
    <t>DSVAN0000</t>
  </si>
  <si>
    <t>2YTEBB60372436</t>
  </si>
  <si>
    <t xml:space="preserve">TO BE USED BY THIS LEA ONLY. TO BE USED BY THE LEOS OF THIS LEA TO PATROL AND RESPOND TO CALLS IN THE WOODED AREA OF OUR JURISDICTION.
</t>
  </si>
  <si>
    <t xml:space="preserve">
Sales Order #: 2285864845
RTD Screening Code: DOD
Reason for Rejection: Y9</t>
  </si>
  <si>
    <t>2YTQPZ60866588</t>
  </si>
  <si>
    <t>FRANKLIN LAKES POLICE DEPT (2YTQPZ)</t>
  </si>
  <si>
    <t>TO BE USED BY THIS LEA ONLY. THESE LIGHT TOWERS WILL BE USED BY THE LEOS OF THIS LEA DURING EMERGENCIES WHERE ADDITIONAL LIGHTING OF A SCENE IS NEEDED. THEY WILL ALSO BE USED DURING SPECIAL EVENTS FOR THE SAFETY OF THE PUBLIC.</t>
  </si>
  <si>
    <t xml:space="preserve">
Sales Order #: 2285864915
RTD Screening Code: DOD
Reason for Rejection: Y9</t>
  </si>
  <si>
    <t>2YTQPZ60866585</t>
  </si>
  <si>
    <t>FOR USE BY THIS LAW ENFORCEMENT AGENCY ONLY FOR OFF ROAD RESCUE CAPABILITIES WITHIN OUR WOODED AREA OF OUR JURISDICTION</t>
  </si>
  <si>
    <t xml:space="preserve">
Sales Order #: 2285864874
RTD Screening Code: DOD
Reason for Rejection: Y9</t>
  </si>
  <si>
    <t>2YTQPZ60866285</t>
  </si>
  <si>
    <t>FOR USE BY THIS LAW ENFORCEMENT AGENCY ONLY FOR RIFLE APPLICATION FOR DEPARTMENT MEMBER ON REGIONAL SWAT TEAM</t>
  </si>
  <si>
    <t>2YTQPZ60866278</t>
  </si>
  <si>
    <t>ITEM WILL BE USED BY THE FORSYTH CO. SHERIFF'S OFFICE FOR LAW ENFORCEMENT PURPOSES ONLY. ITEMS WILL BE USED BY OFFICERS IN THE FIELD TO AID IN BLEEDING CONTROL WHEN RESPONDING TO TRAUMATIC EVENTS.</t>
  </si>
  <si>
    <t xml:space="preserve">
Sales Order #: 2280608497
RTD Screening Code: DOD
Reason for Rejection: Y9</t>
  </si>
  <si>
    <t>2YTD7D60020338</t>
  </si>
  <si>
    <t>THE FORRESTON POLICE DEPARTMENT CAN UTILIZE THE LAPTOP COMPUTER TO COMPLETE DAILY ACTIVITIES, SUCH AS REPORT WRITING, ACCIDENT REPORTS ECT.</t>
  </si>
  <si>
    <t xml:space="preserve">
Sales Order #: 2284558937
RTD Screening Code: DOD
Reason for Rejection: Y9</t>
  </si>
  <si>
    <t>2YTRT660654584</t>
  </si>
  <si>
    <t>THE FORRESTON POLICE DEPARTMENT COULD UTILIZE THIS DO TO OUR RURAL COMMUNITY AND OUR RESPONSE TIME COMPARED TO EMS</t>
  </si>
  <si>
    <t xml:space="preserve">
Sales Order #: 2281230571
RTD Screening Code: DOD
Reason for Rejection: Y9</t>
  </si>
  <si>
    <t>2YTRT660090572</t>
  </si>
  <si>
    <t>FORRESTON POLICE DEPARTMENT CAN UTILIZE THIS ITEM FOR THE USE ON THEIR DUTY PISTOLS.</t>
  </si>
  <si>
    <t xml:space="preserve">
Sales Order #: 2265085270
Reason for Rejection: Y9</t>
  </si>
  <si>
    <t>2YTRT660020272</t>
  </si>
  <si>
    <t>THE FORRESTON POLICE DEPARTMENT COULD UTILIZE THIS OPTIC ON THEIR PATROL RIFLES</t>
  </si>
  <si>
    <t xml:space="preserve">
Sales Order #: 2265085268
RTD Screening Code: DOD
Reason for Rejection: YG</t>
  </si>
  <si>
    <t>2YTRT660020219</t>
  </si>
  <si>
    <t>THE FORRESTON POLICE DEPARTMENT COULD UTILIZE THIS OPTIC ON THEIR DUTY PISTOL</t>
  </si>
  <si>
    <t xml:space="preserve">
Sales Order #: 2265085269
Reason for Rejection: Y9</t>
  </si>
  <si>
    <t>2YTRT660020218</t>
  </si>
  <si>
    <t>THE FLINT TOWNSHIP POLICE DEPARTMENT IS REQUESTING REFLEX SIGHTS FOR OUR PATROL RIFLES.  WE PATROL A LARGE AREA THAT HAS MULTIPLE SCHOOLS, BUSINESSES, AND A SHOPPING DISTRICT.  WE ARE REQUESTING THESE ITEMS SO WE CAN BE BETTER EQUIPPED TO RESPOND TO AN ACTIVE SHOOTER INCIDENT.</t>
  </si>
  <si>
    <t>2YTD4K60302302</t>
  </si>
  <si>
    <t>FLINT TOWNSHIP POLICE DEPT (2YTD4K)</t>
  </si>
  <si>
    <t>DEPARTMENT IS IN NEED OF RIFLE OPTICS BECAUSE OUR OLD ONES NO LONGER FUNCTIONED PROPERLY</t>
  </si>
  <si>
    <t xml:space="preserve">
Sales Order #: 2280610864
RTD Screening Code: DOD
Reason for Rejection: Y9</t>
  </si>
  <si>
    <t>2YTD4K60239336</t>
  </si>
  <si>
    <t>USED BY LAW ENFORCEMENT DURING EMERGENCY SITUATIONS OR INVESTIGATIONS WHERE LIGHT IS NEEDED AND UNAVAILABLE.  ALSO USED DURING SPECIAL FUNCTIONS TO ILLUMINATE ROADWAYS FOR OFFICER AND PEDESTRIAN SAFETY</t>
  </si>
  <si>
    <t xml:space="preserve">
Sales Order #: 2282174043
RTD Screening Code: DOD
Reason for Rejection: Y9</t>
  </si>
  <si>
    <t>FLOODLIGHT ASSEMBLY</t>
  </si>
  <si>
    <t>2YTD1X60372029</t>
  </si>
  <si>
    <t>FENWICK ISLAND POLICE DEPT (2YTD1X)</t>
  </si>
  <si>
    <t>DE</t>
  </si>
  <si>
    <t xml:space="preserve">
Sales Order #: 2282174044
RTD Screening Code: DOD
Reason for Rejection: Y9</t>
  </si>
  <si>
    <t>FLOODLIGHT SET,ELECTRIC</t>
  </si>
  <si>
    <t>2YTD1X60372028</t>
  </si>
  <si>
    <t>THE FAYETTEVILLE POLICE DEPARTMENT REQUESTS THIS EQUIPMENT FOR VARIOUS FUNCTIONS. IT WILL ASSIST IN CONSTRUCTING OUR FIRING RANGE AND CLEARING SNOW FROM POLICE PROPERTY TO ENSURE SAFE INGRESS AND EGRESS. THIS EQUIPMENT IS ESSENTIAL FOR MAINTAINING OPERATIONS AND SAFETY ON OUR GROUNDS, IMPROVING ACCESSIBILITY FOR OFFICERS AND THE PUBLIC. PROPER SNOW REMOVAL WILL ENHANCE OPERATIONAL EFFICIENCY AND CONTRIBUTE TO A SECURE ENVIRONMENT FOR LAW ENFORCEMENT ACTIVITIES AND COMMUNITY INTERACTIONS.</t>
  </si>
  <si>
    <t xml:space="preserve">
Sales Order #: 2282428256
RTD Screening Code: DOD
Reason for Rejection: Y9</t>
  </si>
  <si>
    <t>2YTD1D60372013</t>
  </si>
  <si>
    <t>FAYETTEVILLE POLICE DEPARTMENT (2YTD1D)</t>
  </si>
  <si>
    <t>THE FAYETTEVILLE POLICE DEPARTMENT REQUESTS THIS EQUIPMENT TO PROVIDE TO OUR OFFICERS. THIS WILL ALLOW OUR OFFICERS TO SAFELY APPREHEND SUBJECTS AND PROTECT THE COMMUNITY AND RESIDENTS THAT WE SERVE.</t>
  </si>
  <si>
    <t xml:space="preserve">
Sales Order #: 2282088110
RTD Screening Code: DOD
Reason for Rejection: Y9</t>
  </si>
  <si>
    <t>2YTD1D60301558</t>
  </si>
  <si>
    <t>THE FAYETTEVILLE POLICE DEPARTMENT REQUESTS THIS EQUIPMENT TO USE FOR PATROL OPERATIONS. THIS EQUIPMENT WILL PROVIDE US WITH A TOOL TO UTILIZE IN UNDERCOVER OPERATIONS THAT KEEP OUR COMMUNITY SAFE.</t>
  </si>
  <si>
    <t xml:space="preserve">
Sales Order #: 2279602753
RTD Screening Code: DOD
Reason for Rejection: Y9</t>
  </si>
  <si>
    <t>2YTD1D60301402</t>
  </si>
  <si>
    <t xml:space="preserve">
Sales Order #: 2281602908
RTD Screening Code: DOD
Reason for Rejection: Y9</t>
  </si>
  <si>
    <t>2YTD1D60301401</t>
  </si>
  <si>
    <t xml:space="preserve">
Sales Order #: 2282088112
RTD Screening Code: DOD
Reason for Rejection: Y9</t>
  </si>
  <si>
    <t>2YTD1D60301399</t>
  </si>
  <si>
    <t>THE FAYETTEVILLE POLICE DEPARTMENT REQUESTS THIS PROPERTY TO UTILIZE AS A TRANSPORTATION VEHICLE FOR ICE DETAINEES. THE FAYETTEVILLE POLICE DEPARTMENT HAS BECOME A TASK FORCE AGENCY FOR ICE</t>
  </si>
  <si>
    <t xml:space="preserve">
Sales Order #: 2267430801
RTD Screening Code: DOD
Reason for Rejection: Y9</t>
  </si>
  <si>
    <t>2YTD1D60160533</t>
  </si>
  <si>
    <t>THE FAYETTEVILLE POLICE DEPARTMENT REQUESTS THIS EQUIPMENT TO UTILIZE FOR SEARCH AND RESCUE. THIS EQUIPMENT WILL ALSO AID IN TRACKING AND APPREHENDING SUSPECT IN HARD TO REACH AREAS OF OUR JURISDICTION.</t>
  </si>
  <si>
    <t xml:space="preserve">
Sales Order #: 2280619876
RTD Screening Code: DOD
Reason for Rejection: Y9</t>
  </si>
  <si>
    <t>2YTD1D60090023</t>
  </si>
  <si>
    <t>THE FAYETTEVILLE POLICE DEPARTMENT REQUESTS THIS EQUIPMENT TO UTILIZE FOR SEARCH AND RESCUE AND APPREHENSION. HAVING JURISDICTION IN A RURAL AREA, THIS EQUIPMENT WILL AID OUR OFFICERS IN REACHING LOCATIONS TOO DIFFICULT FOR TRADITIONAL VEHICLES.</t>
  </si>
  <si>
    <t xml:space="preserve">
Sales Order #: 2279647103
RTD Screening Code: DOD
Reason for Rejection: YG</t>
  </si>
  <si>
    <t>2YTD1D60029699</t>
  </si>
  <si>
    <t xml:space="preserve">
Sales Order #: 2280894209
RTD Screening Code: DOD
Reason for Rejection: Y9</t>
  </si>
  <si>
    <t>2YTD1D60029698</t>
  </si>
  <si>
    <t xml:space="preserve">THE FAYETTEVILLE POLICE DEPARTMENT REQUESTS THIS EQUIPMENT TO UTILIZE IN LOADING AND UNLOADING OF EQUIPMENT OBTAINED THROUGH THE LESO PROGRAM
</t>
  </si>
  <si>
    <t xml:space="preserve">
Sales Order #: 2279779808
RTD Screening Code: RTD2
Reason for Rejection: YG</t>
  </si>
  <si>
    <t>2YTD1D53539527</t>
  </si>
  <si>
    <t>RESPECTFULLY REQUEST 7 WEAPON LASERS FOR EXCLUSIVE USE OF THE FALLS COUNTY SHERIFF'S OFFICE IN THE PERFORMANCE OF LAW ENFORCEMENT DUTIES.  EQUIPMENT WILL BE USED ON COUNTY ISSUED RIFLES.</t>
  </si>
  <si>
    <t xml:space="preserve">
Sales Order #: 2283363751
RTD Screening Code: DOD
Reason for Rejection: Y9</t>
  </si>
  <si>
    <t>2YTDYY60513363</t>
  </si>
  <si>
    <t>RESPECTFULLY REQUEST 4 WEAPON LASER DEVICES FOR USE BY THE FALLS COUNTY SHERIFF'S OFFICE IN THE PERFORMANCE OF LAW ENFORCEMENT DUTIES.  THESE WILL BE FOR USE WITH COUNTY ISSUED WEAPONS.</t>
  </si>
  <si>
    <t xml:space="preserve">
Sales Order #: 2283353884
RTD Screening Code: DOD
Reason for Rejection: Y9</t>
  </si>
  <si>
    <t>2YTDYY60513282</t>
  </si>
  <si>
    <t>RESPECTFULLY REQUEST 7 WEAPON LASER FOR USE BY THE FALLS COUNTY SHERIFF'S OFFICE FOR COUNTY ISSUED WEAPONS IN THE PERFORMANCE OF OFFICIAL DUTIES.</t>
  </si>
  <si>
    <t>2YTDYY60513281</t>
  </si>
  <si>
    <t>THE FAIRVIEW POLICE DEPARTMENT JUSTIFICATION AND USE FOR THIS POWER PLANT GENERATOR IS FOR A BACKUP POWER SOURCE FOR OUR POLICE DEPARTMENT BUILDING. AT THIS TIME WE HAVE NO SECONDARY POWER SOURCE FOR OUR BUILDING.</t>
  </si>
  <si>
    <t xml:space="preserve">
Sales Order #: 2285369367
RTD Screening Code: GSA
Reason for Rejection: Y9</t>
  </si>
  <si>
    <t>2YTDYH60795850</t>
  </si>
  <si>
    <t>THE FAIRFIELD POLICE DEPARTMENT IS A LAW ENFORCEMENT AGENCY. THIS ITEM WILL BE USED FOR LAW ENFORCEMENT PURPOSES ONLY.
OUR AGENCY WILL UTILIZE THIS EQUIPMENT TO TRAIN IN REAL LIFE SCENARIO BASED TRAINING. FURTHER, OUR AGENCY WILL ALSO HOST TRAINING WITH LOCAL AGENCIES SUCH AS THE SCHOOL DISTRICT POLICE AND LOCAL SHERIFF'S OFFICE.</t>
  </si>
  <si>
    <t>BATTLE FORCE TACTICAL TRAINING SYSTEM</t>
  </si>
  <si>
    <t>2YTTBM60937486</t>
  </si>
  <si>
    <t>FAIRFIELD PD (2YTTBM)</t>
  </si>
  <si>
    <t>THE FAIRFIELD POLICE DEPARTMENT IS A LAW ENFORCEMENT AGENCY AND THIS ITEM WILL BE USED FOR LAW ENFORCEMENT PURPOSES ONLY.
THE ITEM LISTED WILL BE USED TO TRANSPORT OFFICERS DURING CITY EVENTS HELD IN LARGE AREAS THAT REQUIRE A SUBSTANTIAL CIRCUMFERENCE OF COVERAGE.</t>
  </si>
  <si>
    <t xml:space="preserve">
Sales Order #: 2286618444
RTD Screening Code: DOD
Reason for Rejection: Y9</t>
  </si>
  <si>
    <t>2YTTBM60867409</t>
  </si>
  <si>
    <t>THE FAIRFIELD POLICE DEPARTMENT IS A LAW ENFORCEMENT AGENCY AND THIS ITEM WILL BE USED FOR LAW ENFORCEMENT PURPOSES ONLY.
THIS ITEM WILL ALLOW OUR AGENCY TO STORE AND SECURE EQUIPMENT, PROTECTING THE EQUIPMENT FROM THE ELEMENTS. OUR AGENCY WILL ALSO FACILITATE THIS ITEM WHEN LEARNING TO FIRE FROM COVER, AND CLEAR CORNERS.</t>
  </si>
  <si>
    <t>2YTTBM60796891</t>
  </si>
  <si>
    <t>FOR USE BY FCSO OFFICERS AS TRAINING AND STORAGE AT OUR ACADEMY FACILITY</t>
  </si>
  <si>
    <t xml:space="preserve">
Sales Order #: 2285423623
RTD Screening Code: DOD
Reason for Rejection: Y9</t>
  </si>
  <si>
    <t>2YTDXH60795739</t>
  </si>
  <si>
    <t>FOR USE BY FCSO SWAT AND PATROL OFFICERS IN RETROFITTING HELMETS FOR NIGHT VISION PUBLIC SAFETY OPRATIONS</t>
  </si>
  <si>
    <t xml:space="preserve">
Sales Order #: 2283314632
RTD Screening Code: DOD
Reason for Rejection: Y9</t>
  </si>
  <si>
    <t>2YTDXH60442681</t>
  </si>
  <si>
    <t>FOR USE BY FCSO SWAT AND RANGE OFFICERS AS REPLACEMENT SAFETY GLASSES FOR RANGE AND  HOSTAGE RESCUE OPERATIONS</t>
  </si>
  <si>
    <t xml:space="preserve">
Sales Order #: 2279033184
RTD Screening Code: DOD
Reason for Rejection: Y9</t>
  </si>
  <si>
    <t>2YTDXH60372181</t>
  </si>
  <si>
    <t>FOR USE BY FCSO SWAT OFFICERS IN STORING EQUIPMENT USED IN HOSTAGE RESCUE OPERATIONS</t>
  </si>
  <si>
    <t xml:space="preserve">
Sales Order #: 2282169844
RTD Screening Code: GSA
Reason for Rejection: YG</t>
  </si>
  <si>
    <t>2YTDXH60302361</t>
  </si>
  <si>
    <t xml:space="preserve">
Sales Order #: 2281369623
RTD Screening Code: RTD2
Reason for Rejection: Y9</t>
  </si>
  <si>
    <t>2YTDXH60302179</t>
  </si>
  <si>
    <t>FOR USE BY FCSO DIVE RESCUE UNIT AS A MOBLE EQUIPMENT AND COMMAND TRAILER FOR DIVE RESCUE OPERATIONS</t>
  </si>
  <si>
    <t>2YTDXH60161258</t>
  </si>
  <si>
    <t>THE FAIR BLUFF POLICE DEPARTMENT REQUESTS THE ACQUISITION OF BALLISTIC HELMETS TO SUPPORT DAILY NARCOTICS ENFORCEMENT AND HIGH-RISK OPERATIONS. CURRENT LIMITATIONS IN HEAD PROTECTION INCREASE OFFICER INJURY RISK DURING WARRANT SERVICE, ARRESTS, AND ARMED ENCOUNTERS. BALLISTIC HELMETS WILL IMPROVE OFFICER SURVIVABILITY, OPERATIONAL READINESS, AND MISSION SUCCESS. THANK YOU FOR YOUR SUPPORT.</t>
  </si>
  <si>
    <t>HELMET,GROUND TROOP</t>
  </si>
  <si>
    <t>2YT07760584114</t>
  </si>
  <si>
    <t>THE FAIR BLUFF POLICE DEPARTMENT IS IN NEED OF WEAPON MOUNTED PEQ ILLUMINATORS FOR URBAN AND WOODLAND OPERATIONS RELATED TO NARCOTICS, POTENTIAL TERRORISM, AND OTHER CRIMINAL ACTIVITIES. THESE DEVICES COULD ASSIST IN THE PRESERVATION OF LIFE.</t>
  </si>
  <si>
    <t xml:space="preserve">
Sales Order #: 2281766805
RTD Screening Code: DOD
Reason for Rejection: Y9</t>
  </si>
  <si>
    <t>2YT07760231105</t>
  </si>
  <si>
    <t>THE FAIR BLUFF POLICE DEPARTMENT IS IN NEED OF HELMET MOUNTED NIGHT VISION GOGGLES FOR URBAN AND WOODLAND OPERATIONS RELATED TO NARCOTICS, POTENTIAL TERRORISM, AND OTHER CRIMINAL ACTIVITIES. THESE DEVICES COULD ASSIST IN THE PRESERVATION OF LIFE.</t>
  </si>
  <si>
    <t xml:space="preserve">
Sales Order #: 2281759757
RTD Screening Code: DOD
Reason for Rejection: YH</t>
  </si>
  <si>
    <t>LENS ASSEMBLY,FOCUS</t>
  </si>
  <si>
    <t>2YT07760161107</t>
  </si>
  <si>
    <t>THE ERWIN POLICE DEPARTMENT NEEDS THIS EQUIPMENT FOR USE DURING WATER RESCUES AND RECOVERIES. WE HAVE JURISDICTION THAT INCLUDES SEVERAL SMALL RIVERS AND ALSO CAPE FEAR RIVER WHERE WE HAVE HAD SEVERAL PEOPLE DROWN OR GET STRANDED. WE ALSO HAVE SEVERAL PONDS IN OUR JURISDICTION. THANK YOU FOR YOUR CONSIDERATION!</t>
  </si>
  <si>
    <t xml:space="preserve">
Sales Order #: 2283352676
RTD Screening Code: DOD
Reason for Rejection: Y9</t>
  </si>
  <si>
    <t>BOAT,INFLATABLE MAT</t>
  </si>
  <si>
    <t>2YTDUF60443215</t>
  </si>
  <si>
    <t>ERWIN PD (2YTDUF)</t>
  </si>
  <si>
    <t>ITEM WILL BE USED BY THE ERATH COUNTY SHERIFF OFFICE FOR LAW ENFORCEMENT USE ONLY. ITEM WILL BE USED TO COMBAT DRUG TRAFFICKING IN AND AROUND OUR COUNTY. THE LAST VEHICLE WE GOT OVER A YEAR AGO HAS BEEN USED TO MANY TIMES AND NOT HELPFUL. OUR NARCOTICS DIVISION WILL USE ITEM FOR UNDERCOVER BUYS, STAKE OUTS, AND OBSERVATION. IT WILL BE USED BY OUR OFFICE TO AIDE IN SURROUNDING COUNTIES THAT WE HELP TO FIGHT AGAINST DRUG TRAFFICKING.</t>
  </si>
  <si>
    <t xml:space="preserve">
Sales Order #: 2282049450
RTD Screening Code: DOD
Reason for Rejection: Y9</t>
  </si>
  <si>
    <t>2YTDTW60301621</t>
  </si>
  <si>
    <t>WE HAVE A SIMUNITION BUILDING UNDER CONSTRUCTION FOR MY AGENCY THAT WILL BENEFIT OUR LOCAL AND STATE PARTNERS. WE ARE IN NEED OF SIMUNITION AND EQUIPMENT AS WE DO NOT HAVE ANY FOR THE AGENCY THAT IS COMPRISED OF 90 OFFICERS AND HAS ITS OWN SWAT TEAM.</t>
  </si>
  <si>
    <t xml:space="preserve">
Sales Order #: 2285177815
RTD Screening Code: DOD
Reason for Rejection: Y9</t>
  </si>
  <si>
    <t>2YTDSG60725344</t>
  </si>
  <si>
    <t>ELYRIA PD (2YTDSG)</t>
  </si>
  <si>
    <t>THE CITY OF ELYRIA, POLICE DEPARTMENT WOULD LIKE TO UTILIZE THIS VEHICLE AS A MOBILE COMMAND. THIS VEHICLE WILL BE CONTROLLED BY THE POLICE DEPARTMENT AND UTILIZED FOR MOBILE COMMAND, SWAT COMMAND, UNMANNED AVIATION COMMAND AS WELL AS FOR THE CRIME SCENE UNIT. THE CITY IS APPROXIMATELY 55,000 RESIDENTS WITH A DEPARTMENT OF APPROXIMATELY 90 SWORN OFFICERS. WE DO NOT HAVE A COMMAND TYPE VEHICLE IN OUR FLEET.</t>
  </si>
  <si>
    <t xml:space="preserve">
Sales Order #: 2279151405
RTD Screening Code: RTD2
Reason for Rejection: YH</t>
  </si>
  <si>
    <t>2YTDSG53257722</t>
  </si>
  <si>
    <t>THE COMMUNITY SERVICES AND TRAINING UNIT WILL USE THIS VEHICLE FOR SPECIAL EVENTS, COMMUNITY OUTREACH, AND TRAININGS WERE A FULL SIZED VEHICLE CAN NOT BE USED. OUR CITY HAS OVER 50 PUBLIC EVENTS EACH YEAR</t>
  </si>
  <si>
    <t xml:space="preserve">
Sales Order #: 2285178973
RTD Screening Code: DOD
Reason for Rejection: Y9</t>
  </si>
  <si>
    <t>2YTDP060725102</t>
  </si>
  <si>
    <t>ELGIN PD (2YTDP0)</t>
  </si>
  <si>
    <t xml:space="preserve">
Sales Order #: 2285179849
RTD Screening Code: DOD
Reason for Rejection: Y9</t>
  </si>
  <si>
    <t>2YTDP060725101</t>
  </si>
  <si>
    <t>THE EDGEWATER POLICE DEPARTMENT WILL USE DLA-PROVIDED SHIPPING CONTAINERS TO SUPPORT STORAGE NEEDS AND DEVELOP A SNIPER TRAINING RANGE AT OUR TRAINING FACILITY. THIS ENHANCES READINESS AND PRECISION CAPABILITIES, STRENGTHENING OUR RESPONSE TO HIGH-PROFILE INCIDENTS, INCLUDING POTENTIAL DOMESTIC TERRORISM THREATS.</t>
  </si>
  <si>
    <t xml:space="preserve">
Sales Order #: 2286288953
RTD Screening Code: DOD
Reason for Rejection: Y9</t>
  </si>
  <si>
    <t>2YTDND60847147</t>
  </si>
  <si>
    <t>EDGEWATER PD (2YTDND)</t>
  </si>
  <si>
    <t xml:space="preserve">
Sales Order #: 2286317849
RTD Screening Code: DOD
Reason for Rejection: Y9</t>
  </si>
  <si>
    <t>2YTDND60847146</t>
  </si>
  <si>
    <t xml:space="preserve">
Sales Order #: 2286288947
RTD Screening Code: DOD
Reason for Rejection: Y9</t>
  </si>
  <si>
    <t>2YTDND60847145</t>
  </si>
  <si>
    <t xml:space="preserve">
Sales Order #: 2286317841
RTD Screening Code: DOD
Reason for Rejection: Y9</t>
  </si>
  <si>
    <t>2YTDND60847144</t>
  </si>
  <si>
    <t>THE EDGECOMBE COUNTY SHERIFFS OFFICE NEEDS THESE MACHINES FOR CLEANING FACILITIES USED FOR TRAINING FOR SEARCH AND RESCUE AND COUNTER DRUG OPERATIONS.</t>
  </si>
  <si>
    <t xml:space="preserve">
Sales Order #: 2281548496
RTD Screening Code: DOD
Reason for Rejection: Y9</t>
  </si>
  <si>
    <t>SCRUBBING MACHINE,FLOOR,ELECTRIC</t>
  </si>
  <si>
    <t>2YTDM760231049</t>
  </si>
  <si>
    <t>EDGECOMBE CSO (2YTDM7)</t>
  </si>
  <si>
    <t xml:space="preserve">
Sales Order #: 2281548491
RTD Screening Code: DOD
Reason for Rejection: YH</t>
  </si>
  <si>
    <t>2YTDM760231048</t>
  </si>
  <si>
    <t xml:space="preserve">
Sales Order #: 2281548493
RTD Screening Code: DOD
Reason for Rejection: YH</t>
  </si>
  <si>
    <t>2YTDM760231047</t>
  </si>
  <si>
    <t>THIS ITEM IS BEING REQUESTED FOR LAW ENFORCEMENT USE ONLY. POLICE OFFICERS WILL USE THIS TRAILER TO STORE AND TRANSPORT THE POLICE DEPARTMENTS TRAFFIC SAFETY EQUIPMENT.</t>
  </si>
  <si>
    <t xml:space="preserve">
Sales Order #: 2285872638
RTD Screening Code: DOD
Reason for Rejection: Y9</t>
  </si>
  <si>
    <t>2YTPXC60866134</t>
  </si>
  <si>
    <t>EATONTOWN POLICE DEPT (2YTPXC)</t>
  </si>
  <si>
    <t>THIS ITEM IS BEING REQUESTED FOR LAW ENFORCEMENT USE ONLY. POLICE OFFICERS WILL USE THIS RADAR TRAILER TO HELP REGULATE MOTORISTS SPEED ON ROADWAYS THAT ARE COVERED BY THE POLICE DEPARTMENT.</t>
  </si>
  <si>
    <t xml:space="preserve">
Sales Order #: 2285178212
RTD Screening Code: DOD
Reason for Rejection: Y9</t>
  </si>
  <si>
    <t>2YTPXC60724991</t>
  </si>
  <si>
    <t>THIS ITEM IS BEING REQUESTED BY THE EATON POLICE DEPARTMENT TO BE USED BY LAW ENFORCEMENT AND LIFE SAVING PURPOSES. THE REQUESTED ENSEMBLES WILL BE USED FOR TRAINING, LIFE SAVING, SEARCH AND RESCUE, AND LAW ENFORCEMENT.</t>
  </si>
  <si>
    <t>2YTDL960937179</t>
  </si>
  <si>
    <t>EATON POLICE DEPT (2YTDL9)</t>
  </si>
  <si>
    <t>THIS ITEM IS BEING REQUESTED BY THE EATON POLICE DEPARTMENT TO BE USED BY LAW ENFORCEMENT AND LIFE SAVING PURPOSES. THE REQUESTED CASES WILL BE USED FOR TRAINING, LIFE SAVING, SEARCH AND RESCUE, AND LAW ENFORCEMENT.</t>
  </si>
  <si>
    <t xml:space="preserve">
Sales Order #: 2286373299
RTD Screening Code: DOD
Reason for Rejection: Y9</t>
  </si>
  <si>
    <t>2YTDL960937173</t>
  </si>
  <si>
    <t>THIS ITEM IS BEING REQUESTED BY THE EATON POLICE DEPARTMENT TO BE USED BY LAW ENFORCEMENT AND LIFE SAVING PURPOSES. THE REQUESTED VEST WILL BE USED FOR TRAINING, LIFE SAVING, SEARCH AND RESCUE, AND LAW ENFORCEMENT.</t>
  </si>
  <si>
    <t xml:space="preserve">
Sales Order #: 2286373308
RTD Screening Code: DOD
Reason for Rejection: Y9</t>
  </si>
  <si>
    <t>2YTDL960937124</t>
  </si>
  <si>
    <t>THIS ITEM IS BEING REQUESTED BY THE EATON POLICE DEPARTMENT TO BE USED BY LAW ENFORCEMENT AND LIFE SAVING PURPOSES. THE REQUESTED CASE WILL BE USED FOR TRAINING, LIFE SAVING, SEARCH AND RESCUE, AND LAW ENFORCEMENT.</t>
  </si>
  <si>
    <t xml:space="preserve">
Sales Order #: 2286325394
RTD Screening Code: DOD
Reason for Rejection: BQ</t>
  </si>
  <si>
    <t>2YTDL960937110</t>
  </si>
  <si>
    <t>THIS ITEM IS BEING REQUESTED BY THE EATON POLICE DEPARTMENT TO BE USED BY LAW ENFORCEMENT AND LIFE SAVING PURPOSES. THE REQUESTED CANS WILL BE USED FOR TRAINING, LIFE SAVING, SEARCH AND RESCUE, AND LAW ENFORCEMENT.</t>
  </si>
  <si>
    <t xml:space="preserve">
Sales Order #: 2286288943
RTD Screening Code: DOD
Reason for Rejection: BQ</t>
  </si>
  <si>
    <t>2YTDL960937074</t>
  </si>
  <si>
    <t>THIS ITEM IS BEING REQUESTED BY THE EATON POLICE DEPARTMENT TO BE USED BY LAW ENFORCEMENT AND LIFE SAVING PURPOSES. THE REQUESTED TARPS WILL BE USED FOR TRAINING, LIFE SAVING, SEARCH AND RESCUE, AND LAW ENFORCEMENT.</t>
  </si>
  <si>
    <t>2YTDL960937073</t>
  </si>
  <si>
    <t>THIS ITEM IS BEING REQUESTED BY THE EATON POLICE DEPARTMENT TO BE USED BY OFFICERS FOR LAW ENFORCEMENT PURPOSES. THE REQUESTED SIGHTS WILL BE UTILIZED BY OFFICERS FOR TRAINING NEEDS AND THE PROTECTION OF LIFE. LEA HAS CONFIRMED SITE HAS BEEN CONTACTED AND ACCEPT CONDITION OF PROPERTY.</t>
  </si>
  <si>
    <t xml:space="preserve">
Sales Order #: 2286115562
RTD Screening Code: DOD
Reason for Rejection: Y9</t>
  </si>
  <si>
    <t>2YTDL960934496</t>
  </si>
  <si>
    <t xml:space="preserve">
Sales Order #: 2286288937
RTD Screening Code: DOD
Reason for Rejection: BQ</t>
  </si>
  <si>
    <t>2YTDL960867115</t>
  </si>
  <si>
    <t>THIS ITEM IS BEING REQUESTED BY THE EATON POLICE DEPARTMENT TO BE USED BY LAW ENFORCEMENT AND LIFE SAVING PURPOSES. THE REQUESTED GOGGLES WILL BE USED FOR TRAINING, LIFE SAVING, SEARCH AND RESCUE, AND LAW ENFORCEMENT.</t>
  </si>
  <si>
    <t xml:space="preserve">
Sales Order #: 2286325388
RTD Screening Code: DOD
Reason for Rejection: BQ</t>
  </si>
  <si>
    <t>2YTDL960867112</t>
  </si>
  <si>
    <t xml:space="preserve">
Sales Order #: 2286325393
RTD Screening Code: DOD
Reason for Rejection: BQ</t>
  </si>
  <si>
    <t>2YTDL960867076</t>
  </si>
  <si>
    <t>THIS ITEM IS BEING REQUESTED BY THE EATON POLICE DEPARTMENT TO BE USED BY OFFICER FOR LAW ENFORCEMENT PURPOSES AND FOR THE PROTECTION OF LIFE. THE REQUESTED BOAT WILL BE USED FOR SEARCH AND RESCUE TO PROTECT LIFE.</t>
  </si>
  <si>
    <t xml:space="preserve">
Sales Order #: 2285676464
RTD Screening Code: GSA
Reason for Rejection: YH</t>
  </si>
  <si>
    <t>2YTDL960796819</t>
  </si>
  <si>
    <t>THIS ITEM IS BEING REQUESTED BY THE EATON POLICE DEPARTMENT TO BE USED BY OFFICERS FOR LAW ENFORCEMENT PURPOSES. THE REQUESTED XXXX WILL BE UTILIZED BY OFFICERS FOR TRAINING NEEDS AND THE PROTECTION OF LIFE.THIS ITEM IS BEING REQUESTED BY THE EATON POLICE DEPARTMENT TO BE USED BY OFFICERS FOR LAW ENFORCEMENT PURPOSES. THE REQUESTED SHIRTS WILL BE UTILIZED BY OFFICERS FOR TRAINING NEEDS AND THE PROTECTION OF LIFE.</t>
  </si>
  <si>
    <t xml:space="preserve">
Sales Order #: 2285972906
RTD Screening Code: DOD
Reason for Rejection: Y9</t>
  </si>
  <si>
    <t>2YTDL960654398</t>
  </si>
  <si>
    <t>THIS ITEM IS BEING REQUESTED BY THE EATON POLICE DEPARTMENT TO BE USED BY OFFICERS FOR LAW ENFORCEMENT PURPOSES. THE REQUESTED XXXX WILL BE UTILIZED BY OFFICERS FOR TRAINING NEEDS AND THE PROTECTION OF LIFE.THIS ITEM IS BEING REQUESTED BY THE EATON POLICE DEPARTMENT TO BE USED BY OFFICERS FOR LAW ENFORCEMENT PURPOSES. THE REQUESTED MAGAZINES WILL BE UTILIZED BY OFFICERS FOR TRAINING NEEDS AND THE PROTECTION OF LIFE.</t>
  </si>
  <si>
    <t xml:space="preserve">
Sales Order #: 2286115560
RTD Screening Code: DOD
Reason for Rejection: Y9</t>
  </si>
  <si>
    <t>2YTDL960654396</t>
  </si>
  <si>
    <t>THIS ITEM IS BEING REQUESTED BY THE EATON POLICE DEPARTMENT TO BE USED BY OFFICERS FOR LAW ENFORCEMENT PURPOSES. THE REQUESTED VEHICLE WILL BE UTILIZED BY OFFICERS FOR TRAINING NEEDS, SEARCH AND RESCUE, AND THE PROTECTION OF LIFE.</t>
  </si>
  <si>
    <t xml:space="preserve">
Sales Order #: 2285972908
RTD Screening Code: DOD
Reason for Rejection: Y9</t>
  </si>
  <si>
    <t>2YTDL960584751</t>
  </si>
  <si>
    <t>THIS ITEM IS BEING REQUESTED BY THE EATON POLICE DEPARTMENT TO BE USED BY OFFICERS FOR LAW ENFORCEMENT PURPOSES. THE REQUESTED TRUCK WILL BE UTILIZED BY OFFICERS FOR TRAINING NEEDS, SEARCH AND RESCUE, AND THE PROTECTION OF LIFE.</t>
  </si>
  <si>
    <t>2YTDL960584750</t>
  </si>
  <si>
    <t>THIS ITEM IS BEING REQUESTED BY THE EATON POLICE DEPARTMENT TO BE USED BY OFFICERS FOR LAW ENFORCEMENT PURPOSES. THE REQUESTED XXXX WILL BE UTILIZED BY OFFICERS FOR TRAINING NEEDS AND THE PROTECTION OF LIFE.THIS ITEM IS BEING REQUESTED BY THE EATON POLICE DEPARTMENT TO BE USED BY OFFICERS FOR LAW ENFORCEMENT PURPOSES. THE REQUESTED JACKETS WILL BE UTILIZED BY OFFICERS FOR TRAINING NEEDS AND THE PROTECTION OF LIFE.</t>
  </si>
  <si>
    <t xml:space="preserve">
Sales Order #: 2286115556
RTD Screening Code: DOD
Reason for Rejection: Y9</t>
  </si>
  <si>
    <t>2YTDL960584158</t>
  </si>
  <si>
    <t>THIS ITEM IS BEING REQUESTED BY THE EATON POLICE DEPARTMENT TO BE USED BY OFFICERS FOR LAW ENFORCEMENT PURPOSES. THE REQUESTED XXXX WILL BE UTILIZED BY OFFICERS FOR TRAINING NEEDS AND THE PROTECTION OF LIFE.THIS ITEM IS BEING REQUESTED BY THE EATON POLICE DEPARTMENT TO BE USED BY OFFICERS FOR LAW ENFORCEMENT PURPOSES. THE REQUESTED CAMERA WILL BE UTILIZED BY OFFICERS FOR TRAINING NEEDS AND THE PROTECTION OF LIFE.</t>
  </si>
  <si>
    <t>2YTDL960584149</t>
  </si>
  <si>
    <t>THIS ITEM IS BEING REQUESTED BY THE EATON POLICE DEPARTMENT TO BE USED BY OFFICERS FOR LAW ENFORCEMENT PURPOSES. THE REQUESTED CAMERA WILL BE UTILIZED BY OFFICERS FOR TRAINING NEEDS AND THE PROTECTION OF LIFE.</t>
  </si>
  <si>
    <t>2YTDL960584146</t>
  </si>
  <si>
    <t>THIS ITEM IS BEING REQUESTED BY THE EATON POLICE DEPARTMENT TO BE USED BY OFFICERS FOR LAW ENFORCEMENT PURPOSES. THE REQUESTED XXXX WILL BE UTILIZED BY OFFICERS FOR TRAINING NEEDS AND THE PROTECTION OF LIFE.THIS ITEM IS BEING REQUESTED BY THE EATON POLICE DEPARTMENT TO BE USED BY OFFICERS FOR LAW ENFORCEMENT PURPOSES. THE REQUESTED POUCHES WILL BE UTILIZED BY OFFICERS FOR TRAINING NEEDS AND THE PROTECTION OF LIFE.THIS ITEM IS BEING REQUESTED BY THE EATON POLICE DEPARTMENT TO BE USED BY OFFICERS</t>
  </si>
  <si>
    <t>2YTDL960514165</t>
  </si>
  <si>
    <t>THIS ITEM IS BEING REQUESTED BY THE EATON POLICE DEPARTMENT TO BE USED BY OFFICERS FOR LAW ENFORCEMENT PURPOSES. THE REQUESTED XXXX WILL BE UTILIZED BY OFFICERS FOR TRAINING NEEDS AND THE PROTECTION OF LIFE.THIS ITEM IS BEING REQUESTED BY THE EATON POLICE DEPARTMENT TO BE USED BY OFFICERS FOR LAW ENFORCEMENT PURPOSES. THE REQUESTED GLOVES WILL BE UTILIZED BY OFFICERS FOR TRAINING NEEDS AND THE PROTECTION OF LIFE.</t>
  </si>
  <si>
    <t>GLOVES,FLYERS'</t>
  </si>
  <si>
    <t>2YTDL960514157</t>
  </si>
  <si>
    <t>THIS ITEM IS BEIGN REQUESTED BY THE EATON POLICE DEPARTMENT TO BE USED BY OFFICERS FOR LAW ENFORCEMENT PURPOSES, THE REQUESTED GENERATOR WILL BE UTILIZED BY OFFICERS FOR TRAINING NEEDS AND PROTECTION OF LIFE.</t>
  </si>
  <si>
    <t>2YTDL960514139</t>
  </si>
  <si>
    <t>FOR USE BY ON DUTY EATON CSO OFFICER DURING LOW LIGHT OPERATIONS?? SITE HAS BEEN CONTACTED TO VERIFY CONDITION</t>
  </si>
  <si>
    <t xml:space="preserve">
Sales Order #: 2281230516
RTD Screening Code: DOD
Reason for Rejection: Y9</t>
  </si>
  <si>
    <t>2YTDL760160484</t>
  </si>
  <si>
    <t>EATON COUNTY SHERIFF OFFICE (2YTDL7)</t>
  </si>
  <si>
    <t xml:space="preserve">
Sales Order #: 2280301202
RTD Screening Code: DOD
Reason for Rejection: Y9</t>
  </si>
  <si>
    <t>2YTDL760160483</t>
  </si>
  <si>
    <t xml:space="preserve">
Sales Order #: 2281230511
RTD Screening Code: DOD
Reason for Rejection: Y9</t>
  </si>
  <si>
    <t>2YTDL760160482</t>
  </si>
  <si>
    <t xml:space="preserve">
Sales Order #: 2281230509
RTD Screening Code: DOD
Reason for Rejection: Y9</t>
  </si>
  <si>
    <t>2YTDL760160481</t>
  </si>
  <si>
    <t xml:space="preserve">
Sales Order #: 2281230513
RTD Screening Code: DOD
Reason for Rejection: Y9</t>
  </si>
  <si>
    <t>2YTDL760160480</t>
  </si>
  <si>
    <t xml:space="preserve">
Sales Order #: 2281230514
RTD Screening Code: DOD
Reason for Rejection: Y9</t>
  </si>
  <si>
    <t>2YTDL760160479</t>
  </si>
  <si>
    <t xml:space="preserve">
Sales Order #: 2281230523
RTD Screening Code: DOD
Reason for Rejection: Y9</t>
  </si>
  <si>
    <t>2YTDL760160478</t>
  </si>
  <si>
    <t xml:space="preserve">
Sales Order #: 2280301192
RTD Screening Code: DOD
Reason for Rejection: Y9</t>
  </si>
  <si>
    <t>2YTDL760160477</t>
  </si>
  <si>
    <t xml:space="preserve">
Sales Order #: 2281230510
RTD Screening Code: DOD
Reason for Rejection: Y9</t>
  </si>
  <si>
    <t>2YTDL760160476</t>
  </si>
  <si>
    <t xml:space="preserve">
Sales Order #: 2281230524
RTD Screening Code: DOD
Reason for Rejection: Y9</t>
  </si>
  <si>
    <t>2YTDL760160475</t>
  </si>
  <si>
    <t xml:space="preserve">
Sales Order #: 2280301201
RTD Screening Code: DOD
Reason for Rejection: Y9</t>
  </si>
  <si>
    <t>2YTDL760160474</t>
  </si>
  <si>
    <t xml:space="preserve">
Sales Order #: 2280301195
RTD Screening Code: DOD
Reason for Rejection: Y9</t>
  </si>
  <si>
    <t>2YTDL760160473</t>
  </si>
  <si>
    <t xml:space="preserve">
Sales Order #: 2281230525
RTD Screening Code: DOD
Reason for Rejection: Y9</t>
  </si>
  <si>
    <t>2YTDL760160471</t>
  </si>
  <si>
    <t xml:space="preserve">
Sales Order #: 2281230518
RTD Screening Code: DOD
Reason for Rejection: Y9</t>
  </si>
  <si>
    <t>2YTDL760160469</t>
  </si>
  <si>
    <t xml:space="preserve">
Sales Order #: 2280301199
RTD Screening Code: DOD
Reason for Rejection: Y9</t>
  </si>
  <si>
    <t>2YTDL760160468</t>
  </si>
  <si>
    <t>LIGHTING EQUIPMENT THAT WILL BE UTILIZED BY THE EASTCHESTER POLICE DEPARTMENT TO ASSIST IN SITUATIONS INCLUDING BUT NOT LIMITED TO NATURAL DISASTER RESPONSE, TECHNICAL RESCUE, AND TACTICAL RESPONSE TO ACTIVE SHOOTER OR TERRORISTIC THREATS.</t>
  </si>
  <si>
    <t>2YTDLG60160539</t>
  </si>
  <si>
    <t>EASTCHESTER PD (2YTDLG)</t>
  </si>
  <si>
    <t>FOR EASLEY POLICE DEPARTMENT, FOR USE BY EASLEY POLICE OFFICERS DURING NIGHT OPERATIONS AND TACTICAL OPERATIONS TO HELP ENHANCE NOT ONLY OFFICER SAFETY IN POTENTIALLY HAZARDOUS ENVIRONMENTS ENSURING PROPER IDENTIFICATION OF SUSPECTS, BYSTANDERS, AND FRIENDLY PERSONNEL.</t>
  </si>
  <si>
    <t>2YTQ7360937489</t>
  </si>
  <si>
    <t>FOR EASLEY POLICE DEPARTMENT, FOR USE BY EASLEY POLICE OFFICERS DURING NIGHT OPERATIONS AND TACTICAL OPERATIONS TO HELP ENHANCE OFFICER SAFETY IN POTENTIALLY HAZARDOUS ENVIRONMENTS BY PROTECTING THE VULNERABLE AREAS OF AN OFFICERS FACE, INCLUDING THE EYES.</t>
  </si>
  <si>
    <t xml:space="preserve">
Sales Order #: 2286347634
RTD Screening Code: DOD
Reason for Rejection: Y9</t>
  </si>
  <si>
    <t>2YTQ7360936979</t>
  </si>
  <si>
    <t>FOR EASLEY POLICE DEPARTMENT, FOR USE BY EASLEY POLICE OFFICERS DURING NIGHT OPERATIONS AND TACTICAL OPERATIONS TO HELP ENHANCE NOT ONLY OFFICER SAFETY IN POTENTIALLY HAZARDOUS ENVIRONMENTS ON ROADWAYS, NIGHT INVESTIGATIONS, AND COMMUNITY EVENTS AS WELL.</t>
  </si>
  <si>
    <t xml:space="preserve">
Sales Order #: 2285177004
RTD Screening Code: GSA
Reason for Rejection: YH</t>
  </si>
  <si>
    <t>2YTQ7360584459</t>
  </si>
  <si>
    <t>FOR EASLEY POLICE DEPARTMENT, FOR USE BY EASLEY POLICE OFFICER SNIPERS DURING DAILY OPERATIONS AND TACTICAL OPERATIONS TO HELP ENHANCE NOT ONLY OFFICER SAFETY IN POTENTIALLY KINETIC ENVIRONMENTS BUT ALSO PROVIDE THE ABILITY TO BETTER POSITIVELY IDENTIFY  BYSTANDERS, SUSPECTS, AND FRIENDLY PERSONNEL.</t>
  </si>
  <si>
    <t xml:space="preserve">
Sales Order #: 2277943845
RTD Screening Code: DOD
Reason for Rejection: Y9</t>
  </si>
  <si>
    <t>2YTQ7360160380</t>
  </si>
  <si>
    <t xml:space="preserve">FOR EASLEY POLICE DEPARTMENT, FOR USE BY EASLEY POLICE OFFICERS DURING LOW LIGHT OPERATIONS TO HELP ENHANCE OFFICER SAFETY IN POTENTIALLY KINETIC ENVIRONMENTS TO PROPERLY IDENTIFY SUSPECTS, BYSTANDERS, AND FRIENDLY PERSONNEL.
</t>
  </si>
  <si>
    <t xml:space="preserve">
Sales Order #: 2270382878
RTD Screening Code: FEPD
Reason for Rejection: YH</t>
  </si>
  <si>
    <t>2YTQ7360099843</t>
  </si>
  <si>
    <t xml:space="preserve">
Sales Order #: 2270382901
Reason for Rejection: YF</t>
  </si>
  <si>
    <t>2YTQ7360090034</t>
  </si>
  <si>
    <t xml:space="preserve">
Sales Order #: 2270382874
RTD Screening Code: DOD
Reason for Rejection: Y9</t>
  </si>
  <si>
    <t>2YTQ7360090027</t>
  </si>
  <si>
    <t xml:space="preserve">
Sales Order #: 2280619880
RTD Screening Code: DOD
Reason for Rejection: Y9</t>
  </si>
  <si>
    <t>2YTQ7360090026</t>
  </si>
  <si>
    <t xml:space="preserve">
Sales Order #: 2280525588
RTD Screening Code: DOD
Reason for Rejection: YH</t>
  </si>
  <si>
    <t>2YTQ7360029817</t>
  </si>
  <si>
    <t xml:space="preserve">
Sales Order #: 2280525598
RTD Screening Code: DOD
Reason for Rejection: YH</t>
  </si>
  <si>
    <t>2YTQ7360029799</t>
  </si>
  <si>
    <t xml:space="preserve">
Sales Order #: 2280945819
RTD Screening Code: DOD
Reason for Rejection: Y9</t>
  </si>
  <si>
    <t>2YTQ7360029734</t>
  </si>
  <si>
    <t xml:space="preserve">
Sales Order #: 2280945815
RTD Screening Code: DOD
Reason for Rejection: Y9</t>
  </si>
  <si>
    <t>2YTQ7360029626</t>
  </si>
  <si>
    <t xml:space="preserve">
Sales Order #: 2280525586
RTD Screening Code: DOD
Reason for Rejection: YH</t>
  </si>
  <si>
    <t>MOUNT,LOCKING</t>
  </si>
  <si>
    <t>2YTQ7353609726</t>
  </si>
  <si>
    <t xml:space="preserve">
Sales Order #: 2280617554
RTD Screening Code: DOD
Reason for Rejection: YH</t>
  </si>
  <si>
    <t>2YTQ7353609383</t>
  </si>
  <si>
    <t>THE DUNN POLICE DEPARTMENT NEEDS THIS VEHICLE FOR COUNTER-DRUG. DUNN PD WOULD USE THIS VEHICLE TO INVESTIGATE DRUG ACTIVITY. THIS VEHICLE COULD BE USED FOR COVERT OPERATIONS TO OBSERVE CRIMINAL ACTIVITY WITHOUT RAISING THE SUSPICIONS OF PERSONS OF INTEREST.</t>
  </si>
  <si>
    <t xml:space="preserve">
Sales Order #: 2285840396
RTD Screening Code: DOD
Reason for Rejection: Y9</t>
  </si>
  <si>
    <t>2YTDG860866723</t>
  </si>
  <si>
    <t>DUNN PD (2YTDG8)</t>
  </si>
  <si>
    <t>THE DUNN POLICE DEPARTMENT NEEDS THIS EQUIPMENT FOR DISASTER-RELATED EMERGENCY RESPONSE AND PREPAREDNESS. THIS EQUIPMENT CAN ASSIST THE DUNN PD IN CLEARING ROADWAYS AND STORM DEBRIS. THIS CAN ALSO ASSIST WITH MOVING DIRT IN A STRATEGIC WAY TO PREVENT FLOODING IN FLOOD-PRONE AREAS.</t>
  </si>
  <si>
    <t xml:space="preserve">
Sales Order #: 2285086393
RTD Screening Code: DOD
Reason for Rejection: Y9</t>
  </si>
  <si>
    <t>2YTDG860655376</t>
  </si>
  <si>
    <t>DISASTER-RELATED EMERGENCY RESPONSE AND PREPAREDNESS. THE DUNN POLICE DEPARTMENT NEEDS THIS EQUIPMENT FOR CLEARING ROADWAYS AND DEBRIS AFTER DISASTROUS WEATHER EVENTS. THIS EQUIPMENT WOULD ALSO BE USEFUL FOR PREPARING FOR FLOODS BY ALLOCATING DIRT IN LOCATIONS TO PREVENT FLOOD WATERS FROM ENTERING SPECIFIC AREAS.</t>
  </si>
  <si>
    <t xml:space="preserve">
Sales Order #: 2284559005
RTD Screening Code: DOD
Reason for Rejection: YH</t>
  </si>
  <si>
    <t>2YTDG860654589</t>
  </si>
  <si>
    <t>THE DUBOIS CITY POLICE DEPARTMENT REQUESTS SMALL, REMOTE-CONTROLLED EOD-TYPE ROBOTS FOR OUR CRITICAL INCIDENT RESPONSE TEAM TO CONDUCT RECONNAISSANCE, BARRICADE ASSESSMENTS, AND SUSPICIOUS-DEVICE INVESTIGATIONS WITHOUT PLACING OFFICERS IN DANGER. THESE ROBOTS ALLOW SAFE INSPECTION OF HAZARDOUS AREAS, ASSIST IN HOSTAGE OR BARRICADE INCIDENTS, PRESERVE EVIDENCE, AND ENHANCE SAFETY FOR OFFICERS AND THE PUBLIC.</t>
  </si>
  <si>
    <t xml:space="preserve">
Sales Order #: 2278974174
RTD Screening Code: DOD
Reason for Rejection: YD</t>
  </si>
  <si>
    <t>2YTDGB53466685</t>
  </si>
  <si>
    <t>DUBOIS CITY POLICE DEPT (2YTDGB)</t>
  </si>
  <si>
    <t>DOUGLAS COUNTY SHERIFFS OFFICE IS A LAW ENFORCEMENT AGENCY. DCSO WILL USE THE REQUESTED NIGHT VISION GOGGLES TO REPLACE RECENTLY ACQUIRED UNITS THAT ARE BEING RETURNED. DCSO HAS CONTACTED THE SITE, REVIEWED PHOTOS OF THE EQUIPMENT, AND WILL PAY SHIPPING COSTS TO OBTAIN THE ITEMS. NIGHT VISION IS ESSENTIAL FOR NIGHTTIME PATROL, SEARCH AND RESCUE, SUSPECT APPREHENSION, AND DISASTER RESPONSE, ENSURING DEPUTIES CAN OPERATE SAFELY IN LOW-LIGHT CONDITIONS.</t>
  </si>
  <si>
    <t>2YTDEZ60867331</t>
  </si>
  <si>
    <t>DOUGLAS COUNTY SHERIFF OFFICE (2YTDEZ)</t>
  </si>
  <si>
    <t>USMS WOULD UTILIZE THIS ITEM FOR ANY SEARCH AND RESCUE OR TACTICAL SITUATION THAT INVOLVED DARK OR LOW LIGHT SITUATIONS.</t>
  </si>
  <si>
    <t>2YTPYU60725230</t>
  </si>
  <si>
    <t>DOJ/USMS WESTERN DISTRICT OF OK (2YTPYU)</t>
  </si>
  <si>
    <t>OK</t>
  </si>
  <si>
    <t xml:space="preserve">USMS WILL USE THESE FOR NIGHT TIME LOW LIGHT OPERATIONS.  WILLING TO ACCEPT IN THERE CURRENT CONDITION.
</t>
  </si>
  <si>
    <t>2YTPYU60725226</t>
  </si>
  <si>
    <t xml:space="preserve">USMS WILL USE THESE DURING INCLEMENT WEATHER AND RURAL OPERATIONS
</t>
  </si>
  <si>
    <t>2YTPYU60715989</t>
  </si>
  <si>
    <t>2YTPYU60715988</t>
  </si>
  <si>
    <t>FOR EXCLUSIVE USE BY FBI SWAT TEAM COMPOSED OF SWORN LAW ENFORCEMENT AGENTS. FOR USE IN HIGH-RISK ARREST AND SEARCH WARRANT SERVICE, LOW LIGHT OPERATIONS, RURAL OPERATIONS AND MANHUNTS. REQUESTER HAS CONTACTED THE SITE TO CONFIRM THE CONDITION OF NIGHT VISION OPTICS.</t>
  </si>
  <si>
    <t>2YTQQS60937420</t>
  </si>
  <si>
    <t>DOJ/FBI SAINT LOUIS DIV (2YTQQS)</t>
  </si>
  <si>
    <t>2YTQQS60937405</t>
  </si>
  <si>
    <t>FOR EXCLUSIVE USE BY FBI SWAT TEAM COMPOSED OF SWORN LAW ENFORCEMENT AGENTS. FOR USE IN HIGH-RISK ARREST AND SEARCH WARRANT SERVICE, LOW LIGHT OPERATIONS, RURAL OPERATIONS AND MANHUNTS. REQUESTER HAS CONTACTED THE SITE TO CONFIRM THE CONDITION OF OPTICS.</t>
  </si>
  <si>
    <t>2YTQQS60937404</t>
  </si>
  <si>
    <t>2YTQQS60937170</t>
  </si>
  <si>
    <t>2YTQQS60866461</t>
  </si>
  <si>
    <t>2YTQQS60795780</t>
  </si>
  <si>
    <t xml:space="preserve">
Sales Order #: 2285691519
RTD Screening Code: DOD
Reason for Rejection: Y9</t>
  </si>
  <si>
    <t>2YTQQS60725071</t>
  </si>
  <si>
    <t>2YTQQS60655073</t>
  </si>
  <si>
    <t>2YTQQS60654465</t>
  </si>
  <si>
    <t>2YTQQS60583812</t>
  </si>
  <si>
    <t>2YTQQS60442948</t>
  </si>
  <si>
    <t xml:space="preserve">
Sales Order #: 2276195402
RTD Screening Code: DOD
Reason for Rejection: Y9</t>
  </si>
  <si>
    <t>2YTQQS60301600</t>
  </si>
  <si>
    <t xml:space="preserve">
Sales Order #: 2276195396
Reason for Rejection: Z2</t>
  </si>
  <si>
    <t>2YTQQS60301599</t>
  </si>
  <si>
    <t>COMMON LASER RANGEFINDER SET</t>
  </si>
  <si>
    <t>2YTQQS60231079</t>
  </si>
  <si>
    <t>FOR EXCLUSIVE USE BY FBI SWAT TEAM PERSONNEL COMPOSED OF SWORN FEDERAL LAW ENFORCEMENT AGENTS. FOR USE IN HIGH RISK WARRANT SERVICE, LOW LIGHT OPERATIONS AND MAN HUNTS. REQUESTER HAS CONFIRMED THE CONDITION OF THE NIGHT VISION OPTICS WITH THE SITE.</t>
  </si>
  <si>
    <t>2YTQQS60029921</t>
  </si>
  <si>
    <t>THESE PEQ15 WILL BE ISSUED FOR USE ON FBI SWAT WEAPONS. THE VISUAL LASER IS AN IDEAL TOOL DURING ESCALATION OF FORCE USE. FBI PX HAS MADE CONTACT WITH THE SITE REGARDING CONDITION OF ITEMS.</t>
  </si>
  <si>
    <t>2YTMSD60231016</t>
  </si>
  <si>
    <t>DOJ/FBI PHOENIX (2YTMSD)</t>
  </si>
  <si>
    <t>REQUESTED BY FBI NEWARK SWAT TO ENHANCE OFFICER SAFETY DURING LOW LIGHT TRAINING AND ENFORCEMENT OPERATIONS.</t>
  </si>
  <si>
    <t>2YTRW560513876</t>
  </si>
  <si>
    <t>REQUESTED BY FBI NEWARK SWAT TO ENHANCE OFFICER SAFETY DURING TRAINING AND ENFORCEMENT OPERATIONS DURING LOW LIGHT.</t>
  </si>
  <si>
    <t>2YTRW560443499</t>
  </si>
  <si>
    <t>REQUESTED BY FBI NEWARK SWAT TO ENHANCE OFFICER SAFETY DURING NIGHT TIME TRAINING AND ENFORCEMENT OPERATIONS.</t>
  </si>
  <si>
    <t>2YTRW560372212</t>
  </si>
  <si>
    <t>2YTRW560302216</t>
  </si>
  <si>
    <t xml:space="preserve">1I HAVE CONTACTED THE SITE AND CONFIRMED THE CONDITION. THE ITEMS ARE IN SUITABLE CONDITION FOR THE INTENDED PURPOSES IN LRFO FOR A NIGHT VISION DEVICE
</t>
  </si>
  <si>
    <t>2YTMRY60442858</t>
  </si>
  <si>
    <t>DOJ/FBI LITTLE ROCK DIV (2YTMRY)</t>
  </si>
  <si>
    <t>2YTMRY60442857</t>
  </si>
  <si>
    <t>2YTMRY60442856</t>
  </si>
  <si>
    <t xml:space="preserve">I HAVE CONTACTED THE SITE AND CONFIRMED THE CONDITION. THE ITEMS ARE IN SUITABLE CONDITION FOR THE INTENDED PURPOSES IN LRFO FOR IR ILLUMINATION
</t>
  </si>
  <si>
    <t xml:space="preserve">
Sales Order #: 2250573949
Reason for Rejection: Y9</t>
  </si>
  <si>
    <t>2YTMRY42082688</t>
  </si>
  <si>
    <t>FOR USE BY A FEDERAL LAW ENFORCEMENT TACTICAL UNIT IN LOW-LIGHT SITUATIONS SUCH AS BARRICADED SUBJECTS AND RURAL MANHUNTS.</t>
  </si>
  <si>
    <t>2YTP7X60654810</t>
  </si>
  <si>
    <t>DOJ/FBI LAS VEGAS (2YTP7X)</t>
  </si>
  <si>
    <t>FOR USE BY A FEDERAL TACTICAL TEAM IN LOW LIGHT SCENARIOS, SUCH AS BARRICADED SUBJECTS OR RURAL MANHUNTS.</t>
  </si>
  <si>
    <t>2YTP7X60231050</t>
  </si>
  <si>
    <t>FOR USE BY FEDERAL LAW ENFORCEMENT TACTICAL TEAM IN LOW LIGHT OR NO LIGHT SITUATIONS, SUCH AS BARRICADED SUBJECTS OR RURAL MANHUNTS.</t>
  </si>
  <si>
    <t>2YTP7X60160740</t>
  </si>
  <si>
    <t>FOR USE BY A FEDERAL LAW ENFORCEMENT TACTICAL UNIT FOR LOW LIGHT AND NO LIGHT TACTICAL OPERATIONS, SUCH AS BARRICADED SUBJECTS OR RURAL MANHUNTS.</t>
  </si>
  <si>
    <t>2YTP7X60160739</t>
  </si>
  <si>
    <t>2YTP7X60160738</t>
  </si>
  <si>
    <t>2YTP7X60160737</t>
  </si>
  <si>
    <t>REQUEST FOR FBI CLEVELAND FOR 3 REFLEX SIGHTS. ITEMS WOULD BE ISSUED TO FIREARMS PROGRAM AND WOULD BE UTILIZED BY LAW ENFORCEMENT PERSONNEL IN AN OFFICIAL CAPACITY ONLY.</t>
  </si>
  <si>
    <t xml:space="preserve">
Sales Order #: 2283367085
RTD Screening Code: DOD
Reason for Rejection: Y9</t>
  </si>
  <si>
    <t>2YTMRH60864086</t>
  </si>
  <si>
    <t>REQUEST FOR COMPLETE KIT OF SOEP GOGGLE TO BE ISSUED TO FBI CLEVELAND SWAT FOR ACTIVE MISSIONS. EYE PROTECTION WOULD BE USED BY BREACHERS, WHO ARE EXPOSED TO DANGER AND HAZARDS DURING BREACHING EXERCISES, TRAINING, AND ACTIVE OPERATIONS. FOR LAW ENFORCEMENT MEMBERS ONLY. WOULD BE PROVIDED IMMEDIATELY FOR UTILIZATION,</t>
  </si>
  <si>
    <t>2YTMRH60654599</t>
  </si>
  <si>
    <t>REQUEST FOR SPECIAL PURPOSE CLOTHING. ITEMS ARE AUTHORIZED UNIFORMS FOR FBI CLEVELAND SWAT OPERATORS. CLOTHING WOULD BE ISSUED FOR TRAINING AND MISSIONS. TO BE PROVIDED TO ACTIVE MEMBERS AND FOR LAW ENFORCEMENT ACTIVITIES ONLY.</t>
  </si>
  <si>
    <t>2YTMRH60442869</t>
  </si>
  <si>
    <t>REQUEST FOR MOUNTING MECHANISM TO ACCOMMODATE CURRENT NIGHT VISION SYSTEM UTILIZED BY FBI CLEVELAND SWAT MEMBERS. ITEMS WOULD BE FOR MISSION PURPOSES AND PROVIDED ONLY TO ACTIVE LAW ENFORCEMENT</t>
  </si>
  <si>
    <t>2YTMRH60442865</t>
  </si>
  <si>
    <t>REQUEST NON-BALLISTIC VEST FOR FBI CLEVELAND SWAT. ITEM WOULD BE ISSUED TO ACTIVE MEMBER FOR LE PURPOSES AND MISSION UTILIZATION. DAILY OPERATION, CRITICAL INCIDENT ACTIVATION REQUIRES CARRIERS VESTS WITH POUCHES TO CARRY MISSION GEAR.</t>
  </si>
  <si>
    <t>2YTMRH60372274</t>
  </si>
  <si>
    <t>REQUEST ON BEHALF OF FBI CLEVELAND SWAT FOR UTILIZATION DURING MISSIONS AND FOR LAW ENFORCEMENT PURPOSES ONLY. ITEMS WOULD BE ISSUED TO ACTIVE MEMBERS.</t>
  </si>
  <si>
    <t>2YTMRH60302281</t>
  </si>
  <si>
    <t>REQUEST ON BEHALF OF FBI CLEVELAND SWAT TEAM FOR UTILIZATION DURING MISSIONS AND ACTIVE LAW ENFORCEMENT INCIDENTS. INTENDED SOLELY FOR LAW ENFORCEMENT PURPOSES AND TO BE ISSUED ONLY TO ACTIVE MEMBERS.</t>
  </si>
  <si>
    <t>2YTMRH60302280</t>
  </si>
  <si>
    <t>COLD WEATHER GLOVES WOULD BE ISSUED TO FBI CLEVELAND AGENTS FOR THE WINTER SEASON AND ADVERSE WEATHER CONDITIONS DURING OPERATIONS, WHICH INCLUDE CRIMINAL INVESTIGATION AND VIOLATIONS OF FEDERAL LAW. THE PAIR WOULD BE ISSUED TO ACTIVE MEMBERS</t>
  </si>
  <si>
    <t>2YTMRH60160532</t>
  </si>
  <si>
    <t>REQUEST FOR FBI SWAT SNIPER TEAM LEADER TO UTILIZE DURING NIGHT AND LOW LIGHT OPERATIONS. ITEM WOULD BE FOR LAW ENFORCEMENT PURPOSES AND ONLY ISSUED FOR OFFICIAL ACTIVITY. SNIPERS ARE CERTIFIED AND TRAINED THROUGH NATIONAL PROGRAM AND ABLE TO UTILIZE SUCH EQUIPMENT.</t>
  </si>
  <si>
    <t>2YTMRH60160528</t>
  </si>
  <si>
    <t>2YTMRH60160527</t>
  </si>
  <si>
    <t>REQUEST FOR FBI CLEVELAND FIREARM INSTRUCTORS RESPONSIBLE FOR TEAM TRAINING AND FIELD OFFICE QUALIFICATIONS. RANGE FINDER WOULD BE UTILIZED FOR DAILY OPERATIONS AND RANGE ACTIVITIES. ITEM WOULD BE ISSUED TO ACTIVE INSTRUCTORS FOR IMMEDIATE USE.</t>
  </si>
  <si>
    <t>2YTMRH60160525</t>
  </si>
  <si>
    <t>COLD WEATHER GLOVES TO BE ISSUED TO FBI CLEVELAND AGENTS FOR USE DURING ADVERSE WEATHER CONDITIONS IN FURTHERANCE OF MISSIONS, WHICH INCLUDE SEARCH WARRANT, ARREST WARRANTS AND OTHER FEDERAL CRIMINAL ACTIVITIES AND INVESTIGATIONS. ITEM WOULD BE ISSUED ONLY TO ACTIVE MEMBERS</t>
  </si>
  <si>
    <t>2YTMRH60160523</t>
  </si>
  <si>
    <t>ILLUMINATOR WOULD BE UTILIZED BY FBI CLEVELAND SWAT SNIPER TEAM FOR MISSION SPECIFIC OPERATIONS. ITEM WOULD BE ISSUED ONLY TO ACTIVE MEMBERS FOR LAW ENFORCEMENT PURPOSE. A WORKING ILLUMINATOR WOULD CONTRIBUTE FOR BETTER TARGET ACQUISITION DURING OPERATIONS DURING LOW LIGHT AND AT NIGHT.</t>
  </si>
  <si>
    <t>2YTMRH60160522</t>
  </si>
  <si>
    <t>REQUEST FOR COLD WEATHER SHIRT TO BE ISSUED TO FBI CLEVELAND PERSONNEL AND AGENTS, WHO ARE INVOLVED IN DAILY OPERATIONS DURING ALL SEASONS. COLD WEATHER SHIRTS WOULD BE ISSUED TO ACTIVE MEMBERS FOR LAW ENFORCEMENT PURPOSES ONLY.</t>
  </si>
  <si>
    <t>2YTMRH53609394</t>
  </si>
  <si>
    <t>RUCKSACK SET WOULD BE UTILIZED BY ACTIVE FBI CLEVELAND SWAT MEMBERS FOR RURAL AREAS TO INCLUDE WOODLANDS AND MOUNTAINOUS REGIONS. ITEMS WOULD ISSUED ONLY TO ACTIVE PERSONNEL AND USED FOR LAW ENFORCEMENT PURPOSES ONLY</t>
  </si>
  <si>
    <t>2YTMRH53609391</t>
  </si>
  <si>
    <t>FBI CLEVELAND REQUESTS A PAIR OF MITTENS TO BE ISSUED TO AN ACTIVE AGENT AND EMPLOYEE. SEARCH WARRANT AND OPERATIONS REQUIRE MISSIONS IN ADVERSE WEATHER CONDITIONS, TO WHICH MITTENS WOULD BE UTILIZED FOR THOSE IN NEED.</t>
  </si>
  <si>
    <t>2YTMRH53609389</t>
  </si>
  <si>
    <t>FBI CINCINNATI REQUESTS THE OPTIC TO SUPPORT MISSION CRITICAL OPERATIONS.  FBI CINCINNATI ACCEPTS AND CONFIRMS CONDITION OF THE OPTIC.</t>
  </si>
  <si>
    <t>2YTMRG60867081</t>
  </si>
  <si>
    <t>DOJ/FBI CINCINNATI (2YTMRG)</t>
  </si>
  <si>
    <t>FOR USE AT CRTF FOR TRAINING PURPOSES. I HAVE CONTACTED THE SITE AND CONFIRMED THE CONDITION OF THE ITEM. THEY ARE IN SUITABLE CONDITION FOR THE INTENDED USE.</t>
  </si>
  <si>
    <t>2YTMRF60230917</t>
  </si>
  <si>
    <t>DOJ/FBI CHICAGO (2YTMRF)</t>
  </si>
  <si>
    <t>2YTMRF60230916</t>
  </si>
  <si>
    <t>2YTMRF60230915</t>
  </si>
  <si>
    <t>I HAVE CONTACTED THE SITE AND CONFIRM AND ACCEPT THE CONDITION CODE OF THE ITEMS. FEDERAL SCREENER FOR DIVISION WITH 200 LAW ENFORCEMENT AGENTS TO INCLUDE 19 SWAT OPERATORS. MOST OPERATORS ARE USING SINGLE TUBE NVGS THAT ARE OUT OF WARRANTY. DUE TO A MAJORITY OF HIGH RISK OPERATIONS IN LOW LIGHT CONDITIONS IT IS CRITICAL TO HAVE BETTER EQUIPMENT FOR OFFICER SAFETY. THERE HAS BEEN NO FUNDING FOR NIGHT VISION OPTICS NOR HAS THERE BEEN FOR OVER 10 YEARS.</t>
  </si>
  <si>
    <t>2YTQY160866836</t>
  </si>
  <si>
    <t>DOJ/FBI CHARLOTTE DIV (2YTQY1)</t>
  </si>
  <si>
    <t xml:space="preserve">I HAVE CONTACTED THE SITE AND CONFIRM AND ACCEPT THE CONDITION CODE OF THE ITEMS. FEDERAL SCREENER FOR DIVISION WITH 200 LAW ENFORCEMENT AGENTS TO INCLUDE 19 SWAT OPERATORS. MOST OPERATORS ARE USING SINGLE TUBE NVGS THAT ARE OUT OF WARRANTY. DUE TO A MAJORITY OF HIGH RISK OPERATIONS IN LOW LIGHT CONDITIONS IT IS CRITICAL TO HAVE BETTER EQUIPMENT FOR OFFICER SAFETY. THERE HAS BEEN NO FUNDING FOR NIGHT VISION OPTICS NOR HAS THERE BEEN FOR OVER 10 YEARS.
</t>
  </si>
  <si>
    <t xml:space="preserve">
Sales Order #: 2282550023
RTD Screening Code: DOD
Reason for Rejection: Y9</t>
  </si>
  <si>
    <t>2YTQY160301841</t>
  </si>
  <si>
    <t xml:space="preserve">FEDERAL SCREENER FOR DIVISION WITH 200 LAW ENFORCEMENT AGENTS TO INCLUDE 19 SWAT OPERATORS.  THESE WILL BE USED FOR SURVEILLANCE AND EVIDENCE COLLECTION.
</t>
  </si>
  <si>
    <t>2YTQY160221842</t>
  </si>
  <si>
    <t>THIS EQUIPMENT IS NEEDED FOR OPERATIONAL USE IN CONJUNCTION WITH NIGHT VISION APPARATUS'S DURING THE APPREHENSION OF HIGH VALUE TARGET.  LEA TO CONFIRM AND ACCEPTE CONDITION OF DEVICE</t>
  </si>
  <si>
    <t>2YTRTP60090144</t>
  </si>
  <si>
    <t>REQUIRED FOR SPECIAL RESPONSE TEAM SURVEILLANCE AND RECONNAISSANCE OPERATIONS</t>
  </si>
  <si>
    <t>2YTMN861005216</t>
  </si>
  <si>
    <t>DOJ/DEA NEW YORK (2YTMN8)</t>
  </si>
  <si>
    <t>REQUIRED FOR LOW LIGHT OPERATIONS FOR SPECIAL RESPONSE TEAM</t>
  </si>
  <si>
    <t>2YTMN860725224</t>
  </si>
  <si>
    <t>REQUIRED FOR RANGE OPERATIONS AND SURVEILLANCE FOR SPECIAL RESPONSE TEAM</t>
  </si>
  <si>
    <t>2YTMN860725223</t>
  </si>
  <si>
    <t>REQUIRED FOR SPECIAL RESPONSE TEAM OPERATIONS IN LOW-LIGHT CONDITIONS</t>
  </si>
  <si>
    <t>2YTMN860725089</t>
  </si>
  <si>
    <t>THIS ITEM IS BEING REQUESTED BY THE DRUG ENFORCEMENT ADMINISTRATION NEW ENGLAND FIELD DIVISION TO BE USED FOR LAW ENFORCEMENT PURPOSES. THE REQUESTED ILLUMINATOR WILL BE USED FOR DE-CONFLICTION DURING LAW ENFORCEMENT OPERATIONS. LEA HAS CONFIRMED SITE HAS BEEN CONTACTED AND ACCEPTS CONDITION OF PROPERTY.</t>
  </si>
  <si>
    <t>2YTRKA60231672</t>
  </si>
  <si>
    <t>DOJ/DEA BOSTON (2YTRKA)</t>
  </si>
  <si>
    <t>REQUESTING 4 LAPTOPS TO ASSIST WITH ADMINISTRATIVE AND INVESTIGATIVE WORK.</t>
  </si>
  <si>
    <t xml:space="preserve">
Sales Order #: 2285972907
RTD Screening Code: DOD
Reason for Rejection: Y9</t>
  </si>
  <si>
    <t>2YTDDH60654761</t>
  </si>
  <si>
    <t>DIXON POLICE DEPT (2YTDDH)</t>
  </si>
  <si>
    <t>THE DILLON COUNTY SHERIFF'S OFFICE WILL UTILIZE THESE ITEMS IN TRAINING SCENARIOS INCLUDING FIRING RANGE, TASER TRAINING, AND ACTIVE SHOOTER TRAINING</t>
  </si>
  <si>
    <t xml:space="preserve">
Sales Order #: 2285178197
RTD Screening Code: DOD
Reason for Rejection: Y9</t>
  </si>
  <si>
    <t>2YTDCS60654745</t>
  </si>
  <si>
    <t>THE DILLON COUNTY SHERIFF'S OFFICE WILL UTILIZE THIS ITEM ON THE FIRING RANGE FOR THE RANGE MASTER, ALSO THE ITEM WILL BE USED FOR LARGE EVENTS TO MONITOR THE CROWD FOR SAFETY AND SECURITY</t>
  </si>
  <si>
    <t xml:space="preserve">
Sales Order #: 2285180142
RTD Screening Code: DOD
Reason for Rejection: Y9</t>
  </si>
  <si>
    <t>2YTDCS60654743</t>
  </si>
  <si>
    <t>THE DILLON COUNTY SHERIFF'S OFFICE WILL UTILIZE THESE ITEMS DURING TRAINING SUCH AS FIRING RANGE AND TASER TRAINING SCENARIOS. THEY WILL ALSO BE USED FOR SCHOOL ACTIVE SHOOTER TRAINING WITH SIMUNITION ROUNDS</t>
  </si>
  <si>
    <t xml:space="preserve">
Sales Order #: 2285180127
RTD Screening Code: DOD
Reason for Rejection: Y9</t>
  </si>
  <si>
    <t>2YTDCS60654736</t>
  </si>
  <si>
    <t>THE DILLON COUNTY SHERIFF'S OFFICE WILL ISSUE THESE ITEMS TO PATROL DEPUTIES FOR INCLIMATE WEATHER PROTECTION</t>
  </si>
  <si>
    <t xml:space="preserve">
Sales Order #: 2285179832
RTD Screening Code: DOD
Reason for Rejection: Y9</t>
  </si>
  <si>
    <t>2YTDCS60634868</t>
  </si>
  <si>
    <t xml:space="preserve">
Sales Order #: 2285178996
RTD Screening Code: DOD
Reason for Rejection: Y9</t>
  </si>
  <si>
    <t>2YTDCS60634867</t>
  </si>
  <si>
    <t>THE DILLON COUNTY SHERIFF'S OFFICE WILL UTILIZE THESE ITEMS IN MULTIPLE APPLICATIONS INCLUDING SEARCH AND RESCUE OPERATIONS DURING STORM INCIDENTS, LOCATING MISSING SUBJECTS</t>
  </si>
  <si>
    <t>2YTDCS60584735</t>
  </si>
  <si>
    <t>DICKENSON COUNTY SHERIFF'S OFFICE IS A FULL-SERVICE LAW ENFORCEMENT AGENCY.  THIS PROPERTY WILL BE USED FOR PARTS FOR THE DEPARTMENT'S LOADER WHICH HAS A BUCKET THAT LACKS THE CUTTING EDGES.</t>
  </si>
  <si>
    <t xml:space="preserve">
Sales Order #: 2282813412
RTD Screening Code: DOD
Reason for Rejection: YH</t>
  </si>
  <si>
    <t>2YTDCB60302199</t>
  </si>
  <si>
    <t>DICKENSON COUNTY SHERIFF'S OFFICE IS A FULL-SERVICE LAW ENFORCEMENT AGENCY.  THE TRUCK WILL BE USED TO TWO THE DEPARTMENT'S SMALL EQUIPMENT, ATVS, AND MOBILE COMMAND UNIT.</t>
  </si>
  <si>
    <t xml:space="preserve">
Sales Order #: 2280363864
RTD Screening Code: DOD
Reason for Rejection: Y9</t>
  </si>
  <si>
    <t>2YTDCB60230825</t>
  </si>
  <si>
    <t>DICKENSON COUNTY SHERIFF'S OFFICE IS A FULL-SERVICE LAW ENFORCEMENT AGENCY.  THE VEHICLE WILL BE USED TO TRANSPORT THE DEPARTMENT'S HEAVY EQUIPMENT FOR DISASTER RESPONSE AND RECOVERY.</t>
  </si>
  <si>
    <t xml:space="preserve">
Sales Order #: 2280363886
RTD Screening Code: DOD
Reason for Rejection: Y9</t>
  </si>
  <si>
    <t>2YTDCB60230803</t>
  </si>
  <si>
    <t>DICKENSON COUNTY SHERIFF'S OFFICE IS A FULL-SERVICE LAW ENFORCEMENT AGENCY.  THIS VEHICLE WILL BE USED TO TRANSPORT THE DEPARTMENT'S HEAVY EQUIPMENT FOR DISASTER RESPONSE AND RECOVERY.</t>
  </si>
  <si>
    <t xml:space="preserve">
Sales Order #: 2281278316
RTD Screening Code: DOD
Reason for Rejection: Y9</t>
  </si>
  <si>
    <t>2YTDCB60160689</t>
  </si>
  <si>
    <t>2YTDCB60160611</t>
  </si>
  <si>
    <t>DICKENSON COUNTY SHERIFF'S OFFICE IS A FULL-SERVICE LAW ENFORCEMENT AGENCY.  THIS EQUIPMENT WILL BE USED FOR DISASTER RESPONSE AND RECOVERY.  IT'S COMPACT SIZE AND MANEUVERABILITY WILL BE VALUABLE IN CLEARING CRITICAL ACCESS ROUTES.</t>
  </si>
  <si>
    <t xml:space="preserve">
Sales Order #: 2280765757
RTD Screening Code: DOD
Reason for Rejection: YG</t>
  </si>
  <si>
    <t>2YTDCB60160566</t>
  </si>
  <si>
    <t>DICKENSON COUNTY SHERIFF'S OFFICE IS A FULL-SERVICE LAW ENFORCEMENT AGENCY.  THIS PROPERTY WILL BE USED TO TRANSPORT CRITICAL SUPPLIES DURING DISASTER RESPONSE AND RECOVERY.</t>
  </si>
  <si>
    <t xml:space="preserve">
Sales Order #: 2276576250
RTD Screening Code: DOD
Reason for Rejection: BQ</t>
  </si>
  <si>
    <t>2YTDCB60160360</t>
  </si>
  <si>
    <t xml:space="preserve">
Sales Order #: 2280893289
RTD Screening Code: DOD
Reason for Rejection: YD</t>
  </si>
  <si>
    <t>2YTDCB60090688</t>
  </si>
  <si>
    <t>DICKENSON COUNTY SHERIFF'S OFFICE IS A FULL-SERVICE LAW ENFORCEMENT AGENCY.  THIS EQUIPMENT WILL BE USED FOR DISASTER RESPONSE AND RECOVERY.  IT'S COMPACT SIZE AND MANEUVERABILITY WILL BE VALUABLE IN CLEARING CRITICAL ACCESS ROUTES. REQUESTING 2 IN CASE PARTS NEED TO BE COMBINED TO MAKE ONE OPERATIONAL UNIT.</t>
  </si>
  <si>
    <t xml:space="preserve">
Sales Order #: 2280765761
RTD Screening Code: DOD
Reason for Rejection: YG</t>
  </si>
  <si>
    <t>2YTDCB60090567</t>
  </si>
  <si>
    <t>DICKENSON COUNTY SHERIFF'S OFFICE IS A FULL-SERVICE LAW ENFORCEMENT AGENCY.  THIS PROPERTY WILL BE USED FOR DISASTER RESPONSE AND RECOVERY.  IT'S COMPACT SIZE AND MANEUVERABILITY WILL ALLOW FOR QUICK REMOVAL OF MUD AND DEBRIS RESULTING FROM FLOODING AND DAMAGING WINDS.</t>
  </si>
  <si>
    <t xml:space="preserve">
Sales Order #: 2279227150
RTD Screening Code: DOD
Reason for Rejection: Y9</t>
  </si>
  <si>
    <t>2YTDCB60090013</t>
  </si>
  <si>
    <t>DICKENSON COUNTY SHERIFF'S OFFICE IS A FULL-SERVICE LAW ENFORCEMENT AGENCY.  THIS VEHICLE WILL BE USED FOR DISASTER RESPONSE AND RECOVERY.  IT WILL PROVIDE THE ABILITY TO MOVE LARGE AMOUNTS OF CRITICAL SUPPLIES TO SHELTERS AND DISASTER SCENES.</t>
  </si>
  <si>
    <t xml:space="preserve">
Sales Order #: 2272465289
RTD Screening Code: DOD
Reason for Rejection: YH</t>
  </si>
  <si>
    <t>2YTDCB53609444</t>
  </si>
  <si>
    <t>COLD WEATHER PARKAS BEING REQUESTED BY HOMELAND SECURITY INVESTIGATIONS MILITARY LIAISON UNIT TO BE ISSUED TO SPECIAL AGENTS CURRENTLY DEPLOYED IN COLD ENVIRONMENTS WHILE IN TITLE 8 ENFORCEMENT OPERATIONS.</t>
  </si>
  <si>
    <t>2YTQLD60583293</t>
  </si>
  <si>
    <t>DHS/ICE HSI WASHINGTON DC (2YTQLD)</t>
  </si>
  <si>
    <t>2YTQLD60583292</t>
  </si>
  <si>
    <t>COLD WEATHER PARKAS REQUESTED BY HOMELAND SECURITY INVESTIGATIONS MILITARY LIAISON UNIT TO BE ISSUED TO SPECIAL AGENTS CURRENTLY DEPLOYED IN COLD ENVIRONMENTS IN TITLE 8 ENFORCEMENT OPERATIONS.</t>
  </si>
  <si>
    <t>2YTQLD60583291</t>
  </si>
  <si>
    <t>THESE WET WEATHER JACKETS ARE BEING REQUESTED BY HOMELAND SECURITY INVESTIGATIONS MILITARY LIAISON UNIT TO BE ISSUED OUT TO LEOS DURING TRAINING PROVIDED BY THE INTERNATIONAL OPERATIONS UNIT. WILL BE ISSUED FOR TRAINING USE.</t>
  </si>
  <si>
    <t>2YTQLD60513426</t>
  </si>
  <si>
    <t>2YTQLD60513423</t>
  </si>
  <si>
    <t>2YTQLD60513420</t>
  </si>
  <si>
    <t>2YTQLD60513418</t>
  </si>
  <si>
    <t>THESE COLD WEATHER JACKETS ARE BEING REQUESTED BY HOMELAND SECURITY INVESTIGATIONS MILITARY LIAISON UNIT TO BE ISSUED TO TRAINEE LEOS PARTICIPATING IN THE INTERNATIONAL OPERATIONS TRAINING DURING THE COLD WEATHER MONTHS IN PERRY, GA.</t>
  </si>
  <si>
    <t>2YTQLD60513301</t>
  </si>
  <si>
    <t>THIS FIELD PACK IS BEING REQUESTED BY HOMELAND SECURITY INVESTIGATIONS MILITARY LIAISON UNIT TO BE ISSUED TO STUDENT TRAINEES FOR CLASSROOM USE DURING INTERNATIONAL OPERATIONS FIELD TRAINING.</t>
  </si>
  <si>
    <t>2YTQLD60443302</t>
  </si>
  <si>
    <t>THIS ITEM IS BEING REQUESTED BY HOMELAND SECURITY INVESTIGATIONS MILITARY LIAISON UNIT TO BE USED BY HSI LEOS DEPLOYED IN VARIOUS TITLE 8 IMMIGRATION ENFORCEMENT OPERATIONS IN COLD CLIMATES.</t>
  </si>
  <si>
    <t>2YTQLD60442942</t>
  </si>
  <si>
    <t>2YTQLD60433427</t>
  </si>
  <si>
    <t>2YTQLD60433425</t>
  </si>
  <si>
    <t>2YTQLD60433424</t>
  </si>
  <si>
    <t>THIS REQUEST FOR COLD WEATHER PARKAS IS BEING MADE BY HOMELAND SECURITY INVESTIGATIONS MILITARY LIAISON UNIT. THESE ITEMS WILL BE ISSUED TO SPECIAL AGENTS CURRENTLY DEPLOYED IN SUPPORT OF TITLE 8 ENFORCEMENT OPERATIONS IN COLD WEATHER CLIMATES.</t>
  </si>
  <si>
    <t>2YTQLD60423365</t>
  </si>
  <si>
    <t>THIS REQUEST FOR COLD WEATHER PARKAS IS BEING MADE BY HOMELAND SECURITY INVESTIGATIONS MILITARY LIAISON UNIT. THESE ITEMS WILL BE ISSUED TO SPECIAL AGENTS CURRENTLY DEPLOYED IN SUPPORT OF TITLE 8 ENFORCEMENT OPERATIONS.</t>
  </si>
  <si>
    <t>2YTQLD60423364</t>
  </si>
  <si>
    <t>THIS ITEM IS BEING REQUESTED BY HOMELAND SECURITY INVESTIGATIONS MILITARY LIAISON UNIT TO BE USED BY HSI LEOS DEPLOYED IN VARIOUS TITLE 8 IMMIGRATION ENFORCEMENT OPERATIONS. THE REQUESTED APPAREL WILL SERVE AS COLD GEAR FOR FEMALE AGENTS DEPLOYED IN COLD CLIMATES.</t>
  </si>
  <si>
    <t>PARKA,WORKING</t>
  </si>
  <si>
    <t>2YTQLD60372943</t>
  </si>
  <si>
    <t>FOR USE BY FEDERAL CBP OFFICERS AT LAND, AIR AND SEAPORTS TO PROCESS FOREIGN AND DOMESTIC VISITORS ARRIVING AT OUR PORTS OF ENTRY TO VET THE CITIZENS AND VISITORS FOR PROPER ENTRY INTO THE UNITED STATES</t>
  </si>
  <si>
    <t xml:space="preserve">
Sales Order #: 2285990939
RTD Screening Code: DOD
Reason for Rejection: Y9</t>
  </si>
  <si>
    <t>2YTRGK60866769</t>
  </si>
  <si>
    <t xml:space="preserve">
Sales Order #: 2285959401
RTD Screening Code: DOD
Reason for Rejection: Y9</t>
  </si>
  <si>
    <t>2YTRGK60866767</t>
  </si>
  <si>
    <t xml:space="preserve">
Sales Order #: 2285959405
RTD Screening Code: DOD
Reason for Rejection: Y9</t>
  </si>
  <si>
    <t>2YTRGK60866766</t>
  </si>
  <si>
    <t xml:space="preserve">
Sales Order #: 2285984639
RTD Screening Code: DOD
Reason for Rejection: Y9</t>
  </si>
  <si>
    <t>2YTRGK60866765</t>
  </si>
  <si>
    <t xml:space="preserve">
Sales Order #: 2285990936
RTD Screening Code: DOD
Reason for Rejection: Y9</t>
  </si>
  <si>
    <t>2YTRGK60866764</t>
  </si>
  <si>
    <t xml:space="preserve">
Sales Order #: 2285984641
RTD Screening Code: DOD
Reason for Rejection: Y9</t>
  </si>
  <si>
    <t>2YTRGK60866759</t>
  </si>
  <si>
    <t xml:space="preserve">
Sales Order #: 2285959407
RTD Screening Code: DOD
Reason for Rejection: Y9</t>
  </si>
  <si>
    <t>2YTRGK60866758</t>
  </si>
  <si>
    <t xml:space="preserve">
Sales Order #: 2283286629
RTD Screening Code: DOD
Reason for Rejection: Y9</t>
  </si>
  <si>
    <t>2YTRGK60442719</t>
  </si>
  <si>
    <t>2YTRGK60442717</t>
  </si>
  <si>
    <t>2YTRGK60442716</t>
  </si>
  <si>
    <t>2YTRGK60442715</t>
  </si>
  <si>
    <t xml:space="preserve">
Sales Order #: 2283286628
RTD Screening Code: DOD
Reason for Rejection: Y9</t>
  </si>
  <si>
    <t>2YTRGK60442714</t>
  </si>
  <si>
    <t xml:space="preserve">
Sales Order #: 2283314675
RTD Screening Code: DOD
Reason for Rejection: Y9</t>
  </si>
  <si>
    <t>2YTRGK60372512</t>
  </si>
  <si>
    <t>FOR US CUSTOMS AND BORDER PROTECTION FEDERAL LAW ENFORCEMENT OFFICERS AT THE NATIONAL TARGETING CENTER TO CONDUCT ACTIVE SHOOTER TRAINING AND SIMUNITIONS FORCE ON FORCE SCENARIO-BASED TRAINING.</t>
  </si>
  <si>
    <t xml:space="preserve">
Sales Order #: 2283315028
RTD Screening Code: DOD
Reason for Rejection: Y9</t>
  </si>
  <si>
    <t>2YTRGK60372426</t>
  </si>
  <si>
    <t xml:space="preserve">
Sales Order #: 2283315026
RTD Screening Code: DOD
Reason for Rejection: Y9</t>
  </si>
  <si>
    <t>2YTRGK60372251</t>
  </si>
  <si>
    <t>2YTRGK60372250</t>
  </si>
  <si>
    <t>2YTRGK60372243</t>
  </si>
  <si>
    <t>2YTRGK60372240</t>
  </si>
  <si>
    <t>FOR LAW ENFORCEMENT STORAGE USE OF PERSONAL PROTECTIVE EQUIPMENT AND SEARCH AND RESCUE GEAR</t>
  </si>
  <si>
    <t xml:space="preserve">
Sales Order #: 2282336118
RTD Screening Code: DOD
Reason for Rejection: Y9</t>
  </si>
  <si>
    <t>2YTRGK60301847</t>
  </si>
  <si>
    <t xml:space="preserve">
Sales Order #: 2282336113
RTD Screening Code: DOD
Reason for Rejection: Y9</t>
  </si>
  <si>
    <t>2YTRGK60301823</t>
  </si>
  <si>
    <t xml:space="preserve">
Sales Order #: 2282336117
RTD Screening Code: DOD
Reason for Rejection: YG</t>
  </si>
  <si>
    <t>DSDOCKIN2</t>
  </si>
  <si>
    <t>2YTRGK60301819</t>
  </si>
  <si>
    <t xml:space="preserve">
Sales Order #: 2274476598
RTD Screening Code: DOD
Reason for Rejection: YG</t>
  </si>
  <si>
    <t>2YTRGK60231849</t>
  </si>
  <si>
    <t>FOR LEO WEAPON MANAGEMENT UTILIZATION AT USBP STATIONS AND SECTORS.</t>
  </si>
  <si>
    <t xml:space="preserve">
Sales Order #: 2285176967
RTD Screening Code: DOD
Reason for Rejection: Y9</t>
  </si>
  <si>
    <t>2YTMDH60655049</t>
  </si>
  <si>
    <t>DHS/CBP PATROL EL PASO (2YTMDH)</t>
  </si>
  <si>
    <t>TO BE USED BY ON-DUTY MEMBERS OF THE DETROIT POLICE DEPARTMENT FIREARMS INVENTORY AND REPAIR TO INSPECT, FIX, AND MAINTAIN DEPARTMENT ISSUED FIREARMS.</t>
  </si>
  <si>
    <t xml:space="preserve">
Sales Order #: 2276316882
RTD Screening Code: DOD
Reason for Rejection: Z2</t>
  </si>
  <si>
    <t>2YTDBF60301626</t>
  </si>
  <si>
    <t>DETROIT POLICE DEPT SRT (2YTDBF)</t>
  </si>
  <si>
    <t>ITEMS TO BE USED IN CONJUNCTION WITH REQUESTED PVS 15S, TO BE UTILIZED IN LOW TO NO LIGHT OPERATIONS WITH OUR AGENCY MULTI JURISDICTIONAL TAC TEAM.</t>
  </si>
  <si>
    <t>2YTTCG60866858</t>
  </si>
  <si>
    <t>DELAWARE COUNTY SHERIFFS OFFICE (2YTTCG)</t>
  </si>
  <si>
    <t>ITEMS TO BE UTILIZED BY A MULTIJURISDICTIONAL TACTICAL TEAM FOR LARGE AREA SEARCHES, POTENTIALLY FOR THE SEARCH OF ARMED SUSPECTS AND MISSING PERSONS.</t>
  </si>
  <si>
    <t>2YTTCG60866857</t>
  </si>
  <si>
    <t>THESE MONITOR DISPLAYS WOULD BE USED IN THE DELAVAN POLICE EMERGENCY OPERATIONS CENTER TO DISPLAY CRITICAL INCIDENT INFORMATION.  POLICE OFFICERS WILL USE THESE DISPLAYS  TO DISPLAY POLICE DEPLOYED SECURITY CAMERAS WITHIN POLICE OFFICE AND INCIDENT CENTER.</t>
  </si>
  <si>
    <t xml:space="preserve">
Sales Order #: 2286317832
RTD Screening Code: DOD
Reason for Rejection: Y9</t>
  </si>
  <si>
    <t>DISPLAY UNIT</t>
  </si>
  <si>
    <t>2YTC8P60937030</t>
  </si>
  <si>
    <t xml:space="preserve">THIS VEHICLE WOULD BE USED BY THE DELAVAN POLICE DEPARTMENT FOR SPECIAL OPERATIONS AS WELL AS HAULING FOUND PROPERTY.  DELAVAN POLICE OFFICERS WOULD ALSO TRANSPORT THE POLICE RADAR TRAILER AS WELL AS ACT A SPARE VEHICLE FOR SPECIAL EVENTS AND USED BY POLICE OFFICERS TO TRAVEL FOR TRAINING PROVIDING A MUCH NEEDED RESOURCE OUR DEPARTMENT LACKS CURRENTLY.
</t>
  </si>
  <si>
    <t xml:space="preserve">
Sales Order #: 2286335441
RTD Screening Code: DOD
Reason for Rejection: Y9</t>
  </si>
  <si>
    <t>2YTC8P60937028</t>
  </si>
  <si>
    <t>THE DELAVAN POLICE DEPARTMENT REQUESTS A CARGO TRAILER FOR USE BY DELAVAN POLICE OFFICERS TO SUPPORT EMERGENCY RESPONSE OPERATIONS. THE TRAILER WILL BE USED TO HAUL AND STAGE CRITICAL EQUIPMENT AND TRANSPORT THE DEPARTMENT UTV FOR SEARCH AND RESCUE OPERATIONS, DISASTER RESPONSE, AND SPECIAL EVENTS. THIS RESOURCE WILL IMPROVE RAPID DEPLOYMENT, LOGISTICS CAPABILITY, AND OPERATIONAL READINESS DURING INCIDENTS REQUIRING COORDINATED RESPONSE.</t>
  </si>
  <si>
    <t xml:space="preserve">
Sales Order #: 2285872665
RTD Screening Code: DOD
Reason for Rejection: Y9</t>
  </si>
  <si>
    <t>2YTC8P60866394</t>
  </si>
  <si>
    <t xml:space="preserve">
Sales Order #: 2285870185
RTD Screening Code: DOD
Reason for Rejection: Y9</t>
  </si>
  <si>
    <t>2YTC8P60866393</t>
  </si>
  <si>
    <t xml:space="preserve">
Sales Order #: 2285870178
RTD Screening Code: DOD
Reason for Rejection: Y9</t>
  </si>
  <si>
    <t>2YTC8P60866391</t>
  </si>
  <si>
    <t>THIS TRAILER WOULD BE USED FOR THE DELAVAN POLICE DEPARTMENT AND DELAVAN POLICE OFFICERS FOR INCIDENT RESPONSE AND EMERGENCY OPERATIONS.  NO POLICE DEPARTMENT IN OUR AREA HAS A COMMAND TRAILER LIKE THIS RESOURCE SO IT WOULD PROVIDE A RESOURCE WE DO NOT CURRENTLY HAVE ACCESS TO CURRENTLY.</t>
  </si>
  <si>
    <t xml:space="preserve">
Sales Order #: 2285872644
RTD Screening Code: DOD
Reason for Rejection: Y9</t>
  </si>
  <si>
    <t>2YTC8P60866389</t>
  </si>
  <si>
    <t>DELAVAN POLICE DEPARTMENT REQUEST FOR USE BY DELAVAN POLICE OFFICERS THIS GOLF CART TO SUPPORT SPECIAL EVENTS, CROWD MANAGEMENT, PARK PATROL, AND DISASTER RESPONSE OPERATIONS. THE VEHICLE ENHANCES MOBILITY IN RESTRICTED OR PEDESTRIAN-HEAVY AREAS, ALLOWING OFFICERS TO TRANSPORT PERSONNEL AND EQUIPMENT EFFICIENTLY WHILE IMPROVING VISIBILITY, RESPONSE TIMES, AND COMMUNITY ENGAGEMENT.</t>
  </si>
  <si>
    <t xml:space="preserve">
Sales Order #: 2285178975
RTD Screening Code: DOD
Reason for Rejection: Y9</t>
  </si>
  <si>
    <t>2YTC8P60724950</t>
  </si>
  <si>
    <t>DELAVAN POLICE DEPARTMENT REQUEST FOR USE BY DELAVAN POLICE OFFICERS SUV TO SUPPORT EMERGENCY RESPONSE, COMMAND STAFF MOBILITY, EQUIPMENT TRANSPORT, AND MULTI-AGENCY COORDINATION. THE VEHICLE WILL ENHANCE DISASTER RESPONSE, CRITICAL INCIDENT MANAGEMENT WHILE PROVIDING SAFE, RELIABLE TRANSPORTATION FOR PERSONNEL AND MISSION-ESSENTIAL GEAR.</t>
  </si>
  <si>
    <t xml:space="preserve">
Sales Order #: 2285179938
RTD Screening Code: DOD
Reason for Rejection: Y9</t>
  </si>
  <si>
    <t>2YTC8P60724949</t>
  </si>
  <si>
    <t>DELAVAN POLICE DEPARTMENT REQUEST FOR USE BY DELAVAN POLICE OFFICERS A HAULING TRAILER TO TRANSPORT EQUIPMENT AND SUPPLIES FOR EMERGENCY RESPONSE OPERATIONS. THIS TRAILER WILL SUPPORT DISASTER RESPONSE, CRITICAL INCIDENTS, AND MUTUAL AID DEPLOYMENTS BY SAFELY MOVING BARRICADES, GENERATORS, TRAFFIC CONTROL DEVICES, RESCUE TOOLS, AND OTHER MISSION-ESSENTIAL GEAR.</t>
  </si>
  <si>
    <t xml:space="preserve">
Sales Order #: 2285180150
RTD Screening Code: DOD
Reason for Rejection: Y9</t>
  </si>
  <si>
    <t>2YTC8P60724948</t>
  </si>
  <si>
    <t>DELAVAN POLICE DEPARTMENT REQUEST FOR USE BY DELAVAN POLICE OFFICERS UST TRAILER MOUNTED GENERATOR. THIS TRAILER-MOUNTED GENERATOR SUPPORTS DISASTER RESPONSE AND CRITICAL INCIDENT OPERATIONS BY PROVIDING RELIABLE MOBILE POWER FOR COMMAND POSTS, SCENE LIGHTING, COMMUNICATIONS EQUIPMENT, AND EMERGENCY INFRASTRUCTURE DURING PROLONGED EVENTS OR LARGE-SCALE EMERGENCIES.</t>
  </si>
  <si>
    <t xml:space="preserve">
Sales Order #: 2285178163
RTD Screening Code: DOD
Reason for Rejection: Y9</t>
  </si>
  <si>
    <t>TENT,UST TRALER MODELHP3C/35/8,TAN,DRASH</t>
  </si>
  <si>
    <t>2YTC8P60724946</t>
  </si>
  <si>
    <t xml:space="preserve">DELAVAN POLICE DEPARTMENT REQUEST FOR USE BY DELAVAN POLICE OFFICERS THIS SERVER CABINET TO SECURELY HOUSE NETWORK, COMMUNICATIONS, AND DATA EQUIPMENT SUPPORTING EMERGENCY OPERATIONS AND DAILY LAW ENFORCEMENT FUNCTIONS. THIS EQUIPMENT WILL PROTECT CRITICAL INFRASTRUCTURE, IMPROVE ORGANIZATION AND RELIABILITY, AND ENHANCE CONTINUITY OF OPERATIONS DURING DISASTERS OR CRITICAL INCIDENTS.
</t>
  </si>
  <si>
    <t>SERVER RACKING STANCHIONS</t>
  </si>
  <si>
    <t>DSSERVRAK</t>
  </si>
  <si>
    <t>2YTC8P60716017</t>
  </si>
  <si>
    <t xml:space="preserve">THE DELAVAN POLICE DEPARTMENT AND ITS POLICE OFFICERS WOULD USE THIS LIFTS TO MAINTAIN AND INSTALL THE CITYWIDE CAMERA SURVEILLANCE SYSTEM MOUNTED HIGH ON POLES THAT MONITOR SUSPICIOUS AND DRUG ACTIVITY. ACQUIRING THIS LIFTS WOULD ALLOW OFFICERS TO MAINTAIN AND INSTALL THE SYSTEM INDEPENDENTLY, ENHANCING OUR ABILITY TO MONITOR AND RESPOND TO CRIMINAL ACTIVITY EFFICIENTLY.
</t>
  </si>
  <si>
    <t xml:space="preserve">
Sales Order #: 2285177016
RTD Screening Code: DOD
Reason for Rejection: Y9</t>
  </si>
  <si>
    <t>2YTC8P60654957</t>
  </si>
  <si>
    <t>ELAVAN POLICE DEPARTMENT REQUEST FOR USE BY DELAVAN POLICE OFFICERS THIS METEOROLOGICAL STATION, AUTOMATIC, TO PROVIDE REAL-TIME WEATHER MONITORING IN SUPPORT OF EMERGENCY RESPONSE, DISASTER MANAGEMENT, AND SPECIAL EVENTS. THIS EQUIPMENT WILL ENHANCE SITUATIONAL AWARENESS BY DELIVERING ACCURATE WIND, TEMPERATURE, PRECIPITATION, AND STORM DATA TO IMPROVE OPERATIONAL DECISION-MAKING AND OFFICER SAFETY.  RESUBMITTING AS IT SEEMS HUNG UP IN EBS</t>
  </si>
  <si>
    <t xml:space="preserve">
Sales Order #: 2285177013
RTD Screening Code: DOD
Reason for Rejection: Y9</t>
  </si>
  <si>
    <t>2YTC8P60654956</t>
  </si>
  <si>
    <t>DELAVAN POLICE DEPARTMENT REQUEST FOR USE BY DELAVAN POLICE OFFICERS THIS FLAMMABLE MATERIAL CABINET TO SAFELY STORE FUELS, SOLVENTS, AND OTHER HAZARDOUS MATERIALS USED IN EMERGENCY RESPONSE AND EQUIPMENT MAINTENANCE. THIS CABINET WILL ENHANCE SAFETY, REDUCE FIRE RISK, AND ENSURE COMPLIANCE WITH STORAGE STANDARDS WHILE PROTECTING PERSONNEL AND FACILITIES.</t>
  </si>
  <si>
    <t xml:space="preserve">
Sales Order #: 2285178131
RTD Screening Code: DOD
Reason for Rejection: YH</t>
  </si>
  <si>
    <t>2YTC8P60654955</t>
  </si>
  <si>
    <t>DELAVAN POLICE DEPARTMENT REQUEST FOR USE BY DELAVAN POLICE OFFICERS THIS SERVER CABINET TO SECURELY HOUSE NETWORK, COMMUNICATIONS, AND DATA EQUIPMENT SUPPORTING EMERGENCY OPERATIONS AND DAILY LAW ENFORCEMENT FUNCTIONS. THIS EQUIPMENT WILL PROTECT CRITICAL INFRASTRUCTURE, IMPROVE ORGANIZATION AND RELIABILITY, AND ENHANCE CONTINUITY OF OPERATIONS DURING DISASTERS OR CRITICAL INCIDENTS.</t>
  </si>
  <si>
    <t xml:space="preserve">
Sales Order #: 2285179877
RTD Screening Code: DOD
Reason for Rejection: Y9</t>
  </si>
  <si>
    <t>2YTC8P60654954</t>
  </si>
  <si>
    <t>DELAVAN POLICE DEPARTMENT REQUEST FOR USE BY DELAVAN POLICE OFFICERS THIS ALL-TERRAIN FORK TRUCK TO SUPPORT DISASTER RESPONSE, CRITICAL INCIDENT OPERATIONS, AND LOGISTICS MANAGEMENT. THIS EQUIPMENT WILL ALLOW OFFICERS TO SAFELY MOVE PALLETS OF SUPPLIES, BARRIERS, GENERATORS, AND HEAVY EQUIPMENT ACROSS UNEVEN OR DEBRIS-COVERED TERRAIN, IMPROVING EFFICIENCY, SAFETY, AND RAPID DEPLOYMENT DURING EMERGENCIES.</t>
  </si>
  <si>
    <t xml:space="preserve">
Sales Order #: 2285178150
RTD Screening Code: DOD
Reason for Rejection: Y9</t>
  </si>
  <si>
    <t>2YTC8P60654953</t>
  </si>
  <si>
    <t>THE DELAVAN POLICE DEPARTMENT IS REQUESTING HALLIGAN TOOLS TO EQUIP EACH PATROL VEHICLE. THESE TOOLS WILL BE USED BY DELAVAN POLICE OFFICERS FOR EMERGENCY ACCESS, RESCUE OPERATIONS, AND OFFICER SAFETY DURING CALLS FOR SERVICE. ISSUING ONE TOOL PER SQUAD ENHANCES RAPID RESPONSE CAPABILITIES, REDUCES RELIANCE ON OUTSIDE RESOURCES, AND ENSURES OFFICERS CAN SAFELY ADDRESS FORCED ENTRY OR RESCUE SITUATIONS WHEN TIME IS CRITICAL.</t>
  </si>
  <si>
    <t xml:space="preserve">
Sales Order #: 2285176997
RTD Screening Code: DOD
Reason for Rejection: Y9</t>
  </si>
  <si>
    <t>2YTC8P60654395</t>
  </si>
  <si>
    <t>THIS VEHICLE WOULD BE USED BY POLICE OFFICERS OF THE DELAVAN POLICE DEPARTMENT FOR PATROL OPERATIONS AND COMMAND OPERATIONS. IT WOULD ALSO BE USED FOR DAILY PATROL OPERATIONS, ACT AS A SPARE VEHICLE FOR SPECIAL EVENTS, AND BE USED BY POLICE OFFICERS TO TRAVEL FOR TRAINING, PROVIDING A MUCH-NEEDED RESOURCE OUR DEPARTMENT LACKS CURRENTLY.</t>
  </si>
  <si>
    <t xml:space="preserve">
Sales Order #: 2285178166
RTD Screening Code: DOD
Reason for Rejection: Y9</t>
  </si>
  <si>
    <t>2YTC8P60654387</t>
  </si>
  <si>
    <t xml:space="preserve">
Sales Order #: 2285178972
RTD Screening Code: DOD
Reason for Rejection: YH</t>
  </si>
  <si>
    <t>2YTC8P60654386</t>
  </si>
  <si>
    <t>THIS VEHICLE WOULD BE USED BY THE DELAVAN POLICE DEPARTMENT FOR SPECIAL OPERATIONS AS WELL AS HAULING FOUND PROPERTY.  THIS WOULD ALSO TRANSPORT THE POLICE RADAR TRAILER AS WELL AS ACT A SPARE VEHICLE FOR SPECIAL EVENTS AND USED BY DELAVAN POLICE OFFICERS TO TRAVEL FOR TRAINING PROVIDING A MUCH NEEDED RESOURCE OUR DEPARTMENT LACKS CURRENTLY.</t>
  </si>
  <si>
    <t xml:space="preserve">
Sales Order #: 2285177008
RTD Screening Code: DOD
Reason for Rejection: Y9</t>
  </si>
  <si>
    <t>2YTC8P60654384</t>
  </si>
  <si>
    <t>THIS VEHICLE WOULD BE USED BY POLICE OFFICERS OF THE DELAVAN POLICE DEPARTMENT FOR SPECIAL OPERATIONS.  THIS WOULD BE USED FOR SPECIAL EVENTS AS WELL AS SEARCH AND RESCUE OPERATIONS.  PROVIDING A MUCH NEEDED RESOURCE OUR DEPARTMENT LACKS CURRENTLY.</t>
  </si>
  <si>
    <t xml:space="preserve">
Sales Order #: 2283623334
RTD Screening Code: DOD
Reason for Rejection: Y9</t>
  </si>
  <si>
    <t>2YTC8P60513075</t>
  </si>
  <si>
    <t xml:space="preserve">
Sales Order #: 2283623347
RTD Screening Code: DOD
Reason for Rejection: Y9</t>
  </si>
  <si>
    <t>2YTC8P60513074</t>
  </si>
  <si>
    <t>THE DELAVAN POLICE DEPARTMENT IS REQUESTING A MOWER TO SUPPORT DEPARTMENT OPERATIONS AND OFFICER SAFETY. THE MOWER WILL BE USED BY POLICE OFFICERS TO MAINTAIN POLICE PROPERTY, FACILITIES, AND THE POLICE TRAINING RANGE, ENSURING CLEAR VISIBILITY, SAFE ACCESS, AND HAZARD REDUCTION. PROPER GROUNDS MAINTENANCE SUPPORTS SECURE TRAINING ENVIRONMENTS AND PUBLIC SAFETY OPERATIONS.</t>
  </si>
  <si>
    <t xml:space="preserve">
Sales Order #: 2283507442
RTD Screening Code: DOD
Reason for Rejection: Y9</t>
  </si>
  <si>
    <t>2YTC8P60513073</t>
  </si>
  <si>
    <t>THE DELAVAN POLICE DEPARTMENT IS REQUESTING A THERMAL IMAGING DEVICE TO SUPPORT PATROL AND OPERATIONAL FUNCTIONS. THE THERMAL OPTIC WILL BE USED DURING SEARCHES FOR MISSING PERSONS, SUSPECT DETECTION, PERIMETER SECURITY, AND LOW-VISIBILITY INCIDENTS TO ENHANCE SITUATIONAL AWARENESS AND OFFICER SAFETY. THIS EQUIPMENT ALLOWS DETECTION WITHOUT DIRECT CONTACT AND WILL BE INVENTORIED AND USED SOLELY FOR LAW ENFORCEMENT PURPOSES.</t>
  </si>
  <si>
    <t xml:space="preserve">
Sales Order #: 2283507450
RTD Screening Code: DOD
Reason for Rejection: Y9</t>
  </si>
  <si>
    <t>2YTC8P60513070</t>
  </si>
  <si>
    <t xml:space="preserve">DELAVAN POLICE OFFICERS AT DELAVAN POLICE DEPARTMENT WOULD RELY ON THESE LAPTOPS FOR A RANGE OF CRITICAL FUNCTIONS, INCLUDING CONDUCTING THOROUGH INVESTIGATIONS, MANAGING EMERGENCY RESPONSE PLANNING, AND ENGAGING IN ONGOING TRAINING. THESE DEVICES PROVIDE OFFICERS WITH ACCESS TO ESSENTIAL TOOLS, SOFTWARE, AND RESOURCES, ENABLING THEM TO ANALYZE DATA, DEVELOP RESPONSE STRATEGIES, AND IMPROVE READINESS FOR VARIOUS SCENARIOS, ENSURING PUBLIC SAFETY AND OPERATIONAL EFFECTIVENESS.
</t>
  </si>
  <si>
    <t xml:space="preserve">
Sales Order #: 2283631636
RTD Screening Code: DOD
Reason for Rejection: Y9</t>
  </si>
  <si>
    <t>COMPUTER SYSTEMS LAPTOP</t>
  </si>
  <si>
    <t>DSLAPTOPS</t>
  </si>
  <si>
    <t>2YTC8P60513064</t>
  </si>
  <si>
    <t>THE DELAVAN POLICE DEPARTMENT IS REQUESTING BINOCULARS TO SUPPORT DELAVAN POLICE OFFICERS FOR PATROL AND OPERATIONAL FUNCTIONS. BINOCULARS WILL BE USED FOR OBSERVATION DURING CALLS FOR SERVICE, SEARCH OPERATIONS, TRAFFIC CONTROL, AND INCIDENT RESPONSE TO IMPROVE SITUATIONAL AWARENESS AND OFFICER SAFETY. THIS EQUIPMENT ENHANCES VISUAL ASSESSMENT AT A DISTANCE WITHOUT PHYSICAL ENGAGEMENT AND WILL BE INVENTORIED AND USED SOLELY FOR LAW ENFORCEMENT PURPOSES.</t>
  </si>
  <si>
    <t xml:space="preserve">
Sales Order #: 2283631637
RTD Screening Code: DOD
Reason for Rejection: Y9</t>
  </si>
  <si>
    <t>2YTC8P60443069</t>
  </si>
  <si>
    <t xml:space="preserve">
Sales Order #: 2283276113
Reason for Rejection: YG</t>
  </si>
  <si>
    <t>2YTC8P60443067</t>
  </si>
  <si>
    <t>THE DELAVAN POLICE DEPARTMENT IS REQUESTING A DISK DRIVE UNIT TO MAINTAIN AND STABILIZE EXISTING SERVER INFRASTRUCTURE USED FOR RECORDS MANAGEMENT, DIGITAL EVIDENCE STORAGE, AND SECURE OPERATIONAL DATA. CURRENT STORAGE IS AT CAPACITY AND NEARING END OF SERVICE LIFE, CREATING RISK OF DATA LOSS AND SYSTEM INTERRUPTION. THIS REQUEST IS FOR REPLACEMENT AND CONTINUITY OF OPERATIONS ONLY, WITH NO SYSTEM EXPANSION. EQUIPMENT WILL REMAIN INVENTORIED AND USED SOLELY FOR LAW ENFORCEMENT PURPOSES.</t>
  </si>
  <si>
    <t xml:space="preserve">
Sales Order #: 2283631624
RTD Screening Code: DOD
Reason for Rejection: Y9</t>
  </si>
  <si>
    <t>2YTC8P60443065</t>
  </si>
  <si>
    <t xml:space="preserve">THE DELAVAN POLICE DEPARTMENT REQUESTS SERVER EQUIPMENT TO ENHANCE AND SUPPORT THE CRITICAL INFRASTRUCTURE OF THE DEPARTMENT FOR POLICE OFFICERS. THIS EQUIPMENT IS ESSENTIAL FOR MAINTAINING SECURE, EFFICIENT OPERATIONS AND ENSURING THE RELIABILITY OF OUR NETWORK SYSTEMS, WHICH ARE VITAL FOR LAW ENFORCEMENT ACTIVITIES AND THE SAFETY OF OUR COMMUNITY. LISTED AS WORKSTATIONS BUT PRODUCT CODE SHOWS TOWER SERVERS.
</t>
  </si>
  <si>
    <t xml:space="preserve">
Sales Order #: 2283323223
RTD Screening Code: DOD
Reason for Rejection: Y9</t>
  </si>
  <si>
    <t>2YTC8P60442900</t>
  </si>
  <si>
    <t xml:space="preserve">
Sales Order #: 2282522540
RTD Screening Code: DOD
Reason for Rejection: Y9</t>
  </si>
  <si>
    <t>2YTC8P60372027</t>
  </si>
  <si>
    <t>THE DELAVAN POLICE DEPARTMENT URGENTLY NEEDS A NEW GENERATOR TO REPLACE ITS OUTDATED 1977 BACKUP UNIT, WHICH HAS EXCEEDED ITS LIFE CYCLE. DUE TO FINANCIAL CONSTRAINTS, THE DEPARTMENT CANNOT AFFORD TO PURCHASE A NEW ONE. A RELIABLE GENERATOR IS CRITICAL TO MAINTAINING OPERATIONS DURING POWER FAILURES, ENSURING THE SAFETY AND SECURITY OF THE COMMUNITY.</t>
  </si>
  <si>
    <t xml:space="preserve">
Sales Order #: 2273684179
Reason for Rejection: YF</t>
  </si>
  <si>
    <t>2YTC8P60020000</t>
  </si>
  <si>
    <t>THESE WOULD GREATLY BENEFIT OUR SWAT AND SNIPER TEAMS WITH OBSERVATION AND SURVEILLANCE PRIOR TO EXECUTING SEARCH WARRANTS OR VARIOUS OTHER LAW ENFORCEMENT MISSIONS.</t>
  </si>
  <si>
    <t xml:space="preserve">
Sales Order #: 2283529122
RTD Screening Code: DOD
Reason for Rejection: Y9</t>
  </si>
  <si>
    <t>2YTC8B60442867</t>
  </si>
  <si>
    <t>DEKALB COUNTY SHERIFF OFFICE (2YTC8B)</t>
  </si>
  <si>
    <t>THIS ITEM IS BEING REQUESTED FOR LAW ENFORCEMENT USE ONLY. THESE LIGHT TOWERS WILL BE USED BY POLICE OFFICERS IN THE EVENT OF AN EMERGENCY WHERE ADDITION LIGHTING OF A SCENE WILL BE NEEDED. THEY WILL ALSO BE USED BY LAW ENFORCEMENT OFFICERS DURING SPECIAL EVENTS FOR THE SAFETY OF THE PUBLIC</t>
  </si>
  <si>
    <t xml:space="preserve">
Sales Order #: 2285872646
RTD Screening Code: DOD
Reason for Rejection: Y9</t>
  </si>
  <si>
    <t>2YTC6Y60866157</t>
  </si>
  <si>
    <t>THIS ITEM IS BEING REQUESTED FOR LAW ENFORCEMENT USE ONLY. POLICE OFFICERS WILL BE USING THIS VEHICLE TO TRANSPORT POLICE EQUIPMENT TO EMERGENCY SCENES. POLICE OFFICERS WILL ALSO USE THIS VEHICLE DURING EXTREME WEATHER TO ANSWER EMERGENCY CALLS FOR SERVICE.</t>
  </si>
  <si>
    <t xml:space="preserve">
Sales Order #: 2285347995
RTD Screening Code: GSA
Reason for Rejection: YG</t>
  </si>
  <si>
    <t>2YTC6Y60795825</t>
  </si>
  <si>
    <t xml:space="preserve">
Sales Order #: 2283314646
RTD Screening Code: DOD
Reason for Rejection: Y9</t>
  </si>
  <si>
    <t>2YTC6Y60372487</t>
  </si>
  <si>
    <t>THIS ITEM IS BEING REQUESTED FOR LAW ENFORCEMENT USE ONLY. OFFICERS WILL USED THESE APRONS WHEN CLEANING WEAPONS AND DEALING WITH EVIDENCE.</t>
  </si>
  <si>
    <t>2YTC6Y60322494</t>
  </si>
  <si>
    <t>THIS ITEM IS BEING REQUESTED FOR LAW ENFORCEMENT USE ONLY. OFFICERS WILL USED THIS ITEMS TO KEEP UP THEIR HYGIENE WHILE UTILIZING THE LOCKER ROOM AT HEADQUARTERS.</t>
  </si>
  <si>
    <t>2YTC6Y60322493</t>
  </si>
  <si>
    <t>THIS ITEM IS BEING REQUESTED FOR LAW ENFORCEMENT USE ONLY. POLICE OFFICERS WILL USE THESE SHELFS TO STORE FILES AND MISC EQUIPMENT.</t>
  </si>
  <si>
    <t>2YTC6Y60301724</t>
  </si>
  <si>
    <t>THIS ITEM IS BEING REQUESTED FOR LAW ENFORCEMENT ONLY. THESE WARDROBES WILL BE USED BY OFFICERS TO STORE UNIFORMS AND OTHER POLICE RELATED ITEMS</t>
  </si>
  <si>
    <t xml:space="preserve">
Sales Order #: 2282170017
RTD Screening Code: DOD
Reason for Rejection: YG</t>
  </si>
  <si>
    <t>WARDROBE,TRADITIONAL</t>
  </si>
  <si>
    <t>2YTC6Y60231728</t>
  </si>
  <si>
    <t>THIS ITEM IS BEING REQUESTED FOR LAW ENFORCEMENT USE ONLY. POLICE OFFICERS WILL USE THESE BOOTS DURING DAILY PATROL AND TRAINING.</t>
  </si>
  <si>
    <t>2YTC6Y60231727</t>
  </si>
  <si>
    <t>TO BE USED BY DANVILLE POLICE DURING TRAINING AND TACTICAL OPERATIONS TO PREVENT SERIOUS INJURY OR LOSS OF LIFE IN A PRE-HOSPITAL ENVIRONMENT.</t>
  </si>
  <si>
    <t xml:space="preserve">
Sales Order #: 2285308415
RTD Screening Code: DOD
Reason for Rejection: Y9</t>
  </si>
  <si>
    <t>2YTC4G60725762</t>
  </si>
  <si>
    <t>TO BE USED BY DANVILLE POLICE FOR MAINTENANCE AND OTHER EQUIPMENT REPAIRS AND UP KEEP.</t>
  </si>
  <si>
    <t xml:space="preserve">
Sales Order #: 2285155684
RTD Screening Code: DOD
Reason for Rejection: Y9</t>
  </si>
  <si>
    <t>2YTC4G60725442</t>
  </si>
  <si>
    <t>TO BE USED BY DANVILLE POLICE TO TRANSPORT AND PROTECT EQUIPMENT AND UNIFORMS USED FOR TACTICAL OR REMOTE OPERATIONS.</t>
  </si>
  <si>
    <t xml:space="preserve">
Sales Order #: 2285165247
RTD Screening Code: DOD
Reason for Rejection: Y9</t>
  </si>
  <si>
    <t>2YTC4G60725441</t>
  </si>
  <si>
    <t>TO BE USED BY DANVILLE POLICE AS REPLACEMENT DIGITAL INFORMATION ACCESS TERMINALS BOTH IN THE PATROL VEHICLES AND ON STATION.</t>
  </si>
  <si>
    <t>2YTC4G60513175</t>
  </si>
  <si>
    <t>TO BE USED BY DANVILLE POLICE AS SUPPLEMENTAL UNIFORM EQUIPMENT IN COLD OR DAMP WEATHER TO PREVENT ENVIRONMENTAL INJURY OR ILLNESS.</t>
  </si>
  <si>
    <t xml:space="preserve">
Sales Order #: 2283344028
RTD Screening Code: DOD
Reason for Rejection: Y9</t>
  </si>
  <si>
    <t>2YTC4G60442747</t>
  </si>
  <si>
    <t xml:space="preserve">
Sales Order #: 2283347230
RTD Screening Code: DOD
Reason for Rejection: Y9</t>
  </si>
  <si>
    <t>2YTC4G60442746</t>
  </si>
  <si>
    <t>TO BE USED BY DANVILLE POLICE AS SUPPLEMENTARY FOOTWEAR DURING TRAINING AND TACTICAL OPERATIONS.</t>
  </si>
  <si>
    <t xml:space="preserve">
Sales Order #: 2281305473
RTD Screening Code: DON
Reason for Rejection: Y9</t>
  </si>
  <si>
    <t>2YTC4G60301627</t>
  </si>
  <si>
    <t>TO BE USED BY DANVILLE POLICE STAFF TO MAINTAIN, CONSTRUCT OR REPAIR EQUIPMENT, MACHINERY OR VEHICLES NEEDED TO ENSURE THE POLICE DEPARTMENT IS OPERATIONAL AND SAFE AT ALL TIMES.</t>
  </si>
  <si>
    <t xml:space="preserve">
Sales Order #: 2281060172
RTD Screening Code: DOD
Reason for Rejection: Y9</t>
  </si>
  <si>
    <t>2YTC4G60160419</t>
  </si>
  <si>
    <t>DALE COUNTY SHERIFF'S OFFICE IS REQUESTING THIS VEHICLE FOR OUR DEPUTIES TO USE FOR RESPONDING TO CRIME SCENES AND OTHER CRITICAL INCIDENTS. I WILL BE USED TO TRANSPORT EVIDENCE, PERSONNEL, AND EQUIPMENT.</t>
  </si>
  <si>
    <t xml:space="preserve">
Sales Order #: 2285872675
RTD Screening Code: DOD
Reason for Rejection: Y9</t>
  </si>
  <si>
    <t>2YTC2860866256</t>
  </si>
  <si>
    <t>DALE COUNTY SHERIFF OFFICE (2YTC28)</t>
  </si>
  <si>
    <t xml:space="preserve">
Sales Order #: 2285872656
RTD Screening Code: DOD
Reason for Rejection: Y9</t>
  </si>
  <si>
    <t>2YTC2860866255</t>
  </si>
  <si>
    <t>THE DALE COUNTY SHERIFF'S OFFICE IS REQUESTING THIS VEHICLE FOR OUR DEPUTIES TO CONVERT AND USE AS AN SRT VEHICLE. IT WILL RESPOND TO HAZARDOUS SITUATIONS CARRYING NEED GEAR</t>
  </si>
  <si>
    <t xml:space="preserve">
Sales Order #: 2285179847
RTD Screening Code: DOD
Reason for Rejection: Y9</t>
  </si>
  <si>
    <t>2YTC2860654311</t>
  </si>
  <si>
    <t>THE DALE COUNTY SHERIFF'S OFFICE IS REQUESTING THIS TRAILER TO BECOME OUR NEW MOBILE COMMAND CENTER. OUR DEPUTIES WILL USE TIT RESPOND TO CRIME SCENES, NATURAL DISASTERS AND OTHER INCIDENTS. WE CURRENTLY HAVE NO OPERATIONAL MOBILE COMMAND CENTER.</t>
  </si>
  <si>
    <t xml:space="preserve">
Sales Order #: 2285178966
RTD Screening Code: DOD
Reason for Rejection: Y9</t>
  </si>
  <si>
    <t>2YTC2860654310</t>
  </si>
  <si>
    <t>THE DALE COUNTY SHERIFF'S OFFICE IS REQUESTING THIS CART FOR OUR DEPUTIES TO PATROL SPECIAL EVENTS LIKE THE COUNTY FAIR, AND RODEOS. IT WILL ALSO BE USED FOR SEARCH AND RESCUE AND AVIATION GROUND SUPPORT. THANK YOU</t>
  </si>
  <si>
    <t xml:space="preserve">
Sales Order #: 2283369337
RTD Screening Code: DOD
Reason for Rejection: Y9</t>
  </si>
  <si>
    <t>2YTC2860513083</t>
  </si>
  <si>
    <t xml:space="preserve">
Sales Order #: 2283369339
RTD Screening Code: DOD
Reason for Rejection: Y9</t>
  </si>
  <si>
    <t>2YTC2860513082</t>
  </si>
  <si>
    <t>CCSO, WOULD REQUEST THESE ITEMS TO SUPPLEMENT OUR UNIFORMS FOR BOTH NEW, OLD AND RESERVE DEPUTIES.
THANK YOU</t>
  </si>
  <si>
    <t>2YTC2B60937273</t>
  </si>
  <si>
    <t>CCSO, WOULD REQUEST THIS CONTAINER FOR THE PURPOSE OF STORING SENSITIVE ITEM RELATED TO LAW ENFORCEMENT WORK, SUCH AS EVIDENCE, WEAPONS ECT.
THANK YOU</t>
  </si>
  <si>
    <t>CONTAINER,FREIGHT,S</t>
  </si>
  <si>
    <t>2YTC2B60937258</t>
  </si>
  <si>
    <t>CCSO, WOULD REQUEST THIS FORK LIFT FOR THE PURPOSE OF LOADING AND UNLOADING MANY OF THE ITEMS THAT WE RECEIVE FROM DLA, THIS WOULD BE A GREAT  ASSET FOR OUR OFFICE AS MATERIAL HANDLING HAS BECOME A HUGE ISSUE FOR OUR OFFICE. THANK YOU</t>
  </si>
  <si>
    <t xml:space="preserve">
Sales Order #: 2285369339
RTD Screening Code: DOD
Reason for Rejection: Y9</t>
  </si>
  <si>
    <t>2YTC2B60795756</t>
  </si>
  <si>
    <t>CCSO, WOULD REQUEST THIS TRAILER FOR THE EXPRESS PURPOSE OF STORAGE AND TRANSPORTATION OF OUR BOMB ROBOT, WE HAVE BEEN IN NEED OF A TRAILER FOR ROBOT SINCE ACQUIRING THIS ITEM FROM DLA, SINCE LATE LEST YEAR. THIS TRAILER WOULD ALLOW FOR ROBOT STORAGE AND A COMMAND AREA TO BE DEPLOYED STRAIGHT FROM THE TRAILER DURING TRAINING AND ACTUAL THREATS. 
THANK YOU</t>
  </si>
  <si>
    <t>2YTC2B60795752</t>
  </si>
  <si>
    <t>CCSO, WOULD REQUEST THESE CASES FOR USE BY OUR OFFICE AND DEPUTIES FOR THE STORAGE AND HANDLING OF IMPORTANT ITEMS SUCH AS WEAPONS OPTICAL SIGHTS DRUG TESTING KIT AND OTHER ITEMS THAT NEED A SAFE AND SECURE WAY OF BEING MOVED.
THANK YOU</t>
  </si>
  <si>
    <t xml:space="preserve">
Sales Order #: 2285369366
RTD Screening Code: DOD
Reason for Rejection: Y9</t>
  </si>
  <si>
    <t>2YTC2B60795741</t>
  </si>
  <si>
    <t>CCSO, WOULD REQUEST THIS ITEM FOR THE PURPOSE OF LANDSCAPING OUR NEW RANGE FACILITY AND GROUNDS. OUR NEW RANGE FIREARMS WILL BE USED BY OTHER INTERSTATE GROUPS FOR BASIC AND ADVANCED TRAINING IN CQB AND LONG RANGE SNIPER AND COUNTER SNIPER CLASSES. THIS ITEM WILL HELP IN THE PLANTING AND FEEDING LARGE GRASSY AREAS.
THANK YOU</t>
  </si>
  <si>
    <t xml:space="preserve">
Sales Order #: 2285369347
RTD Screening Code: DOD
Reason for Rejection: YG</t>
  </si>
  <si>
    <t>2YTC2B60725554</t>
  </si>
  <si>
    <t>CCSO, WOULD REQUEST THIS PRESSURE WASHER FOR THE CLEANING OF OUR VEHICLES AND EQUIPMENT THAT HAVE A HIGH EXPOSURE TO THE ELEMENTS.
THANK YIOU</t>
  </si>
  <si>
    <t xml:space="preserve">
Sales Order #: 2285178133
RTD Screening Code: DOD
Reason for Rejection: YG</t>
  </si>
  <si>
    <t>2YTC2B60654631</t>
  </si>
  <si>
    <t>CCSO, WOULD REQUEST THIS OFF-ROAD VEHICLE FOR USE BY OUR DEPUTIES FOR THE PURPOSE OF OFF ROAD PATROLLING AND SEARCH AND RESCUE MISSIONS. THIS SORT OF VEHICLE IS IMPORTANT TO A REMOTE COUNTY SHERIFF'S OFFICE SUCH AS OURS.
THANK YOU</t>
  </si>
  <si>
    <t xml:space="preserve">
Sales Order #: 2283509578
RTD Screening Code: DOD
Reason for Rejection: YG</t>
  </si>
  <si>
    <t>2YTC2B60654254</t>
  </si>
  <si>
    <t>CCSO, WOULD REQUEST THIS ITEM FOR OUR OFFICE TO BE USED BY OUR SPECIAL OPERATIONS TEAM MEMBERS DURING NIGH TIME OR LOW LIGHT OPERATIONS.
THANK YOU</t>
  </si>
  <si>
    <t xml:space="preserve">
Sales Order #: 2283317326
RTD Screening Code: DOD
Reason for Rejection: YG</t>
  </si>
  <si>
    <t>2YTC2B60372247</t>
  </si>
  <si>
    <t xml:space="preserve">
Sales Order #: 2283347240
RTD Screening Code: DOD
Reason for Rejection: YG</t>
  </si>
  <si>
    <t>2YTC2B60372246</t>
  </si>
  <si>
    <t>2YTC2B60372244</t>
  </si>
  <si>
    <t xml:space="preserve">
Sales Order #: 2283347238
RTD Screening Code: DOD
Reason for Rejection: YG</t>
  </si>
  <si>
    <t>2YTC2B60372241</t>
  </si>
  <si>
    <t xml:space="preserve">
Sales Order #: 2283317330
RTD Screening Code: DOD
Reason for Rejection: YG</t>
  </si>
  <si>
    <t>2YTC2B60372238</t>
  </si>
  <si>
    <t xml:space="preserve">
Sales Order #: 2283347239
RTD Screening Code: DOD
Reason for Rejection: YG</t>
  </si>
  <si>
    <t>2YTC2B60372232</t>
  </si>
  <si>
    <t xml:space="preserve">
Sales Order #: 2283317328
RTD Screening Code: DOD
Reason for Rejection: YG</t>
  </si>
  <si>
    <t>2YTC2B60372227</t>
  </si>
  <si>
    <t xml:space="preserve">
Sales Order #: 2283347234
RTD Screening Code: DOD
Reason for Rejection: YG</t>
  </si>
  <si>
    <t>2YTC2B60372226</t>
  </si>
  <si>
    <t>CCSO, WOULD REQUEST THIS VEHICLE FOR USE BY OUR OFFICE FOR  DAILY ACTIVITIES AND MAINTENANCE, WITH THE PRICE OF PURCHASING AND EQUIPPING A VEHICLE FOR LAW ENFORCEMENT DUTIES. USED VEHICLES BECOME A BETTER WAY FOR SMALL COUNTY SHERIFF'S OFFICE SUCH AS OURS TO OPERATE. 
THANK YOU</t>
  </si>
  <si>
    <t>2YTC2B60303956</t>
  </si>
  <si>
    <t>CCSO, WOULD REQUEST THIS VEHICLE FOR USE BY OUR OFFICE FOR PATROL, PRISONER TRANSPORT AND DAILY ACTIVITIES, WITH THE PRICE OF PURCHASING AND EQUIPPING A VEHICLE FOR LAW ENFORCEMENT DUTIES. USED VEHICLES BECOME A BETTER WAY FOR SMALL COUNTY SHERIFF'S OFFICE SUCH AS OURS TO OPERATE. 
THANK YOU</t>
  </si>
  <si>
    <t>2YTC2B60303954</t>
  </si>
  <si>
    <t>CCSO, WOULD REQUEST THESE NIGHT VISION SCOPES FOR USE BY OUR SNIPER TEAM MEMBERS FOR USE IN LOW LIGHT, NIGHT TIME OPERATIONS.
THANK YOU</t>
  </si>
  <si>
    <t xml:space="preserve">
Sales Order #: 2280836003
RTD Screening Code: DOD
Reason for Rejection: BQ</t>
  </si>
  <si>
    <t>2YTC2B60301736</t>
  </si>
  <si>
    <t>CCSO,  WOULD REQUEST THIS NIGHT VISION SCOPE FOR USE BY OUR SNIPER TEAM MEMBERS FOR USE IN NIGHT, LOW LIGHT OPERATIONS.
THANK YOU</t>
  </si>
  <si>
    <t xml:space="preserve">
Sales Order #: 2282173959
RTD Screening Code: DOD
Reason for Rejection: YH</t>
  </si>
  <si>
    <t>2YTC2B60301733</t>
  </si>
  <si>
    <t>CCSO, WOULD REQUEST THIS VEHICLE TO REPURPOSE INTO A PATROL VEHICLE FOR OUR DAILY NEEDS, TO BE DRIVEN BY OUR DEPUTIES IN PATROL AND SUPERVISORS. 
THANK YOU</t>
  </si>
  <si>
    <t xml:space="preserve">
Sales Order #: 2282173970
RTD Screening Code: DOD
Reason for Rejection: Y9</t>
  </si>
  <si>
    <t>2YTC2B60301357</t>
  </si>
  <si>
    <t>CCSO, WOULD REQUEST THESE GLOVES TO BE WORN BY OUR DEPUTIES AND OFFICE PERSONAL, OUR OFFICE IN LOCATED IN A HIGH MOUNTAIN AREA AND WITH TEMPERATURES SOMETIMES REACHING -30 DEGREES GLOVES ARE A NECESSITY FOR OUR PERSONAL.
THANK YOU</t>
  </si>
  <si>
    <t>GLOVES,MEN'S AND WOMEN'S</t>
  </si>
  <si>
    <t>2YTC2B60301345</t>
  </si>
  <si>
    <t>CCSO, WOULD REQUEST THESE SEDANS FOR THE PURPOSE OF THEM BECOMING UNDERCOVER VEHICLES OR MARKED PATROL CARS. OUR OFFICE IS IN GREAT NEED OF VEHICLES, DUE TO THE EVER-RISING COST OF A PATROL CAR AND HAVING IT OUT FITTED WITH LIGHTS AND RADIOS IT HAS BECOME NECESSARY FOR OUR OFFICE TO LOOK AT USED CARS AND TRUCKS FOR OUR FLEET.
THANK YOU</t>
  </si>
  <si>
    <t xml:space="preserve">
Sales Order #: 2280836006
RTD Screening Code: DOD
Reason for Rejection: Y9</t>
  </si>
  <si>
    <t>2YTC2B60301330</t>
  </si>
  <si>
    <t xml:space="preserve">
Sales Order #: 2280835999
RTD Screening Code: DOD
Reason for Rejection: Y9</t>
  </si>
  <si>
    <t>2YTC2B60301329</t>
  </si>
  <si>
    <t xml:space="preserve">
Sales Order #: 2280835996
RTD Screening Code: DOD
Reason for Rejection: Y9</t>
  </si>
  <si>
    <t>2YTC2B60301327</t>
  </si>
  <si>
    <t>CCSO, WOULD LIKE TO REQUEST THESE GENERATORS FOR USE BY OUR OFFICE DURING POWER OUTAGES AND OFFSITE OPERATIONS.
THANK YOU</t>
  </si>
  <si>
    <t>2YTC2B60231904</t>
  </si>
  <si>
    <t>CCSO,  WOULD REQUEST THESE TELESCOPES, FOR USE BY OUR SNIPER TEAM MEMBERS FOR THE PURPOSE OF DAILY USE AND TRAINING.
THANK YOU</t>
  </si>
  <si>
    <t xml:space="preserve">
Sales Order #: 2282173960
RTD Screening Code: DOD
Reason for Rejection: YH</t>
  </si>
  <si>
    <t>2YTC2B60231729</t>
  </si>
  <si>
    <t>CCSO, WOULD REQUEST THIS ITEM FOR USE BY OUR DEPUTIES FOR USUAL REASONS.
THANK YOU</t>
  </si>
  <si>
    <t>KNIFE, COMBAT</t>
  </si>
  <si>
    <t>2YTC2B60231120</t>
  </si>
  <si>
    <t>CCSO, WOULD REQUEST THIS TRAILER FOR USE BY OUR PERSONAL FOR DAILY OPERATIONS AND THE MOVING AND TRANSPORTATION OF ITEMS USED IN LAW ENFORCEMENT.
THANKS YOU</t>
  </si>
  <si>
    <t xml:space="preserve">
Sales Order #: 2282165828
RTD Screening Code: GSA
Reason for Rejection: YF</t>
  </si>
  <si>
    <t>2YTC2B60231118</t>
  </si>
  <si>
    <t>CCSO,  WOULD REQUEST THESE TRAILERS FOR USE BY OUR PERSONAL IN DAILY ACTIVITIES OF MOVING ITEMS AND EQUIPMENT THAT ARE NECESSARY FOR LAW ENFORCEMENT ACTIVES.
THANK YOU</t>
  </si>
  <si>
    <t>2YTC2B60231116</t>
  </si>
  <si>
    <t>CCSO, WOULD REQUEST THIS PRESSURE WASHER FOR THE REASON OF CLEANING OUR VEHICLES AND OTHER EQUIPMENT THAT ARE HEAVILY USED ON UNIMPROVED ROADS IN OUR COUNTY. KEEPING OUR EQUIPMENT CLEAN IS A HIGH PRIORITY FOR OUR PERSONAL.
THANK YOU</t>
  </si>
  <si>
    <t>2YTC2B60161123</t>
  </si>
  <si>
    <t>CCSO, WOULD LIKE TO REQUEST THESE GENERATOR'S FOR USE BY OUR OFFICE DURING INCLEMENT WEATHER WHEN WE SUFFER POWER OUTAGES IN OUR FACILITY AND OTHER ENTITIES THAT ARE CRUCIAL TO OUR COMMUNITY.
THANK YOU</t>
  </si>
  <si>
    <t xml:space="preserve">
Sales Order #: 2280971009
RTD Screening Code: DOD
Reason for Rejection: YG</t>
  </si>
  <si>
    <t>2YTC2B60029754</t>
  </si>
  <si>
    <t xml:space="preserve">
Sales Order #: 2280735301
RTD Screening Code: DOD
Reason for Rejection: YG</t>
  </si>
  <si>
    <t>2YTC2B60029753</t>
  </si>
  <si>
    <t>CCSO, WOULD REQUEST THESE SNOWMOBILES FOR OUR OFFICE FOR THE PURPOSE OF EQUIPPING OUR PERSONAL VEHICLES THAT COULD BE USED TO ACCESS AREAS OF OUR COUNTY DURING EXTREME WEATHER THAT CANNOT BE REACHED OTHERWISE.
THANK YOU</t>
  </si>
  <si>
    <t xml:space="preserve">
Sales Order #: 2280735289
RTD Screening Code: DOD
Reason for Rejection: YG</t>
  </si>
  <si>
    <t>2YTC2B53609499</t>
  </si>
  <si>
    <t>THIS ITEM WILL BE USED BY THE COOLIDGE POLICE DEPARTMENT. THIS ITEM WILL BE USED TO SERVICE THE POLICE DEPARTMENTS PATROL UNITS WHICH AID IN THE ENFORCEMENT AGAINST HUMAN TRAFFICKING, DRUG ENFORCEMENT AND RESPONDING TO CRITICAL INCIDENTS REGARDING PUBLIC SAFETY</t>
  </si>
  <si>
    <t xml:space="preserve">
Sales Order #: 2282334350
RTD Screening Code: DOD
Reason for Rejection: Y9</t>
  </si>
  <si>
    <t>2YTTAY60372030</t>
  </si>
  <si>
    <t>COOLIDGE PD (2YTTAY)</t>
  </si>
  <si>
    <t>THIS ITEM WILL BE USED ONLY BY THE COOLIDGE POLICE DEPARTMENT.
THIS ITEM WILL BE USED TO CONTROL DANGEROUS AND VIOLENT OFFENDERS WHEN BEING COMBATIVE.</t>
  </si>
  <si>
    <t>2YTTAY60302498</t>
  </si>
  <si>
    <t>THIS EQUIPMENT WILL BE USED FOR LAW ENFORCEMENT PURPOSES ONLY.  THE COMANCHE POLICE DEPARTMENT, OFTEN REQUIRE OFFICERS TO PERFORM PHYSICALLY DEMANDING TASKS SUCH AS PURSUING SUSPECTS, RESTRAINING INDIVIDUALS, AND ASSISTING INJURED PERSONS. ACCESS TO APPROPRIATE FITNESS EQUIPMENT WILL ALLOW OFFICERS TO MAINTAIN THE STRENGTH, ENDURANCE, AND OVERALL CONDITIONING NECESSARY TO SAFELY AND EFFECTIVELY PERFORM THEIR DUTIES AND ENHANCE OPERATIONAL READINESS IN SERVING THE COMMUNITY.</t>
  </si>
  <si>
    <t xml:space="preserve">
Sales Order #: 2285870160
RTD Screening Code: DOD
Reason for Rejection: Y9</t>
  </si>
  <si>
    <t>2YTTBX60866507</t>
  </si>
  <si>
    <t>COMANCHE PD (2YTTBX)</t>
  </si>
  <si>
    <t>THE COLUMBUS POLICE DEPARTMENT WILL ISSUE THESE GLASSES TO OFFICERS TO BE USED DURING TRAINING AND WHEN EYE PROTECTION IS NEEDED. PRIOR SETS OBTAINED HAVE BEEN A MIX OF USEABLE AND SEVERELY DAMAGED PREVENTING FULL ISSUANCE.</t>
  </si>
  <si>
    <t xml:space="preserve">
Sales Order #: 2286239154
RTD Screening Code: DOD
Reason for Rejection: Y9</t>
  </si>
  <si>
    <t>2YTCPL60936966</t>
  </si>
  <si>
    <t>THE COLUMBUS POLICE DEPARTMENT WILL USE THIS SYSTEM TO ASSIST IN SEARCH AND RESCUE AND HIGH RISK OPERATIONS THAT REQUIRE THE ABILITY TO PROVIDE REAL TIME DATA TO IMPROVE OPERATIONAL SECURITY. PRIOR UNITS RECEIVED WERE INOPERABLE AND WILL BE RETURNED ONCE THIS UNIT IS RECEIVED.</t>
  </si>
  <si>
    <t>2YTCPL60866101</t>
  </si>
  <si>
    <t>THE COLUMBUS POLICE DEPARTMENT WILL MAKE THESE UNITS AVAILABLE TO OFFICERS TO USE DURING DARKNESS OPERATIONS IN RURAL ENVIRONMENTS WHILE ASSISTING WITH SEARCH AND RESCUE AND HIGH RISK OPERATIONS. I HAVE REVIEWED THE INFORMATION AND ACCEPT THE UNITS IN THE DESCRIBED CONDITION.</t>
  </si>
  <si>
    <t xml:space="preserve">
Sales Order #: 2285810363
RTD Screening Code: DOD
Reason for Rejection: Y9</t>
  </si>
  <si>
    <t>2YTCPL60866097</t>
  </si>
  <si>
    <t>THE COLUMBUS POLICE DEPARTMENT WILL ISSUE THESE GLASSES TO OFFICERS TO BE USED DURING TRAINING AND CALL RESPONSE TO AID IN PROTECTION AND SAFETY OF THEIR EYES.</t>
  </si>
  <si>
    <t xml:space="preserve">
Sales Order #: 2285864901
RTD Screening Code: DOD
Reason for Rejection: Y9</t>
  </si>
  <si>
    <t>2YTCPL60866086</t>
  </si>
  <si>
    <t>THE COLUMBUS POLICE DEPARTMENT WILL USE THIS TRAILER TO STORE AND HAUL EQUIPMENT FOR RESPONSE TO NATURAL DISASTERS AND ACTIVE THREAT SITUATIONS WHERE SUCH EQUIPMENT WOULD BE NEEDED. PRIOR TRAILER RECEIVED HAD A DAMAGED REAR DOOR.</t>
  </si>
  <si>
    <t>2YTCPL60866084</t>
  </si>
  <si>
    <t>THE COLUMBUS POLICE DEPARTMENT WOULD USE THIS VESSEL TO ASSIST LOCAL AGENCIES DURING NATURAL DISASTER RESULTING IN EXCESSIVE WATER LEVELS THAT PREVENT ACCESS BY STANDARD MEANS.</t>
  </si>
  <si>
    <t>2YTCPL60866080</t>
  </si>
  <si>
    <t>THE COLUMBUS POLICE DEPARTMENT WILL USE THESE UNITS TO ENABLE OFFICERS TO SEARCH AREAS OF DARKNESS DURING SEARCH AND RESCUE OR ACTIVE THREAT CALLS IN RURAL AREAS. THESE WOULD BE USED HANDHELD.</t>
  </si>
  <si>
    <t xml:space="preserve">
Sales Order #: 2285761811
RTD Screening Code: DOD
Reason for Rejection: Y9</t>
  </si>
  <si>
    <t>2YTCPL60796061</t>
  </si>
  <si>
    <t>THE COLUMBUS POLICE DEPARTMENT WILL USE THIS THERMAL UNIT TO ASSIST IN SEARCHING RURAL AREAS WHEN VISIBILITY IS LIMITED OR A SUSPECT IS CONCEALED.</t>
  </si>
  <si>
    <t xml:space="preserve">
Sales Order #: 2285179429
RTD Screening Code: DOD
Reason for Rejection: Y9</t>
  </si>
  <si>
    <t>2YTCPL60724835</t>
  </si>
  <si>
    <t>THE COLUMBUS POLICE DEPARTMENT WILL USE THIS UTV TO ASSIST IN SEARCH AND RESCUE IN RURAL AREAS AND TO ASSIST IN AREAS EFFECTED BY NATURAL DISASTERS WHERE STANDARD VEHICLES CAN NOT TRAVEL. PRIOR MRZR HAD MECHANICAL ISSUES AND WAS NOT USEABLE.</t>
  </si>
  <si>
    <t xml:space="preserve">
Sales Order #: 2285179878
RTD Screening Code: DOD
Reason for Rejection: Y9</t>
  </si>
  <si>
    <t>2YTCPL60724821</t>
  </si>
  <si>
    <t>THE COLUMBUS POLICE DEPARTMENT WILL USE THIS TRAILER TO TRANSPORT EQUIPMENT FOR NATURAL DISASTERS AND PUBLIC EVENTS. PRIOR TRAILER OBTAINED WAS FOUND TO BE AIR BRAKES AND NON-USEABLE.</t>
  </si>
  <si>
    <t xml:space="preserve">
Sales Order #: 2285179432
RTD Screening Code: DOD
Reason for Rejection: Y9</t>
  </si>
  <si>
    <t>2YTCPL60654486</t>
  </si>
  <si>
    <t>THE COLUMBUS POLICE DEPARTMENT WILL USE THIS NIGHT VISION DEVICE TO ASSIST DURING SEARCH AND RESCUE OPERATIONS IN RURAL AND LOW LIGHT ENVIRONMENTS.</t>
  </si>
  <si>
    <t>2YTCPL60371936</t>
  </si>
  <si>
    <t xml:space="preserve">
Sales Order #: 2282550025
RTD Screening Code: DOD
Reason for Rejection: Y9</t>
  </si>
  <si>
    <t>2YTCPL60371935</t>
  </si>
  <si>
    <t>THE COLUMBUS POLICE DEPARTMENT WILL USE THIS UNIT TO SEARCH INACCESSIBLE AREAS WHEN SEARCHING FOR ACTIVE THREATS OR DURING SEARCH AND RESCUE. THIS DTID WAS PREVIOUSLY AWARDED HOWEVER THE SITE WAS UNABLE TO LOCATE THE ITEMS AND CANCELLED THE AWARD.</t>
  </si>
  <si>
    <t xml:space="preserve">
Sales Order #: 2278281864
Reason for Rejection: YG</t>
  </si>
  <si>
    <t>2YTCPL60230766</t>
  </si>
  <si>
    <t>THE COLUMBUS POLICE DEPARTMENT WILL USE THESE UTV'S TO ASSIST IN RURAL SEARCH AND RESCUE AND WHILE RESPONDING TO NATURAL DISASTERS AND AREAS OTHERWISE INACCESSIBLE BY VEHICLES. THESE WILL REPLACE OLD UNITS AND UNITS THAT WERE UNREPAIRABLE.</t>
  </si>
  <si>
    <t xml:space="preserve">
Sales Order #: 2279647082
RTD Screening Code: DOD
Reason for Rejection: Y9</t>
  </si>
  <si>
    <t>2YTCPL60029601</t>
  </si>
  <si>
    <t>THE COLUMBUS POLICE DEPARTMENT WILL USE THIS UAV TO ASSIST IN SEARCH AND RESCUE IN RURAL AREAS AND IN LOCATING ACTIVE THREATS THAT FLEE. THE COLUMBUS POLICE DEPARTMENT WAS ISSUED ONE PRIOR THAT IS INOP AND WILL BE RETURNED IN THE NEAR FUTURE.</t>
  </si>
  <si>
    <t xml:space="preserve">
Sales Order #: 2278844707
Reason for Rejection: YH</t>
  </si>
  <si>
    <t>2YTCPL53609181</t>
  </si>
  <si>
    <t>THE COLUMBUS POLICE DEPARTMENT WILL USE THIS REMOTE VEHICLE TO ASSIST WITH BUILDING SEARCHES DURING ACTIVE THREAT SITUATIONS AND SEARCH AND RESCUE EFFORTS.</t>
  </si>
  <si>
    <t xml:space="preserve">
Sales Order #: 2276868908
Reason for Rejection: YH</t>
  </si>
  <si>
    <t>2YTCPL52904503</t>
  </si>
  <si>
    <t>I WOULD LIKE TO UTILIZE THIS FORK LIFT TO MOVE LAW ENFORCEMENT INVENTORY AND SUPPLIES INSIDE OUR BAYS.  THANK YOU FOR YOUR TIME AND CONSIDERATION.</t>
  </si>
  <si>
    <t xml:space="preserve">
Sales Order #: 2278331088
RTD Screening Code: DOD
Reason for Rejection: YG</t>
  </si>
  <si>
    <t>2YTCPZ60231246</t>
  </si>
  <si>
    <t>THE COLUMBIA COUNTY SHERIFF'S OFFICE WILL USE THIS COMMAND VEHICLE TO SET UP A COMMAND POST AND MONITOR DEPUTIES AND RESOURCES WHILE RESPONDING TO ACTIVE THREAT SITUATIONS AND NATURAL DISASTERS. COLUMBIA COUNTY IS RURAL AND DOES NOT HAVE SUFFICIENT BUILDINGS TO BE WITHIN A REASONABLE DISTANCE ANY INCIDENT SITE.</t>
  </si>
  <si>
    <t>2YTCPD60442695</t>
  </si>
  <si>
    <t>COLUMBIA COUNTY SHERIFF DEPT (2YTCPD)</t>
  </si>
  <si>
    <t>THIS WOULD BE USED BY THE COLUMBIA COUNTY SHERIFF'S OFFICE IN WI. ITEM WOULD BE ISSUED TO OUR SWAT TEAM TO HELP ASSIST IN ACHIEVING THE SET MISSION. OUR SWAT TEAM RESPONDS TO ACTIVE THREATS, ACTIVE SHOOTERS, AND ASSISTS WITH CIVIL UNREST. OUR AREA IS HIGHLY RURAL AND HIGH PROBABILITY TO OPERATE IN DARKNESS.</t>
  </si>
  <si>
    <t xml:space="preserve">
Sales Order #: 2282334352
RTD Screening Code: DOD
Reason for Rejection: Y9</t>
  </si>
  <si>
    <t>2YTCPD60372085</t>
  </si>
  <si>
    <t>WE ARE A LAW ENFORCEMENT AGENCY AND PLAN TO USE THIS PROPERTY BY SWORN PERSONNEL ONLY.  WE CURRENTLY NEED THIS STORAGE AS WE ARE A SMALL AGENCY AND HAVE BUDGET CONSTRAINTS.</t>
  </si>
  <si>
    <t xml:space="preserve">
Sales Order #: 2276794732
RTD Screening Code: DOD
Reason for Rejection: YH</t>
  </si>
  <si>
    <t>2YTC0052764320</t>
  </si>
  <si>
    <t>COLONIAL HEIGHTS PD (2YTC00)</t>
  </si>
  <si>
    <t>THIS UNIT IS REQUESTED BY THE COLLETON COUNTY SHERIFF'S OFFICE FOR STRICT USE BY CCSO PERSONNEL TO PROTECT AND ASSIST AGENCY TACTICAL OPERATORS WHEN RESPONDING TO HIGH LEVEL THREAT SITUATIONS OR SEARCH AND RESCUE MISSIONS.</t>
  </si>
  <si>
    <t xml:space="preserve">
Sales Order #: 2280945818
RTD Screening Code: DOD
Reason for Rejection: YF</t>
  </si>
  <si>
    <t>2YTCN260169464</t>
  </si>
  <si>
    <t>COLLETON COUNTY SHERIFF OFFICE (2YTCN2)</t>
  </si>
  <si>
    <t>THE WINDOW IS REQUESTED BY THE COLLETON COUNTY SHERIFF'S OFFICE FOR STRICT USE BY CCSO LE PERSONNEL TO REPLACE OLDER DELAMINATED WINDOWS IN A M1123 ASSIGNED TO THE AGENCY'S TACTICAL SEARCH AND RESCUE UNIT.</t>
  </si>
  <si>
    <t xml:space="preserve">
Sales Order #: 2280751911
Reason for Rejection: YE</t>
  </si>
  <si>
    <t>WINDOW,VEHICULAR</t>
  </si>
  <si>
    <t>2YTCN253609413</t>
  </si>
  <si>
    <t xml:space="preserve">
Sales Order #: 2280676238
Reason for Rejection: YF</t>
  </si>
  <si>
    <t>2YTCN253609412</t>
  </si>
  <si>
    <t xml:space="preserve">
Sales Order #: 2280676236
Reason for Rejection: YF</t>
  </si>
  <si>
    <t>2YTCN253609410</t>
  </si>
  <si>
    <t xml:space="preserve">
Sales Order #: 2280751912
RTD Screening Code: DOD
Reason for Rejection: YF</t>
  </si>
  <si>
    <t>2YTCN253539414</t>
  </si>
  <si>
    <t>DEPUTIES AT THE COFFEE COUNTY SHERIFF'S OFFICE WILL USE THE ALL-TERRAIN VEHICLE TO PATROL OFF-ROAD AREAS AND RESPOND TO EMERGENCY CALLS WHERE ROUGH TERRAIN MUST BE TRAVERSED IN ORDER TO RENDER AID AND PROVIDE ASSISTANCE.</t>
  </si>
  <si>
    <t xml:space="preserve">
Sales Order #: 2283623353
RTD Screening Code: DOD
Reason for Rejection: Y9</t>
  </si>
  <si>
    <t>2YTCMM60513178</t>
  </si>
  <si>
    <t>DEPUTIES AT THE COFFEE COUNTY SHERIFF'S OFFICE WILL USE THE PICKUP TO TRANSPORT SEARCH AND RESCUE ALL-TERRAIN VEHICLES AND EMERGENCY RESPONSE EQUIPMENT DURING NATURAL DISASTERS. DETECTIVES WILL USE THE PICKUP DURING UNDERCOVER INVESTIGATIONS.</t>
  </si>
  <si>
    <t xml:space="preserve">
Sales Order #: 2282550015
RTD Screening Code: DOD
Reason for Rejection: Y9</t>
  </si>
  <si>
    <t>2YTCMM60372025</t>
  </si>
  <si>
    <t>THIS VEHICLE WOULD BE USED AS A MOBILE COMMAND POST FOR CRITICAL INCIDENTS IN OUR AREA.  IT WILL ALSO REPLACE THE PREVIOUS COMMAND POST THAT WAS DESTROYED IN A FIRE AT OUR DEPARTMENT.</t>
  </si>
  <si>
    <t>2YTCMH60442568</t>
  </si>
  <si>
    <t>THIS WOULD BE USED TO REPLACE ITEMS LOST IN A FIRE AT OUR POLICE DEPARTMENT FOR CROWD CONTROL</t>
  </si>
  <si>
    <t xml:space="preserve">
Sales Order #: 2271509863
RTD Screening Code: DOD
Reason for Rejection: YD</t>
  </si>
  <si>
    <t>2YTCMH60090090</t>
  </si>
  <si>
    <t>BORELIGHT REQUESTED BY COASTAL CAROLINA UNIVERSITY POLICE, TO BE USED BY CCUPD OFFICERS, FOR WEAPONS MAINTENANCE.</t>
  </si>
  <si>
    <t xml:space="preserve">
Sales Order #: 2273684201
Reason for Rejection: YG</t>
  </si>
  <si>
    <t>BORELIGHT SYSTEM,LASER</t>
  </si>
  <si>
    <t>2YTCLU60090500</t>
  </si>
  <si>
    <t>INGUINAL TOURNIQUET REQUESTED BY COASTAL CAROLINA UNIVERSITY POLICE, FOR USE BY CCUPD OFFICERS, FOR FIRST AID.</t>
  </si>
  <si>
    <t xml:space="preserve">
Sales Order #: 2279834736
RTD Screening Code: DOD
Reason for Rejection: YD</t>
  </si>
  <si>
    <t>TOURNIQUET,INGUINAL</t>
  </si>
  <si>
    <t>2YTCLU53398474</t>
  </si>
  <si>
    <t>BORELIGHT SYSTEM REQUESTED BY COASTAL CAROLINA UNIVERSITY POLICE, FOR USE BY CCUPD WEAPONS ARMORER, FOR WEAPON SIGHT CALIBRATION.</t>
  </si>
  <si>
    <t xml:space="preserve">
Sales Order #: 2269296984
RTD Screening Code: DOD
Reason for Rejection: YH</t>
  </si>
  <si>
    <t>2YTCLU53328128</t>
  </si>
  <si>
    <t>ITEM REQUESTED BY CLINTON PD TO BE USED BY CLINTON PD OFFICERS FOR SPECIAL OPERATIONS AND SEARCH AND RESCUE MISSIONS</t>
  </si>
  <si>
    <t xml:space="preserve">
Sales Order #: 2283328631
RTD Screening Code: DOD
Reason for Rejection: YH</t>
  </si>
  <si>
    <t>2YTCJX60442802</t>
  </si>
  <si>
    <t>CLINTON POLICE DEPARTMENT (2YTCJX)</t>
  </si>
  <si>
    <t>THE CCPD IS REQUESTING THIS TRUCK.IT WILL BE USED IN BY CCPD FOR LAW ENFORCEMENT FOR OUR HELICOPTER UNIT.THE VEHICLE WILL BE USED DAILY TO STORE AND REFUEL HELICOPTERS FOR POLICE PATROL. IT IS DESPERATELY NEEDED TO REPLACE OUR CURRENT 1978 MIL TANKER. MAINT HAS STIPULATED THAT THE CURRENT VEHICLE IS UNFEASIBLE TO BE MAINTAINED DUE TO AGE, SAFETY AND HIGH MAINT COSTS.DUE TO BUDGET, REPAIR AND REPLACEMENT IS NOT FEASIBLE.THIS TRUCK WILL ENABLE THE CCPD TO CONTINUE SAFE AND CRITICAL LE OPERATIONS.</t>
  </si>
  <si>
    <t xml:space="preserve">
Sales Order #: 2280602336
RTD Screening Code: DOD
Reason for Rejection: YH</t>
  </si>
  <si>
    <t>2YTCHK53609519</t>
  </si>
  <si>
    <t>THE CCPD IS REQUESTING THIS TRUCK.IT WILL BE USED IN BY CCPD FOR LAW ENFORCEMENT FOR OUR HELICOPTER UNIT.THE VEHICLE WILL BE USED DAILY TO STORE AND REFUEL HELICOPTERS FOR POLICE PATROL. IT IS DESPERATELY NEEDED TO REPLACE OUR CURRENT 1978 MIL TANKER. MAINT HAS STIPULATED THAT THE CURRENT VEHICLE IS UNFEASIBLE TO BE MAINTAINED DUE TO AGE, SAFETY AND HIGH MAINT COSTS.DUE TO BUDGET, REPAIR AND REPLACEMENT IS NOT FEASIBLE.THIS TRUCK WILL ENABLE THE CCPD TO CONTINUE SAFE AND CRITICAL LE OPERATIONS</t>
  </si>
  <si>
    <t xml:space="preserve">
Sales Order #: 2279293756
RTD Screening Code: RTD2
Reason for Rejection: YH</t>
  </si>
  <si>
    <t>2YTCHK53247669</t>
  </si>
  <si>
    <t>FOR USE BY LAW ENFORCEMENT AGENCY TO POWER NECESSARY LAW ENFORCEMENT EQUIPMENT, HEADQUARTERS, INCIDENT COMMAND CENTERS OR SAFE AREAS OFF SITE. IN THE CASE OF NATURAL DISASTER, MASS CASUALTY, OR POWER OUTAGE TO CONTINUE POLICE OPERATIONS</t>
  </si>
  <si>
    <t xml:space="preserve">
Sales Order #: 2282070875
RTD Screening Code: DOD
Reason for Rejection: Z2</t>
  </si>
  <si>
    <t>2YTCHC60301752</t>
  </si>
  <si>
    <t>CLAY TWP POLICE DEPT (OTTAWA CTY) (2YTCHC)</t>
  </si>
  <si>
    <t>CLAY COUNTY SHERIFF'S OFFICE NEEDS THIS EQUIPMENT FOR SEARCH AND RESCUE OPERATIONS IN REMOTE RURAL AREAS WHERE COMMUNICATION BY VHF AND CELLULAR SERVICES ARE NOT AVAILABLE.</t>
  </si>
  <si>
    <t xml:space="preserve">
Sales Order #: 2282934620
RTD Screening Code: DOD
Reason for Rejection: YG</t>
  </si>
  <si>
    <t>RECEIVER-TRANSMITTE</t>
  </si>
  <si>
    <t>2YTCGY60652396</t>
  </si>
  <si>
    <t>CLAY CSO (2YTCGY)</t>
  </si>
  <si>
    <t>THE CLAY COUNTY SHERIFF'S OFFICE NEEDS THIS VEHICLE TO SUPPORT CRITICAL INCIDENT RESPONSE IN MASS CAUSALITY INCIDENTS, NATURAL DISASTERS, SEARCH AND RESCUE WHERE A MOBILE COMMAND AND CONTROL OPERATIONS CENTER IS NECESSARY TO PROVIDE CLOSE PROXIMITY SUPPORT AND SERVICE TO RESOURCES IN THE FIELD.</t>
  </si>
  <si>
    <t>2YTCGY60442625</t>
  </si>
  <si>
    <t>THIS ITEM IS BEING REQUESTED BY THE CLAXTON POLICE DEPARTMENT TO BE USED  BY OFFICERS FOR LAW ENFORCEMENT PURPOSES. THE REQUESTED INDIVIDUAL EQUIPMENT CARRIER BAGS WILL BE UTILIZED BY OFFICERS FOR ON DUTY PURPOSES TO HOLD OR CARRY ON DUTY EQUIPMENT IN LAW ENFORMENT VEHICLES.</t>
  </si>
  <si>
    <t xml:space="preserve">
Sales Order #: 2283697702
RTD Screening Code: DON
Reason for Rejection: YH</t>
  </si>
  <si>
    <t>2YTCGM60583882</t>
  </si>
  <si>
    <t>CLAXTON PD (2YTCGM)</t>
  </si>
  <si>
    <t>THIS ITEM IS BEING REQUESTED BY THE CLAXTON POLICE DEPARTMENT TO BE USED BY OFFICERS FOR LAW ENFORCEMENT PURPOSES. THE REQUESTED INDIVIDUAL EQUIPMENT CARRIER BAGS WILL BE UTILIZED BY OFFICERS FOR ON DUTY PURPOSES TO HOLD OR CARRY ON DUTY EQUIPMENT IN LAW ENFORMENT VEHICLES.</t>
  </si>
  <si>
    <t>2YTCGM60583879</t>
  </si>
  <si>
    <t>THE CLARKE COUNTY SHERIFFS OFFICE WOULD LIKE TO ACQUIRE THIS EQUIPMENT TO BE UTILIZED BY OUR OFFICERS FOR USE DURING TRAINING, SPECIAL OPERATIONS, NATURAL DISASTERS, AND OTHER SPECIAL EVOLUTIONS. CAN ALSO BE UTILIZED FOR USE FOR CITIZENS DURING NATURAL DISASTERS</t>
  </si>
  <si>
    <t xml:space="preserve">
Sales Order #: 2286325398
RTD Screening Code: DOD
Reason for Rejection: Y9</t>
  </si>
  <si>
    <t>COT</t>
  </si>
  <si>
    <t>DSCOT0000</t>
  </si>
  <si>
    <t>2YTCFW60937105</t>
  </si>
  <si>
    <t>THE CLARKE COUNTY SHERIFF'S OFFICE WOULD LIKE TO ACQUIRE THIS EQUIPMENT TO BE UTILIZED BY OUR OFFICERS. CLARKE COUNTY IS BOARDED BY TWO RIVERS THE TOMBIGBEE ON THE WEST AND THE ALABAMA ON THE EAST. THIS EQUIPMENT WOULD ALLOW US TO BETTER SERVE OUR CITIZENS DURING SPECIAL EVENTS, AND NATURAL DISASTERS SUCH AS FLOODING. THIS WOULD ALSO ASSIST IN SEARCH AND RESCUE AS WELL AS EVIDENCE RECOVERY.</t>
  </si>
  <si>
    <t xml:space="preserve">
Sales Order #: 2285889623
RTD Screening Code: DOD
Reason for Rejection: Y9</t>
  </si>
  <si>
    <t>SPECIAL SERVICE VESSELS</t>
  </si>
  <si>
    <t>DSTENDERV</t>
  </si>
  <si>
    <t>2YTCFW60866623</t>
  </si>
  <si>
    <t>THE CLARKE COUNTY SHERIFF'S OFFICE WOULD LIKE TO ACQUIRE THIS EQUIPMENT TO BE UTILIZED AS SHELTER OVER A TRAINING AREA. WOULD BE USED FOR MULTIPLE TRAINING SCENARIOS TO ENHANCE OURS AGENCIES OPERATIONS AND BETTER SERVE OUR COMMUNITY.</t>
  </si>
  <si>
    <t xml:space="preserve">
Sales Order #: 2278282455
RTD Screening Code: DOD
Reason for Rejection: Y9</t>
  </si>
  <si>
    <t>2YTCFW60372208</t>
  </si>
  <si>
    <t>THE CLARKE COUNTY SHERIFF'S OFFICE WOULD LIKE TO ACQUIRE THIS EQUIPMENT TO BE UTILIZED BY OUR OFFICERS DURING INCLEMENT</t>
  </si>
  <si>
    <t xml:space="preserve">
Sales Order #: 2280765751
RTD Screening Code: DOD
Reason for Rejection: Y9</t>
  </si>
  <si>
    <t>2YTCFW60160453</t>
  </si>
  <si>
    <t>SPECIAL OPERATION TEAM AND MOBILE COMMAND CENTER FOR THE CLARK COUNTY SHERIFF'S OFFICE</t>
  </si>
  <si>
    <t>2YTCFQ60866547</t>
  </si>
  <si>
    <t>USED FOR SWAT TEAM TRAINING WITHIN AGENCY</t>
  </si>
  <si>
    <t xml:space="preserve">
Sales Order #: 2285081994
RTD Screening Code: DOD
Reason for Rejection: Y9</t>
  </si>
  <si>
    <t>2YTCFQ60725369</t>
  </si>
  <si>
    <t xml:space="preserve">
Sales Order #: 2285081986
RTD Screening Code: DOD
Reason for Rejection: Y9</t>
  </si>
  <si>
    <t>2YTCFQ60725367</t>
  </si>
  <si>
    <t>SPECIAL OPERATION TEAM AND MOBILE COMMAND POST</t>
  </si>
  <si>
    <t xml:space="preserve">
Sales Order #: 2285178948
RTD Screening Code: DOD
Reason for Rejection: Y9</t>
  </si>
  <si>
    <t>2YTCFQ60654758</t>
  </si>
  <si>
    <t>SPECIAL OPERATION TEAM VEHICLE AND MOBILE COMMAND POST</t>
  </si>
  <si>
    <t>2YTCFQ60584757</t>
  </si>
  <si>
    <t>USED TO HOUSE K9 UNITS FOR THE CLARK COUNTY SHERIFF'S OFFICE</t>
  </si>
  <si>
    <t xml:space="preserve">
Sales Order #: 2283339145
RTD Screening Code: DOD
Reason for Rejection: YG</t>
  </si>
  <si>
    <t>2YTCFQ60583911</t>
  </si>
  <si>
    <t>PRISONER TRANSPORT VAN FOR CLARK COUNTY SHERIFF'S OFFICE</t>
  </si>
  <si>
    <t xml:space="preserve">
Sales Order #: 2278965498
RTD Screening Code: DOD
Reason for Rejection: YH</t>
  </si>
  <si>
    <t>2YTCFQ53256837</t>
  </si>
  <si>
    <t>HEADSETS WILL BE USED BY MEMBERS OF THE CLAREMONT POLICE DEPARTMENT TO LISTEN TO AUDIO FOR INVESTIGATIONS AND TRAINING FOR STAFF.</t>
  </si>
  <si>
    <t xml:space="preserve">
Sales Order #: 2285840416
RTD Screening Code: DOD
Reason for Rejection: Y9</t>
  </si>
  <si>
    <t>2YTCE260866722</t>
  </si>
  <si>
    <t>CLAREMONT POLICE DEPT (2YTCE2)</t>
  </si>
  <si>
    <t>THIS ITEM IS BEING REQUESTED BY THE CITY OF GROTON POLICE DEPARTMENT TO BE USED BY OFFICERS FOR LAW ENFORCEMENT PURPOSES. THE REQUESTED PONCHOS WILL BE USED BY OFFICERS FOR INCLEMENT WEATHER TRAINING ALONG WITH THE POSSIBILITY OF CALL OUTS FOR THOSE MEMBERS ON  SERT.</t>
  </si>
  <si>
    <t>2YTEWY60513422</t>
  </si>
  <si>
    <t>CITY OF GROTON POLICE DEPT (2YTEWY)</t>
  </si>
  <si>
    <t>CPD SWAT TEAM WILL USE THIS EQUIPMENT DURING EVENTS AND TRAINING.</t>
  </si>
  <si>
    <t xml:space="preserve">
Sales Order #: 2283276106
RTD Screening Code: DOD
Reason for Rejection: Y9</t>
  </si>
  <si>
    <t>2YTCB460443094</t>
  </si>
  <si>
    <t>WILL BE USED BY CPD SWAT TEAM FOR MISSIONS AND EVENTS.</t>
  </si>
  <si>
    <t xml:space="preserve">
Sales Order #: 2282522538
RTD Screening Code: DOD
Reason for Rejection: Y9</t>
  </si>
  <si>
    <t>2YTCB460301794</t>
  </si>
  <si>
    <t>THIS WOULD BE USED BY CPD SWAT TEAM FOR MISSIONS AND EVENTS.</t>
  </si>
  <si>
    <t>2YTCB460231785</t>
  </si>
  <si>
    <t>REQUESTED BY CHESTER COUNTY SHERIFFS OFFICE, FOR USE BY CHESTER COUNTY DEPUTIES TO USE AS OUTDOOR STORAGE UNITS FOR DEPARTMENT GEAR AND EQUIPMENT.</t>
  </si>
  <si>
    <t xml:space="preserve">
Sales Order #: 2277887126
Reason for Rejection: YG</t>
  </si>
  <si>
    <t>2YTCAX53398560</t>
  </si>
  <si>
    <t>CHESTER COUNTY SHERIFF DEPT (2YTCAX)</t>
  </si>
  <si>
    <t>WE ARE A SMALL LOCAL LAW ENFORCEMENT AGENCY AND WOULD UTILIZE THIS VEHICLE IN OUR DAY TO DAY PATROL AND LAW ENFORCEMENT SERVICE TO OUR JURISDICTION. THIS ITEM WOULD ONLY BE USED BY SWORN OFFICERS WITHIN THIS AGENCY.</t>
  </si>
  <si>
    <t xml:space="preserve">
Sales Order #: 2285870168
RTD Screening Code: DOD
Reason for Rejection: Y9</t>
  </si>
  <si>
    <t>2YTPML60866330</t>
  </si>
  <si>
    <t>CHASE CITY PD (2YTPML)</t>
  </si>
  <si>
    <t>WE ARE A SMALL RURAL LAW ENFORCEMENT AGENCY AND WOULD USE THIS VEHICLE AS PART OF OUR REGIONAL DRUG AND GANG TASK FORCE UNDERCOVER INVESTIGATIONS VEHICLE. THIS ITEM WOULD ONLY BE USED BY SWORN OFFICERS IN THIS AGENCY.</t>
  </si>
  <si>
    <t xml:space="preserve">
Sales Order #: 2285870147
RTD Screening Code: DOD
Reason for Rejection: Y9</t>
  </si>
  <si>
    <t>2YTPML60866329</t>
  </si>
  <si>
    <t>WE ARE A RURAL LAW ENFORCEMENT AGENCY AND WOULD UTILIZE THIS ITEM TO AID IN SEARCH AND RESCUE WITH A  MULTI JURISDICTIONAL LOCAL TEAM AS WELL AS PROVIDING LAW ENFORCEMENT SERVICES TO AREA THAT ARE NOT ACCESSIBLE BY PATROL VEHICLES. THIS ITEM WOULD ONLY BE USED BY SWORN LAW ENFORCEMENT OFFICERS.</t>
  </si>
  <si>
    <t xml:space="preserve">
Sales Order #: 2285872639
RTD Screening Code: DOD
Reason for Rejection: Y9</t>
  </si>
  <si>
    <t>2YTPML60866327</t>
  </si>
  <si>
    <t xml:space="preserve">
Sales Order #: 2285872651
RTD Screening Code: DOD
Reason for Rejection: Y9</t>
  </si>
  <si>
    <t>2YTPML60866326</t>
  </si>
  <si>
    <t>WE ARE A LOCAL LAW ENFORCEMENT AGENCY AND WOULD UTILIZE THIS ITEM TO PROVIDE EXTRA REAL WORLD TRAINING TO OUR OFFICERS. THIS ITEM WOULD ONLY BE USED BY SWORN OFFICERS.</t>
  </si>
  <si>
    <t xml:space="preserve">
Sales Order #: 2285990932
RTD Screening Code: GSA
Reason for Rejection: YH</t>
  </si>
  <si>
    <t>FATS 5 SYSTEM</t>
  </si>
  <si>
    <t>2YTPML60796752</t>
  </si>
  <si>
    <t>WE ARE A RURAL LAW ENFORCEMENT AGENCY AND WOULD ISSUE THESE ITEMS OUT TO MEMBERS OF OUR AGENCY TO KEEP IN THEIR EMERGENCY ACTION TACTILE BAGS FOR USE IN DIFFERENT LAW ENFORCEMENT ACTIVITIES. THESE ITEMS WOULD ONLY BE UTILIZED BY SWORN FULL TIME OFFICERS.</t>
  </si>
  <si>
    <t>2YTPML60513241</t>
  </si>
  <si>
    <t>AS A RURAL LAW ENFORCEMENT AGENCY WE WOULD UTILIZE THESE ITEMS TO AID IN MULTI JURISDICTIONAL LAW ENFORCEMENT  SEARCH AND RESCUE OPERATIONS WHERE NORMAL PATROL VEHICLE ARE UNABLE TO ACCESS. THESE ITEMS WOULD BECOME A VITAL PART OF OPERATIONS IN OUR AREA AND WOULD ONLY BE UTILIZED BY SWORN OFFICERS.</t>
  </si>
  <si>
    <t>2YTPML60513166</t>
  </si>
  <si>
    <t>WE ARE A SMALL LOCAL LAW ENFORCEMENT AGENCY AND WOULD UTILIZE THESE ITEMS FOR OUR PATROL UNITS TO PROVIDE EXTRA PROTECTION  TO THE OFFICERS IN THE EVENT OF AN EMERGENCY SITUATION. THE ITEMS WOULD ONLY BE UTILIZED BY SWORN PERSONNEL</t>
  </si>
  <si>
    <t xml:space="preserve">
Sales Order #: 2283357526
RTD Screening Code: GSA
Reason for Rejection: YG</t>
  </si>
  <si>
    <t>2YTPML60442886</t>
  </si>
  <si>
    <t>WE ARE SMALL LOCAL POLICE DEPARTMENT AND WOULD UTILIZE THIS ITEM TO STORE SUPPLIES AND OTHER LAW ENFORCEMENT EQUIPMENT FOR VEHICLES. THIS ITEM WOULD ONLY BE UTILIZED BY SWORN LAW ENFORCEMENT OFFICERS.</t>
  </si>
  <si>
    <t xml:space="preserve">
Sales Order #: 2282049455
RTD Screening Code: DOD
Reason for Rejection: Y9</t>
  </si>
  <si>
    <t>2YTPML60301413</t>
  </si>
  <si>
    <t>WE ARE A SMALL LOCAL LAW ENFORCEMENT AGENCY AND WOULD UTILIZE THIS VEHICLE TO PARTICIPATE IN OUR REGIONAL DRUG AND GANG TASK FORCE AS A UNMARKED PATROL VEHICLE FOR AN UNDERCOVER OFFICER. THIS ITEM WOULD ONLY BE USED BY SWORN LAW ENFORCEMENT OFFICERS.</t>
  </si>
  <si>
    <t xml:space="preserve">
Sales Order #: 2282049454
RTD Screening Code: DOD
Reason for Rejection: Y9</t>
  </si>
  <si>
    <t>2YTPML60301406</t>
  </si>
  <si>
    <t>I AM REQUESTING THESE ITEMS FOR OFFICIAL LEA PURPOSES ON BEHALF OF THE CHAMPAIGN POLICE DEPARTMENT. I AM REQUESTING THESE ITEMS SO THEY CAN BE ISSUED TO OFFICERS RESPONDING TO AND SERVING HIGH RISK NARCOTICS TRAFFICKING BASED SEARCH WARRANTS.</t>
  </si>
  <si>
    <t xml:space="preserve">
Sales Order #: 2285870141
RTD Screening Code: GSA
Reason for Rejection: Y9</t>
  </si>
  <si>
    <t>2YTB6760796078</t>
  </si>
  <si>
    <t>I AM REQUESTING THESE ITEMS FOR OFFICIAL LEA PURPOSES ON BEHALF OF THE CHAMPAIGN POLICE DEPARTMENT. I AM REQUESTING THESE ITEMS SO THEY CAN BE ISSUE TO OFFICERS ASSIGNED TO THE EAST CENTRAL ILLINOIS BOMB SQUAD, A MULTI JURISDICTIONAL BOMB SQUAD THAT INCLUDES THE UNIVERSITY OF ILLINOIS URBANA CHAMPAIGN THAT COVERS 12 COUNTIES IN IL.</t>
  </si>
  <si>
    <t xml:space="preserve">
Sales Order #: 2285081980
RTD Screening Code: DOD
Reason for Rejection: Y9</t>
  </si>
  <si>
    <t>2YTB6760725416</t>
  </si>
  <si>
    <t xml:space="preserve">
Sales Order #: 2285081974
RTD Screening Code: DOD
Reason for Rejection: Y9</t>
  </si>
  <si>
    <t>2YTB6760725415</t>
  </si>
  <si>
    <t>I AM REQUESTING THESE ITEMS FOR OFFICIAL LEA PURPOSES ON BEHALF OF THE CHAMPAIGN POLICE DEPARTMENT. I AM REQUESTING THESE ITEMS SO THEY CAN BE USED DURING NATURAL DISASTER RECOVERY EFFORTS AS WELL AS HIGH RISK NARCOTICS BASED TRAFFICKING WARRANT SERVICE. I AM AWARE OF THE CONDITION AND HAVE THE ABILITY FOR REPAIR IF NEEDED.</t>
  </si>
  <si>
    <t xml:space="preserve">
Sales Order #: 2273684169
RTD Screening Code: DOD
Reason for Rejection: Y9</t>
  </si>
  <si>
    <t>2YTB6760020061</t>
  </si>
  <si>
    <t>THE CENTERVILLE POLICE DEPARTMENT REQUEST THIS ITEM TO BE USED TO TRANSPORT HEAVY EQUIPMENT TO BUILD FIRING RANGE AND TO TRANSPORT ITEMS RECEIVED THROUGH DRMO.</t>
  </si>
  <si>
    <t>2YTPDW60513228</t>
  </si>
  <si>
    <t>CENTERVILLE POLICE DEPT (2YTPDW)</t>
  </si>
  <si>
    <t>THE CENTERVILLE POLICE DEPARTMENT REQUEST THESE ITEMS TO BE USED FOR SEARCH AND RESCUE OPERATIONS AND FOR USE IN INCLEMENT WEATHER.</t>
  </si>
  <si>
    <t>2YTPDW60513200</t>
  </si>
  <si>
    <t>FOR USE IN CONJUNCTION WITH NIGHT VISION DEVICES FOR LOW LIGHT LAW ENFORCEMENT OPERATIONS. I HAVE REVIEWED THE CURRENT CONDITION AND ACCEPT THE ITEMS AS THEY ARE.</t>
  </si>
  <si>
    <t xml:space="preserve">
Sales Order #: 2283434784
RTD Screening Code: DOD
Reason for Rejection: YG</t>
  </si>
  <si>
    <t>2YTB4X60655267</t>
  </si>
  <si>
    <t>CEDAR RAPIDS PD (2YTB4X)</t>
  </si>
  <si>
    <t>FOR USE WITH NIGHT VISION DEVICES DURING LOW LIGHT OPERATIONS. I HAVE REVIEWED THE CURRENT CONDITION AND ACCEPT THE UNITS AS THEY ARE.</t>
  </si>
  <si>
    <t xml:space="preserve">
Sales Order #: 2285179428
RTD Screening Code: DOD
Reason for Rejection: Y9</t>
  </si>
  <si>
    <t>2YTB4X60654529</t>
  </si>
  <si>
    <t>FOR USE ON LOW LIGHT LAW ENFORCEMENT OPERATIONS. I HAVE REVIEWED THE CURRENT CONDITION AND ACCEPT THE ITEMS AS THEY ARE.</t>
  </si>
  <si>
    <t xml:space="preserve">
Sales Order #: 2283369357
RTD Screening Code: DOD
Reason for Rejection: Y9</t>
  </si>
  <si>
    <t>2YTB4X60513285</t>
  </si>
  <si>
    <t>REQUIRED FOR LAW ENFORCEMENT TRAINING USE. I HAVE REVIEWED THE CURRENT CONDITION AND ACCEPT THE ITEMS AS THEY ARE.</t>
  </si>
  <si>
    <t>2YTB4X60433464</t>
  </si>
  <si>
    <t>FOR USE ON LOW LIGHT POLICE OPERATIONS AND OBSERVATION. I HAVE RECEIVED PHOTOS OF THE ITEMS AND CONFIRMED THEIR CURRENT CONDITION. I ACCEPT THE ITEMS IN THEIR CURRENT CONDITION.</t>
  </si>
  <si>
    <t>2YTB4X60372450</t>
  </si>
  <si>
    <t>FOR USE ON LOW LIGHT POLICE OPERATIONS. I HAVE REACHED OUT TO THE AGENCY IN POSSESSION OF THE ITEMS AND I HAVE CONFIRMED THE CONDITION OF THE ITEM. I ACCEPT THE CURRENT CONDITION OF THE ITEMS AND ACCEPT THEM AS THEY ARE.</t>
  </si>
  <si>
    <t xml:space="preserve">
Sales Order #: 2282252812
RTD Screening Code: DOD
Reason for Rejection: Z2</t>
  </si>
  <si>
    <t>2YTB4X60301753</t>
  </si>
  <si>
    <t>FOR USE IN LOW LIGHT LAW ENFORCEMENT OPERATIONS. I HAVE CONTACTED THE AGENCY IN POSSESSION OF THESE ITEMS AND CONFIRMED THEIR CONDITION. I ACCEPT THE ITEM IN ITS CURRENT CONDITION. THANK YOU.</t>
  </si>
  <si>
    <t>2YTB4X60301738</t>
  </si>
  <si>
    <t>FOR USE ON LOW LIGHT LAW ENFORCEMENT OPERATIONS. I HAVE CONTACTED THE AGENCY IN POSSESSION OF THESE ITEM AND CONFIRM I AM WILLING TO ACCEPT THEM IN THEIR CURRENT CONDITION.</t>
  </si>
  <si>
    <t>2YTB4X60301725</t>
  </si>
  <si>
    <t>USED FOR LAW ENFORCEMENT OPERATIONS AT NIGHT.</t>
  </si>
  <si>
    <t>2YTB4X60301603</t>
  </si>
  <si>
    <t>THIS WOULD BE FOR THE CASWELL BEACH POLICE DEPARTMENT 2YTB3L. THESE WOULD BE USED IN EXTREME EMERGENCIES I.E. HOSTAGE SITUATIONS, NIGHT TACTICAL OPERATIONS, OR ANY OTHER LIFE OR DEATH SITUATIONS THAT THESE ITEMS WOULD HAVE TO BE DEPLOYED IN. I HAVE CONTACTED THE SITE AND ACCEPT THE ITEMS IN ITS CURRENT CONDITION.</t>
  </si>
  <si>
    <t xml:space="preserve">
Sales Order #: 2286053941
RTD Screening Code: DOD
Reason for Rejection: Y9</t>
  </si>
  <si>
    <t>2YTB3L60796856</t>
  </si>
  <si>
    <t>THE CASWELL BEACH POLICE DEPARTMENT IS SEEKING THE FIRST AID KITS TO PROVIDE FOR OFFICERS TO USE IN OUR AREA DUE TO SEVERE WEATHER AND HURRICANES WHICH RESULT IN INJURIES.</t>
  </si>
  <si>
    <t>2YTB3L60524183</t>
  </si>
  <si>
    <t>2YTB3L60524182</t>
  </si>
  <si>
    <t>TO SUPPLY OFFICERS WITH FIRST AID KITS</t>
  </si>
  <si>
    <t>2YTB3L60513128</t>
  </si>
  <si>
    <t>THIS WOULD BE FOR THE CASWELL BEACH POLICE DEPARTMENT 2YTB3L. THESE WOULD BE ADDED TO THE WEAPONS THAT HAS ALREADY BEEN ISSUED TO THE DEPARTMENT BY THE LESO PROGRAM. THESE WOULD BE USED IN EXTREME EMERGENCIES I.E. HOSTAGE SITUATIONS, BANK ROBBERIES, OR ANY OTHER LIFE, DEATH OR TACTICAL SITUATION THAT THESE WEAPONS WOULD HAVE TO BE DEPLOYED IN. I HAVE CONTACTED THE SITE AND ACCEPT THE ITEMS IN ITS CURRENT CONDITION.</t>
  </si>
  <si>
    <t xml:space="preserve">
Sales Order #: 2282813413
RTD Screening Code: DOD
Reason for Rejection: Z2</t>
  </si>
  <si>
    <t>2YTB3L60302289</t>
  </si>
  <si>
    <t>THE CARY POLICE DEPARTMENT HAS A FULL TIME QUARTERMASTER AND FIREARMS TRAINING DIVISION. AS SUCH THEY ROUTINELY RECEIVE LARGE ORDERS ON PALLETS THAT ARE TIME CONSUMING TO MOVE OR UNPACK. THIS ITEM WOULD ASSIST THOSE DIVISIONS WITHIN THE AGENCY.</t>
  </si>
  <si>
    <t xml:space="preserve">
Sales Order #: 2276116994
RTD Screening Code: DOD
Reason for Rejection: YH</t>
  </si>
  <si>
    <t>2YTB2Q53538705</t>
  </si>
  <si>
    <t>THE CARY POLICE DEPARTMENT COULD USE THIS ITEM TO ENHANCE OUR ABILITY TO ESTABLISH A CP IN THE FIELD ID NEEDED. ALSO, THIS ITEM WOULD BE DEPLOYED WITH OUR DISASTER RESPONSE TEAM WHEN THEY DEPLOY TO DISASTERS OR EMERGENCIES REGIONALLY.</t>
  </si>
  <si>
    <t xml:space="preserve">
Sales Order #: 2279218834
Reason for Rejection: YH</t>
  </si>
  <si>
    <t>BOOT WALL,COMMAND POST</t>
  </si>
  <si>
    <t>2YTB2Q53257553</t>
  </si>
  <si>
    <t>IN AN EFFORT TO ENSURE THE SAFETY OF OUR OFFICERS AS WELL AS THE GENERAL PUBLIC, WE ARE ATTEMPTING TO OUTFIT OUR PATROL DIVISION WITH NIGHT VISION CAPABILITIES. THE ADDITION OF NIGHT VISION WILL ENHANCE OUR EFFECTIVENESS AS WELL AS PROVIDE AN ADDITIONAL LAYER OF SAFETY FOR OFFICERS TO BE ABLE TO WORK WITHOUT GIVING AWAY POSITIONS WITH VISIBLE LIGHT SOURCES. THESE ITEMS WILL BE USED ONLY BY SWORN OFFICERS OF THE CARROLL CO SHERIFF'S OFC FOR TRAINING AND DUTY USE.</t>
  </si>
  <si>
    <t>2YTB1G60230966</t>
  </si>
  <si>
    <t>CARROLL COUNTY SHERIFF DEPT (2YTB1G)</t>
  </si>
  <si>
    <t>OUR SHERIFF'S OFFICE IS CURRENTLY TRYING TO BETTER EQUIP OUR SWAT TEAM AFTER AN INCIDENT LAST YEAR INVOLVING AN OFFICER INVOLVED SHOOTING. WE CURRENTLY HAVE TWO OFFICERS CERTIFIED AS SNIPERS BUT DO NOT HAVE ANY PRECISION RIFLES AVAILABLE FOR THEM TO USE. THESE ITEMS WOULD ONLY BE USED BY MEMBERS OF THE SWAT TEAM TRAINED FOR THEIR USE AND WOULD ONLY BE USED IN PERFORMANCE OF TRAINING OR WHILE ON DUTY. WE HAVE THE RESOURCES TO REPLACE THE MISSING PARTS AND HAVE THEM BACK IN SERVICEABLE CONDITION.</t>
  </si>
  <si>
    <t>2YTB1G60090734</t>
  </si>
  <si>
    <t>THE CAPE GIRARDEAU POLICE DEPARTMENT HAS A CRITICAL NEED FOR A WHEEL LOADER TO ENSURE RAPID, SELF-SUFFICIENT RESPONSE DURING EARTHQUAKES, FLOODS, AND TORNADOES. IMMEDIATE DEBRIS REMOVAL IS ESSENTIAL TO SAVE LIVES AND RESTORE EMERGENCY ACCESS WHEN SECONDS MATTER. THIS EQUIPMENT WILL ALSO SUPPORT ROADWAY HAZARD MITIGATION, INTERAGENCY OPERATIONS, AND FIREARM RANGE MAINTENANCE. WITHOUT IT, THE DEPARTMENT MUST RELY ON DELAYED, COSTLY CONTRACTORS. AWARDING THIS RESOURCE WILL DIRECTLY ENHANCE RESPONSE</t>
  </si>
  <si>
    <t>2YTBYK60937096</t>
  </si>
  <si>
    <t>CAPE GIRARDEAU PD (2YTBYK)</t>
  </si>
  <si>
    <t>THE CAPE GIRARDEAU POLICE DEPARTMENT SEEKS TO ACQUIRE THIS JOHN DEERE SKID STEER TO SUPPORT ROUTINE MAINTENANCE OF OUR RANGE. THE RANGE REQUIRES REGULAR BERM REPAIR, GRADING, DEBRIS REMOVAL, AND VEGETATION CONTROL TO ENSURE OFFICER SAFETY AND COMPLIANCE WITH RANGE STANDARDS. THESE TASKS CANNOT BE EFFICIENTLY OR SAFELY COMPLETED THROUGH MANUAL LABOR ALONE.
OWNING A SKID STEER WILL REDUCE RELIANCE ON COSTLY CONTRACTORS, ALLOW TIMELY REPAIRS FOLLOWING TRAINING.</t>
  </si>
  <si>
    <t>2YTBYK60160466</t>
  </si>
  <si>
    <t>POWER SOURCE FOR MOBILE INCIDENT COMMAND</t>
  </si>
  <si>
    <t xml:space="preserve">
Sales Order #: 2285870153
RTD Screening Code: DOD
Reason for Rejection: Y9</t>
  </si>
  <si>
    <t>POWER INVERTER</t>
  </si>
  <si>
    <t>DSINVERTE</t>
  </si>
  <si>
    <t>2YTBQQ60796074</t>
  </si>
  <si>
    <t>BUTLER COUNTY SHERIFFS OFFICE (2YTBQQ)</t>
  </si>
  <si>
    <t>MEMBERS OF OUR SWAT TEAM WILL WEAR THESE EYE PROTECTION GLASSES WHILE CONDUCTING TACTICAL LAW ENFORCEMENT OPERATIONS.</t>
  </si>
  <si>
    <t xml:space="preserve">
Sales Order #: 2286288950
RTD Screening Code: DOD
Reason for Rejection: Y9</t>
  </si>
  <si>
    <t>2YTP2760866199</t>
  </si>
  <si>
    <t>BURNSVILLE POLICE DEPT (2YTP27)</t>
  </si>
  <si>
    <t>OUR SWAT OFFICERS WILL USE THESE IR LASER-ILLUMINATORS IN CONJUNCTION WITH OUR NIGHT VISION GOGGLES WHEN CONDUCTING LOW LIGHT TACTICAL LAW ENFORCEMENT OPERATIONS.  SOME OF OUR CURRENT LASERS ARE HAVING MECHANICAL PROBLEMS AND NEED TO BE REPLACED.  WE ARE AWARE THEY ARE CONDITION H.  WE HAVE CONTACTED THE SITE TO CHECK CONDITION AND WILL TAKE THEM AS THEY ARE.</t>
  </si>
  <si>
    <t>2YTP2760866195</t>
  </si>
  <si>
    <t>OUR SWAT TEAM WILL USE THESE NIGHT VISION GOGGLES WHILE CONDUCTING LOW LIGHT TACTICAL LAW ENFORCEMENT OPERATIONS.  WE ARE AWARE THAT THEY ARE A N00 DTIID AND CONDITION H.  WE HAVE CONTACTED THE SITE TO CHECK CONDITION AND WILL TAKE THEM AS THEY ARE.  WE HAVE HAD SUCCESS REPAIRING PVS15 GOGGLES IN THE PAST.  OUR CURRENT PVS14S ARE STARTING TO HAVE ISSUES AND NEED TO BE REPLACED.</t>
  </si>
  <si>
    <t xml:space="preserve">
Sales Order #: 2285308404
RTD Screening Code: DOD
Reason for Rejection: Y9</t>
  </si>
  <si>
    <t>2YTP2760725090</t>
  </si>
  <si>
    <t>OUR SWAT TEAM WILL USE THESE THERMAL BINOCULARS WHILE CONDUCTING LOW LIGHT TACTICAL OPERATIONS.  WE IDENTIFIED THIS EQUIPMENT NEED LAST YEAR DURING A MANHUNT IN THE WOODS FOR AN ARMED MURDER SUSPECT.</t>
  </si>
  <si>
    <t>2YTP2760725018</t>
  </si>
  <si>
    <t>A MEMBER OF OUR SWAT TEAM WILL USE THESE NIGHT VISION GOGGLES WHILE CONDUCTING LOW LIGHT TACTICAL OPERATIONS.  THE TEAM'S MISSION SET INCLUDES COUNTER-DRUG SEARCH WARRANT OPERATIONS, COUNTER-TERRORISM, AND OPERATIONS TO APPREHEND VIOLENT OFFENDERS.  WE HAVE THE NECESSARY SUPPORT EQUIPMENT.</t>
  </si>
  <si>
    <t>2YTP2760654267</t>
  </si>
  <si>
    <t>OUR SWAT TEAM WILL USE THESE NIGHT VISION GOGGLES.  OUR MISSION SET INCLUDES HOSTAGE RESCUE, COUNTER-DRUG SEARCH WARRANT OPERATIONS, COUNTER-TERRORISM, AND OTHER TACTICAL LAW ENFORCEMENT OPERATIONS.  OUR CURRENT NIGHT VISION IS STARTING TO FAIL AND NEEDS TO BE REPLACED.  WE KNOW THESE ARE IN CONDITION F.  WE HAVE CONTACTED THE SITE TO CHECK CONDITION AND WILL TAKE THEM AS THEY ARE.  WE HAVE HAD SUCCESS REPAIRING PV15 GOGGLES.</t>
  </si>
  <si>
    <t>2YTP2760583828</t>
  </si>
  <si>
    <t>OUR SWAT OFFICERS WILL USE THESE NIGHT VISION GOGGLES WHILE CONDUCTING LOW LIGHT TACTICAL OPERATIONS.  OUR CURRENT GOGGLES ARE STARTING TO MALFUNCTION AND NEED TO BE REPLACED.  WE ARE AWARE THESE ARE CONDITION H.  WE HAVE CONTACTED THE SITE TO CHECK CONDITION AND WILL TAKE THEM AS THEY ARE.</t>
  </si>
  <si>
    <t>2YTP2760230764</t>
  </si>
  <si>
    <t>OUR SWAT TEAM WILL USE THESE INFRARED LASER-ILLUMINATORS IN CONJUNCTION WITH THEIR NIGHT VISION GOGGLES WHILE CONDUCTING LOW LIGHT TACTICAL LAW ENFORCEMENT OPERATIONS.</t>
  </si>
  <si>
    <t>2YTP2760230757</t>
  </si>
  <si>
    <t>OUR SWAT TEAM WILL USE THESE NIGHT VISION GOGGLES WHILE CONDUCTING TACTICAL LAW ENFORCEMENT OPERATIONS.  SOME OF OUR CURRENT NVGS ARE FAILING AND NEED TO BE REPLACED.  WE ARE AWARE THESE ARE CONDITION F AND AN N00 DTID.  THE SITE HAS BEEN CONTACTED TO CHECK CONDITION AND WE WILL TAKE THEM AS THEY ARE.</t>
  </si>
  <si>
    <t>2YTP2760029926</t>
  </si>
  <si>
    <t>THE BURNS POLICE DEPARTMENT REQUESTS NIGHT VISION IMAGE INTENSIFIERS TO ENHANCE OFFICER SAFETY AND OPERATIONAL EFFECTIVENESS DURING LOW-LIGHT AND NIGHTTIME INCIDENTS. THESE DEVICES WILL IMPROVE SUSPECT DETECTION, SEARCH AND RESCUE CAPABILITIES, AND RURAL PATROL OPERATIONS ACROSS A LARGE, UNDERSERVED JURISDICTION, ENSURING QUICKER RESPONSE TIMES AND INCREASED SITUATIONAL AWARENESS WHILE REDUCING RISK TO OFFICERS AND THE PUBLIC.</t>
  </si>
  <si>
    <t xml:space="preserve">
Sales Order #: 2286192273
RTD Screening Code: DOD
Reason for Rejection: Y9</t>
  </si>
  <si>
    <t>2YTR7060866846</t>
  </si>
  <si>
    <t>THE BURNS POLICE DEPARTMENT REQUESTS A PRESSURE WASHER TO MAINTAIN PATROL VEHICLES, EQUIPMENT, AND PUBLIC SAFETY FACILITIES. REGULAR CLEANING REMOVES MUD, ROAD SALT, AND DEBRIS COMMON IN RURAL ENVIRONMENTS, HELPING PRESERVE VEHICLE CONDITION, EXTEND EQUIPMENT LIFE, AND MAINTAIN A PROFESSIONAL APPEARANCE FOR PUBLIC SAFETY OPERATIONS.</t>
  </si>
  <si>
    <t xml:space="preserve">
Sales Order #: 2285348457
RTD Screening Code: GSA
Reason for Rejection: Y9</t>
  </si>
  <si>
    <t>2YTR7060795798</t>
  </si>
  <si>
    <t>THE BURNS POLICE DEPARTMENT WILL USE THE UNMANNED GROUND VEHICLE TO SAFELY ASSESS HAZARDOUS ENVIRONMENTS, SUSPICIOUS PACKAGES, AND HIGH-RISK SITUATIONS WHILE MINIMIZING RISK TO OFFICERS AND THE PUBLIC. THE SYSTEM WILL ENHANCE OFFICER SAFETY, IMPROVE RESPONSE TO CRITICAL INCIDENTS, AND SUPPORT OPERATIONS IN BURNS AND RURAL HARNEY COUNTY WHERE BACKUP RESOURCES ARE LIMITED.</t>
  </si>
  <si>
    <t>2YTR7060725938</t>
  </si>
  <si>
    <t>THIS SIZE XL-R COLD WEATHER GEAR WILL BE PROVIDED TO A POLICE FIREARMS RANGE INSTRUCTOR FOR USE DURING TRAINING DAYS DURING THE COLD WEATHER MONTHS.</t>
  </si>
  <si>
    <t>2YTBM060301777</t>
  </si>
  <si>
    <t>THESE YELLOW LENSES WILL BE ISSUED TO SWAT TEAM MEMBERS TO REPLACE THEIR SCRATCHED LENSES ON THEIR OAKLEY M FRAME PROTECTIVE EYEWEAR</t>
  </si>
  <si>
    <t xml:space="preserve">
Sales Order #: 2282070871
RTD Screening Code: GSA
Reason for Rejection: Y9</t>
  </si>
  <si>
    <t>2YTBM060301776</t>
  </si>
  <si>
    <t>THESE GREY LENSES WILL BE ISSUED TO SWAT TEAM MEMBERS TO REPLACE THEIR SCRATCHED LENSES ON THEIR OAKLEY M FRAME PROTECTIVE EYEWEAR</t>
  </si>
  <si>
    <t xml:space="preserve">
Sales Order #: 2282170019
RTD Screening Code: GSA
Reason for Rejection: Z2</t>
  </si>
  <si>
    <t>2YTBM060301775</t>
  </si>
  <si>
    <t>2YTBM053539318</t>
  </si>
  <si>
    <t>THESE UNITS WILL SUPPLEMENT NIGHT TIME OPERATIONS FOR THE BROWNWOOD POLICE DEPARTMENT SWAT, ENHANCING OFFICER SAFETY. THESE UNITS HAVE BEEN CONFIRMED TO FUNCTION PROPERLY.</t>
  </si>
  <si>
    <t xml:space="preserve">
Sales Order #: 2285179420
RTD Screening Code: DOD
Reason for Rejection: Y9</t>
  </si>
  <si>
    <t>2YTBMB60725316</t>
  </si>
  <si>
    <t>THESE UNITS WILL SUPPLEMENT EQUIPMENT FOR THE BROWNWOOD SWAT NIGHT TIME OPERATIONS ENHANCING OFFICER SAFETY FOR HIGH RISK WARRANTS. THESE UNITS ARE KNOWN TO FUNCTION PROPERLY.</t>
  </si>
  <si>
    <t>2YTBMB60725315</t>
  </si>
  <si>
    <t>THESE UNITS WILL ASSIST THE BROWNWOOD SWAT TEAM WITH NIGHT TIME CAPABILITIES IN A RURAL ENVIRONMENT. THESE UNITS SHOW TO BE IN WORKING CONDITION.</t>
  </si>
  <si>
    <t>2YTBMB60725147</t>
  </si>
  <si>
    <t>THESE UNITS WILL ASSIST IN NIGHT TIME OPERATIONS FOR HIGH RISK WARRANTS WITH THE BROWNWOOD SWAT TEAM. WE CURRENTLY NEED MORE OF THESE UNITS TO PUT IN SERVICE. THESE UNITS ARE SERVICEABLE.</t>
  </si>
  <si>
    <t xml:space="preserve">
Sales Order #: 2285179857
RTD Screening Code: DOD
Reason for Rejection: Y9</t>
  </si>
  <si>
    <t>2YTBMB60654711</t>
  </si>
  <si>
    <t>MOBILE COMMAND USAGE THROUGHOUT THE COUNTY FOR SWAT CALL OUTS OR DIVE CALL OUTS</t>
  </si>
  <si>
    <t>2YTBLW60442589</t>
  </si>
  <si>
    <t>BROWN  COUNTY SHERIFFS OFFICE (2YTBLW)</t>
  </si>
  <si>
    <t>THE BRISTOL POLICE DEPARTMENT WOULD UTILIZE THIS TRAILER TO STORE MOBILE FIELD FORCE EQUIPMENT FOR QUICK DEPLOYMENT WHEN NEEDED.</t>
  </si>
  <si>
    <t xml:space="preserve">
Sales Order #: 2285864895
RTD Screening Code: DOD
Reason for Rejection: Y9</t>
  </si>
  <si>
    <t>2YTBJQ60866292</t>
  </si>
  <si>
    <t>THE BRISTOL TENNESSEE POLICE DEPARTMENT WOULD USE THIS TRAILER TO PROVIDE MOBILE RESPITE AND A MEETING AREA WHEN WE HAVE LOST OR MISSING CHILDREN, DURING A NATURAL DISASTER, DURING STAND-OFF SITUATIONS, DURING HIGH-RISK DRUG SEARCH WARRANTS, OR DURING ACTIVE SHOOTER SITUATIONS TO PROVIDE RELIEF FOR OFFICERS DURING ANY OF THESE OCCURRENCES.</t>
  </si>
  <si>
    <t xml:space="preserve">
Sales Order #: 2284355256
RTD Screening Code: DOD
Reason for Rejection: Y9</t>
  </si>
  <si>
    <t>2YTBJQ60654256</t>
  </si>
  <si>
    <t>THE BRISTOL POLICE DEPARTMENT EXPLOSIVE ORDINANCE TEAM WILL UTILIZE THIS ON BOMB THREATS OR SUSPICIOUS PACKAGES WHERE SAFETY IS AN ISSUE. THE BASES STATES THIS IS OPERATIONAL.</t>
  </si>
  <si>
    <t xml:space="preserve">
Sales Order #: 2278282467
RTD Screening Code: DOD
Reason for Rejection: YH</t>
  </si>
  <si>
    <t>2YTBJQ60652336</t>
  </si>
  <si>
    <t>THE BRISTOL TENNESSEE POLICE DEPARTMENT EOD UNIT WOULD UTILIZE THIS ON CALL OUTS OF SUSPICIOUS PACKAGES TO GAIN BETTER KNOWLEDGE TO HANDLE THE THREAT. THIS WOULD BE INSPECTED WHEN PICKING UP ANOTHER ITEM AT THE BASE ON MARCH 2ND.</t>
  </si>
  <si>
    <t xml:space="preserve">
Sales Order #: 2285178128
RTD Screening Code: DOD
Reason for Rejection: Y9</t>
  </si>
  <si>
    <t>2YTBJQ60584804</t>
  </si>
  <si>
    <t>THE BRISTOL POLICE DEPARTMENT WOULD UPFIT THIS VEHICLE AND USE IT AS A MARKED PATROL UNIT FOR AN SRO OR TO TRANSPORT OFFICERS BACK AND FORTH TO THE POLICE ACADEMY. THE BASE STATES THE VEHICLE RUNS.</t>
  </si>
  <si>
    <t xml:space="preserve">
Sales Order #: 2278282460
RTD Screening Code: DOD
Reason for Rejection: BQ</t>
  </si>
  <si>
    <t>2YTBJQ60372340</t>
  </si>
  <si>
    <t>THE BRISTOL POLICE DEPARTMENT WOULD UTILIZE THIS TRUCK FOR A CRIME SCENE INVESTIGATION TRUCK THAT WOULD BE UTILIZED BY POLICE DEPARTMENT INVESTIGATIVE PERSONNEL. THE BASE STATES THE TRUCK WILL START AND RUN.</t>
  </si>
  <si>
    <t xml:space="preserve">
Sales Order #: 2273783300
Reason for Rejection: YF</t>
  </si>
  <si>
    <t>2YTBJQ53397990</t>
  </si>
  <si>
    <t>THE BRISTOL POLICE DEPARTMENT WOULD USE THIS TRAILER TO TRANSPORT EQUIPMENT AWARDED FROM THE RTD SITE.</t>
  </si>
  <si>
    <t xml:space="preserve">
Sales Order #: 2278900755
RTD Screening Code: DOD
Reason for Rejection: YH</t>
  </si>
  <si>
    <t>2YTBJQ53186733</t>
  </si>
  <si>
    <t>THE BRISTOL POLICE DEPARTMENT WOULD USE THIS TRUCK TO PICK-UP AND HAUL PROPERTY AWARDED THROUGH THE RTD SITE FOR DEPARTMENT USE.</t>
  </si>
  <si>
    <t xml:space="preserve">
Sales Order #: 2276990921
RTD Screening Code: DOD
Reason for Rejection: YH</t>
  </si>
  <si>
    <t>2YTBJQ52834527</t>
  </si>
  <si>
    <t>OFFICERS WITH THE BRISTOL POLICE DEPARTMENT WOULD USE THIS TO HELP IMPROVE OUR RANGE AREA BY CREATING A BETTER TRAINING AREA CLEARING A BIGGER SPACE.</t>
  </si>
  <si>
    <t xml:space="preserve">
Sales Order #: 2275996661
RTD Screening Code: DOD
Reason for Rejection: YH</t>
  </si>
  <si>
    <t>2YTBJQ52692854</t>
  </si>
  <si>
    <t>BRADFORD POLICE DEPARTMENT CAN USE THIS FOR DISASTER RELIEF EMERGENCIES AND COMMUNICATIONS WITH SURROUNDING AGENCIES.</t>
  </si>
  <si>
    <t xml:space="preserve">
Sales Order #: 2285870184
RTD Screening Code: DOD
Reason for Rejection: Y9</t>
  </si>
  <si>
    <t>2YTBF960866402</t>
  </si>
  <si>
    <t>BRADFORD POLICE DEPARTMENT (2YTBF9)</t>
  </si>
  <si>
    <t>BRADFORD POLICE DEPARTMENT CAN USE THIS FOR DISASTER RELIEF EMERGENCIES. SEVERAL BODIES OF WATER IN OUR AREA AS WELL AS FLOODING BEING AN ISSUE IN OUR AREA. WE COULD ASSIST OTHER AGENCIES WITH SEARCH AND RESCUE EFFORTS AT THE LARGE BODIES OF WATER AND OR LAKES IN OUR AREA.</t>
  </si>
  <si>
    <t>2YTBF960866399</t>
  </si>
  <si>
    <t>BRAFORD PD WILL USE THIS FOR DISASTER RELIEF EMERGENCIES AND FUGITIVE APPREHENSIONS.</t>
  </si>
  <si>
    <t xml:space="preserve">
Sales Order #: 2285383645
RTD Screening Code: DOD
Reason for Rejection: Y9</t>
  </si>
  <si>
    <t>2YTBF960795824</t>
  </si>
  <si>
    <t>BRADFORD PD CAN USE THIS FOR DISASTER RELIEF EMERGENCIES AS WELL AS FUGITIVE APPREHENSIONS, AND AS NEEDED COMMUNICATIONS WITH OTHER DEPARTMENTS.</t>
  </si>
  <si>
    <t xml:space="preserve">
Sales Order #: 2285351955
RTD Screening Code: DOD
Reason for Rejection: Y9</t>
  </si>
  <si>
    <t>2YTBF960795822</t>
  </si>
  <si>
    <t>BRADFORD POLICE DEPARTMENT WOULD USE THIS FOR DISASTER RELIEF EMERGENCIES IN OUR COMMUNITY. AS WELL AS COMMUNICATIONS WITH OTHER DEPARTMENTS DURING NATURAL DISASTERS AND POTENTIAL HIGH RISK SITUATIONS.</t>
  </si>
  <si>
    <t xml:space="preserve">
Sales Order #: 2281787612
RTD Screening Code: DOD
Reason for Rejection: YH</t>
  </si>
  <si>
    <t>2YTBF960231104</t>
  </si>
  <si>
    <t xml:space="preserve">
Sales Order #: 2281766803
RTD Screening Code: DOD
Reason for Rejection: YH</t>
  </si>
  <si>
    <t>2YTBF960231103</t>
  </si>
  <si>
    <t>BRADFORD PD WILL USE THIS FOR DISASTER RELIEF EMERGENCIES IN OUR AREA. COMMUNICATIONS WITH OTHER AGENCIES DURING HOSTILE SITUATIONS SUCH AS BARRICADED SUBJECTS AND ACTIVE SHOOTERS. BRADFORD HAS HAD MAJOR STORM DAMAGE RECENTLY AND THIS WOULD ALLOW US TO GIVE RELIEF TO THE STORM VICTIMS.</t>
  </si>
  <si>
    <t>2YTBF960161256</t>
  </si>
  <si>
    <t>BRADFORD POLICE DEPARTMENT WILL USE THIS TRAILER FOR DISASTER RELIEF EMERGENCIES AS WELL AS COMMUNICATIONS IN THE EVENT OF HOSTAGE SITUATIONS OR WORKING IN TANDEM WITH NEIGHBORING AGENCIES.</t>
  </si>
  <si>
    <t xml:space="preserve">
Sales Order #: 2280803880
RTD Screening Code: DOD
Reason for Rejection: YG</t>
  </si>
  <si>
    <t>2YTBF960029925</t>
  </si>
  <si>
    <t xml:space="preserve">
Sales Order #: 2285188803
Reason for Rejection: Y9</t>
  </si>
  <si>
    <t>2YTBDC6058KM03</t>
  </si>
  <si>
    <t>THESE TOOL BOXES WILL BE USED BY SHERIFF'S OFFICE FLEET MECHANICS FOR THE MAINTENANCE AND REPAIR OF FLEET VEHICLES</t>
  </si>
  <si>
    <t xml:space="preserve">
Sales Order #: 2283352654
RTD Screening Code: DOD
Reason for Rejection: Y9</t>
  </si>
  <si>
    <t>2YTBDC60513246</t>
  </si>
  <si>
    <t>THIS TOOL KIT WILL BE USED BY SHERIFF'S OFFICE FLEET MECHANICS FOR THE REPAIR AND MAINTENANCE OF FLEET VEHICLES.</t>
  </si>
  <si>
    <t xml:space="preserve">
Sales Order #: 2280299558
RTD Screening Code: DOD
Reason for Rejection: Z2</t>
  </si>
  <si>
    <t>2YTBDC60301761</t>
  </si>
  <si>
    <t>THIS TRAILER WILL BE USED BY SHERIFF'S OFFICE SEARCH AND RESCUE TO SUPPORT OPERATIONS.</t>
  </si>
  <si>
    <t>2YTBDC60231762</t>
  </si>
  <si>
    <t>FOR THE USE TO STORE POLICE EQUIPMENT TOOL AMMO EXC IN A SECURE PLACE TO WHICH IT CAN BE LOCKED.</t>
  </si>
  <si>
    <t>2YTBCH60443125</t>
  </si>
  <si>
    <t>BOAZ POLICE DEPT (2YTBCH)</t>
  </si>
  <si>
    <t>TO ASSIST IN WIRING PATROL UNITS FOR OFFICERS.</t>
  </si>
  <si>
    <t xml:space="preserve">
Sales Order #: 2278974161
RTD Screening Code: DOD
Reason for Rejection: YH</t>
  </si>
  <si>
    <t>FT</t>
  </si>
  <si>
    <t>WIRE,ELECTRICAL</t>
  </si>
  <si>
    <t>2YTBCH53186569</t>
  </si>
  <si>
    <t>THE BLADENBORO POLICE DEPARTMENT NEEDS THIS EQUIPMENT FOR SECURITY MATTERS IN EMERGENCY RESPONSES FOR OFFICER SAFETY WHILE DOING COUNTER-DRUG AND OTHER LIFE SAFETY RESPONSES.</t>
  </si>
  <si>
    <t xml:space="preserve">
Sales Order #: 2286115564
Reason for Rejection: Y9</t>
  </si>
  <si>
    <t>2YTA9260655520</t>
  </si>
  <si>
    <t>BLADENBORO PD (2YTA92)</t>
  </si>
  <si>
    <t>TO BE USED BY BIG LAKE OFFICERS IN OUR PVS-15S</t>
  </si>
  <si>
    <t>2YTA8D60160954</t>
  </si>
  <si>
    <t>BIG LAKE POLICE DEPT (2YTA8D)</t>
  </si>
  <si>
    <t>WILL BE USED BY THE SHERIFF'S OFFICE AS STORAGE AND SHELTER FOR SHERIFF'S OFFICE EQUIPMENT.</t>
  </si>
  <si>
    <t>2YTA6K60847276</t>
  </si>
  <si>
    <t>WILL BE USED BY THE SHERIFF'S OFFICE FOR RANGE AND FACILITY MAINTENANCE.</t>
  </si>
  <si>
    <t xml:space="preserve">
Sales Order #: 2285129113
RTD Screening Code: DOD
Reason for Rejection: YG</t>
  </si>
  <si>
    <t>2YTA6K60725487</t>
  </si>
  <si>
    <t>THIS TRUCK WILL BE USED BY THE SHERIFF'S OFFICE TO HAUL AND PULL EMERGENCY EQUIPMENT TO AND FROM EMERGENCY, DISASTER AND STORM RESPONSE SCENES. WE WILL ALSO USE THIS TRUCK TO TRANSPORT EQUIPMENT RECEIVED THROUGH LESO.</t>
  </si>
  <si>
    <t xml:space="preserve">
Sales Order #: 2285179987
RTD Screening Code: DOD
Reason for Rejection: Y9</t>
  </si>
  <si>
    <t>2YTA6K60725052</t>
  </si>
  <si>
    <t>WILL BE USED BY THE SHERIFF'S OFFICE TO PULL HEAVY EQUIPMENT, SUPPLIES DURING EMERGENCY RESPONSES AND DISASTER AND STORM RESPONSES.</t>
  </si>
  <si>
    <t xml:space="preserve">
Sales Order #: 2285178989
RTD Screening Code: DOD
Reason for Rejection: Y9</t>
  </si>
  <si>
    <t>2YTA6K60725046</t>
  </si>
  <si>
    <t>THIS WILL BE USED BY THE SHERIFF'S OFFICE AS A PATROL VEHICLE FOR DEPUTIES.</t>
  </si>
  <si>
    <t xml:space="preserve">
Sales Order #: 2285178152
RTD Screening Code: DOD
Reason for Rejection: Y9</t>
  </si>
  <si>
    <t>2YTA6K60725042</t>
  </si>
  <si>
    <t>THIS WILL BE USED BY THE SHERIFF'S OFFICE AS A SEARCH AND RESCUE VEHICLE FOR LOST OR MISSING PERSONS IN URBAN OR WOODLAND AREAS.</t>
  </si>
  <si>
    <t xml:space="preserve">
Sales Order #: 2282428260
RTD Screening Code: DOD
Reason for Rejection: Y9</t>
  </si>
  <si>
    <t>2YTA6K60372115</t>
  </si>
  <si>
    <t>THIS WILL BE USED TO PUT IN THE STORAGE CONTAINER THAT IS BEING USED BY THE SHERIFF'S OFFICE FOR EVIDENCE OVERFLOW TO ORGANIZE EVIDENCE.</t>
  </si>
  <si>
    <t xml:space="preserve">
Sales Order #: 2278907870
RTD Screening Code: DOD
Reason for Rejection: Y9</t>
  </si>
  <si>
    <t>2YTA6K60231128</t>
  </si>
  <si>
    <t>THESE WILL BE USED BY THE SHERIFF'S OFFICE TO PUT IN THE EVIDENCE OVER FLOW STORAGE CONTAINER TO ORGANIZE EVIDENCE.</t>
  </si>
  <si>
    <t xml:space="preserve">
Sales Order #: 2278907866
RTD Screening Code: DOD
Reason for Rejection: Y9</t>
  </si>
  <si>
    <t>2YTA6K60231127</t>
  </si>
  <si>
    <t>THIS TRAILER WILL BE USED BY THE SHERIFF'S OFFICE TO HAUL EQUIPMENT FROM DRMO AND EQUIPMENT, EVIDENCE OR SUPPLIES AS NEEDED TO AND FROM THE SHERIFF'S OFFICE AND RANGE.</t>
  </si>
  <si>
    <t xml:space="preserve">
Sales Order #: 2281219390
RTD Screening Code: DOD
Reason for Rejection: Y9</t>
  </si>
  <si>
    <t>2YTA6K60230955</t>
  </si>
  <si>
    <t>THIS WILL BE USED BY THE SHERIFF'S OFFICE TO PULL TRAILERS TO GET EQUIPMENT FROM DRMO AND HAUL SHERIFF'S OFFICE SUPPLIES AND EQUIPMENT TO AND FROM THE RANGE AND SHOP.</t>
  </si>
  <si>
    <t xml:space="preserve">
Sales Order #: 2280602372
RTD Screening Code: DOD
Reason for Rejection: Y9</t>
  </si>
  <si>
    <t>2YTA6K60160695</t>
  </si>
  <si>
    <t>THIS WILL BE USED TO LOAD AND UNLOAD SHERIFF'S OFFICE EVIDENCE, EQUIPMENT AND SUPPLIES AT THE SHERIFF'S OFFICE.</t>
  </si>
  <si>
    <t xml:space="preserve">
Sales Order #: 2280751964
RTD Screening Code: DOD
Reason for Rejection: Y9</t>
  </si>
  <si>
    <t>2YTA6K60160672</t>
  </si>
  <si>
    <t>THIS WILL BE USED BY THE SHERIFF'S OFFICE TO MAINTAIN THE SHERIFF'S OFFICE FIRING RANGE AND TRAINING AREA AND TO BUILD NEW BERMS FOR LONG RANGE.</t>
  </si>
  <si>
    <t xml:space="preserve">
Sales Order #: 2280751969
RTD Screening Code: DOD
Reason for Rejection: Y9</t>
  </si>
  <si>
    <t>2YTA6K60160671</t>
  </si>
  <si>
    <t>THIS WILL BE USED BY THE SHERIFF'S OFFICE TO GET EQUIPMENT FROM LESO AND  DRMO AND MOVE EQUIPMENT THE SHERIFF'S OFFICE CURRENTLY HAS.</t>
  </si>
  <si>
    <t xml:space="preserve">
Sales Order #: 2280766023
RTD Screening Code: DOD
Reason for Rejection: Y9</t>
  </si>
  <si>
    <t>2YTA6K60160610</t>
  </si>
  <si>
    <t xml:space="preserve">
Sales Order #: 2280602373
RTD Screening Code: DOD
Reason for Rejection: Y9</t>
  </si>
  <si>
    <t>2YTA6K60090696</t>
  </si>
  <si>
    <t>THIS WILL BE USED TO REPLACE AN OLD OUTDATED FORK LIFT THE SHERIFF'S OFFICE USES TO MOVE HEAVY EQUIPMENT AND SUPPLIES.</t>
  </si>
  <si>
    <t xml:space="preserve">
Sales Order #: 2280915054
RTD Screening Code: DOD
Reason for Rejection: YH</t>
  </si>
  <si>
    <t>2YTA6K60020078</t>
  </si>
  <si>
    <t>THIS WILL BE USED BY THE SHERIFF'S OFFICE FOR STORAGE OF EQUIPMENT AND EVIDENCE OVERFLOW.</t>
  </si>
  <si>
    <t xml:space="preserve">
Sales Order #: 2279759997
RTD Screening Code: DOD
Reason for Rejection: YH</t>
  </si>
  <si>
    <t>2YTA6K53538838</t>
  </si>
  <si>
    <t>THIS VEHICLE WILL BE USED BY THE SHERIFF'S OFFICE AS A SPECIAL OPERATIONS VEHICLE FOR THE SHERIFF'S OFFICE EMERGENCY RESPONSE TEAM.</t>
  </si>
  <si>
    <t xml:space="preserve">
Sales Order #: 2280265519
RTD Screening Code: RTD2
Reason for Rejection: YH</t>
  </si>
  <si>
    <t>2YTA6K53469062</t>
  </si>
  <si>
    <t>THESE ITEMS WOULD BE USED TO ASSIST OFFICERS IN WORKING IN LOW LIGHT CONDITIONS DURING VARIOUS OPERATIONS.</t>
  </si>
  <si>
    <t>2YTA6B60583721</t>
  </si>
  <si>
    <t>BERLIN TOWNSHIP POLICE DEPT (2YTA6B)</t>
  </si>
  <si>
    <t>FOR USE BY THIS LEA ONLY. TO BE USED BY LEOS OF THIS AGENCY. THESE NIGHT VISION GOGGLES WILL BE UTILIZED DURING LAW ENFORCEMENT OPERATIONS THAT REQUIRE LOW-LIGHT OR NO-LIGHT CAPABILITIES, INCLUDING SEARCH AND RESCUE, SURVEILLANCE, AND TACTICAL RESPONSE. I REACHED OUT TO THE BASE AND AM SATISFIED THAT THE ITEMS ARE USABLE OR CAN BE MADE TO BE USABLE BY MY AGENCY.</t>
  </si>
  <si>
    <t xml:space="preserve">
Sales Order #: 2285872618
Reason for Rejection: Y9</t>
  </si>
  <si>
    <t>2YTA5P60866584</t>
  </si>
  <si>
    <t>BERGEN COUNTY PROSECUTORS OFFICE (2YTA5P)</t>
  </si>
  <si>
    <t>2YTA5P60866499</t>
  </si>
  <si>
    <t xml:space="preserve">
Sales Order #: 2285169521
RTD Screening Code: DOD
Reason for Rejection: Y9</t>
  </si>
  <si>
    <t>2YTA5P60655461</t>
  </si>
  <si>
    <t>THE BENTON HARBOR DEPT. OF PUBLIC SAFETY WILL USE THESE DURING ARREST OPERATIONS, SEARCH WARRANTS, FUGITIVE RECOVERY OPERATIONS, AND INCIDENTS WHERE INDIVIDUALS FLEE FROM LAW ENFORCEMENT. THIS WILL ALSO BE USED TO ASSIST OTHER SURROUNDING AGENCIES FOR LIKE INCIDENTS AS WELL AS NARCOTICS ENFORCEMENT AND ACTIVE SHOOTER INCIDENTS IF THEY ARISE. DLA DS COLORADO SPRINGS HAS BEEN CONTACTED ABOUT THIS ITEM. THESE WILL REPLACE NON-FUNCTIONING ITEMS WE RECEIVED IN THE PAST.</t>
  </si>
  <si>
    <t>2YTA5D60371931</t>
  </si>
  <si>
    <t>BENTON HARBOR DEPT OF PUBLIC SAFETY (2YTA5D)</t>
  </si>
  <si>
    <t xml:space="preserve">
Sales Order #: 2282550019
RTD Screening Code: DOD
Reason for Rejection: Y9</t>
  </si>
  <si>
    <t>2YTA5D60371930</t>
  </si>
  <si>
    <t>THE BENTON HARBOR DEPT. OF PUBLIC SAFETY WILL USE THESE DURING ARREST OPERATIONS, SEARCH WARRANTS, FUGITIVE RECOVERY OPERATIONS, AND INCIDENTS WHERE INDIVIDUALS FLEE FROM LAW ENFORCEMENT. THIS WILL ALSO BE USED TO ASSIST OTHER SURROUNDING AGENCIES FOR LIKE INCIDENTS AS WELL AS NARCOTICS ENFORCEMENT AND ACTIVE SHOOTER INCIDENTS IF THEY ARISE. DLA DS ANNISTON HAS BEEN CONTACTED ABOUT THIS ITEM. THIS ITEM WILL REPLACE A BROKEN ITEM WE RECEIVED PREVIOUSLY.</t>
  </si>
  <si>
    <t xml:space="preserve">
Sales Order #: 2278282456
RTD Screening Code: DOD
Reason for Rejection: Y9</t>
  </si>
  <si>
    <t>2YTA5D60302334</t>
  </si>
  <si>
    <t>THE BENTON HARBOR DEPT. OF PUBLIC SAFETY WILL USE THESE DURING ARREST OPERATIONS, SEARCH WARRANTS, FUGITIVE RECOVERY OPERATIONS, AND INCIDENTS WHERE INDIVIDUALS FLEE FROM LAW ENFORCEMENT. THIS WILL ALSO BE USED TO ASSIST OTHER SURROUNDING AGENCIES FOR LIKE INCIDENTS AS WELL AS NARCOTICS ENFORCEMENT AND ACTIVE SHOOTER INCIDENTS IF THEY ARISE. DLA DS LEWIS HAS BEEN CONTACTED ABOUT THIS ITEM.</t>
  </si>
  <si>
    <t xml:space="preserve">
Sales Order #: 2282550017
RTD Screening Code: DOD
Reason for Rejection: Y9</t>
  </si>
  <si>
    <t>2YTA5D60302035</t>
  </si>
  <si>
    <t>THE BENTON HARBOR DEPT. OF PUBLIC SAFETY WILL USE THESE DURING ARREST OPERATIONS, SEARCH WARRANTS, FUGITIVE RECOVERY OPERATIONS, AND INCIDENTS WHERE INDIVIDUALS FLEE FROM LAW ENFORCEMENT. THIS WILL ALSO BE USED TO ASSIST OTHER SURROUNDING AGENCIES FOR LIKE INCIDENTS AS WELL AS NARCOTICS ENFORCEMENT AND ACTIVE SHOOTER INCIDENTS IF THEY ARISE. DLA DS SUSQUEHANNA HAS BEEN CONTACTED ABOUT THIS ITEM. THESE WILL REPLACE UNUSABLE PROPERTY WE RECEIVED.</t>
  </si>
  <si>
    <t xml:space="preserve">
Sales Order #: 2282252835
Reason for Rejection: Y9</t>
  </si>
  <si>
    <t>2YTA5D60301873</t>
  </si>
  <si>
    <t>THIS WILL BE USED BY THE BENTON HARBOR DEPT OF PUBLIC SAFETY TO STORE AND SECURE CONTROLLED ITEMS THAT WERE REQUISITIONED FROM THE DLA.</t>
  </si>
  <si>
    <t xml:space="preserve">
Sales Order #: 2278279282
RTD Screening Code: DOD
Reason for Rejection: YG</t>
  </si>
  <si>
    <t>2YTA5D60029869</t>
  </si>
  <si>
    <t>THESE ITEMS WOULD BE USED BY THE SWORN DEPUTIES OF THE BENTON COUNTY SHERIFF'S OFFICE IN CONJUNCTION WITH NVG'S FOR THE PURPOSES OF PROMOTING PUBLIC SAFETY DURING NIGHT TIME OPERATIONS.</t>
  </si>
  <si>
    <t>2YTQQY60442787</t>
  </si>
  <si>
    <t>BENTON CSO (2YTQQY)</t>
  </si>
  <si>
    <t>THIS INFRARED ILLUMINATOR WILL BE USED BY SWORN OFFICERS OF THE BENTON COUNTY SHERIFFS OFFICE FOR THE PURPOSE OF NIGHT TIME TACTICAL OPERATIONS SUCH AS HIGH RISK SEARCH WARRANTS, HOSTAGE RESCUE, MAN TRACKING DANGEROUS PERSONS WHILE UNDER NIGHT VISION. THEY WILL SOLELY BE USED FOR LAWFUL LAW ENFORCEMENT ACTIVITIES ENHANCING OPERATIONAL SAFETY FOR LEO AND THE PUBLIC.</t>
  </si>
  <si>
    <t xml:space="preserve">
Sales Order #: 2282173971
RTD Screening Code: DOD
Reason for Rejection: Y9</t>
  </si>
  <si>
    <t>2YTQQY60301797</t>
  </si>
  <si>
    <t>THE BENTON COUNTY SHERIFF'S OFFICE SWAT TEAM WOULD UTILIZE THESE ITEMS IN CONJUNCTION WITH NIGHT VISION ON HIGH RISK OPERATIONS SUCH AS HOSTAGE RESCUE, SEARCH WARRANT SERVICE AND MAN TRACKING OPERATIONS.</t>
  </si>
  <si>
    <t xml:space="preserve">
Sales Order #: 2281754262
RTD Screening Code: DOD
Reason for Rejection: Y9</t>
  </si>
  <si>
    <t>2YTQQY60231135</t>
  </si>
  <si>
    <t>WILL BE UTILIZED BY SHERIFF'S OFFICE SWAT TEAM IN CONJUNCTION WITH NIGHT VISION DEVISES TO ALLOW MORE CAPABILITY WITH HIGH RISK LOW VISIBILITY OPERATIONS TO INCLUDE HIGH RISK SEARCH WARRANTS AND HOSTAGE RESCUE OPERATIONS.</t>
  </si>
  <si>
    <t xml:space="preserve">
Sales Order #: 2280608493
RTD Screening Code: DOD
Reason for Rejection: Y9</t>
  </si>
  <si>
    <t>2YTQQY60090088</t>
  </si>
  <si>
    <t>THE BENTON COUNTY SEARCH AND RESCUE AND DIVE RESCUE IS DEPLOYED 1-2 TIMES A WEEK. THEY SUPPORT OUR OFFICE IN LIFE SAVING MISSIONS AND NEED SOMETHING TO STORE AND TRANSPORT THEIR EQUIPMENT. THIS VEHICLE WOULD SUPPORT OUR RESCUE MISSIONS AND SERVE AS A MUCH-NEEDED RESOURCE FOR US.</t>
  </si>
  <si>
    <t>2YTA4960303903</t>
  </si>
  <si>
    <t>BENTON COUNTY SHERIFFS OFFICE (2YTA49)</t>
  </si>
  <si>
    <t>THE BAY COUNTY SHERIFF'S OFFICE NEEDS THIS LOWBOY SEMI TRAILER TO HAUL EQUIPMENT TO DISASTER ARES THROUGH OUT THE REGION WHEN NATURAL DISASTERS OCCUR. THE BCSO HAS A 24 MAN RESPONSE TEAM THAT IS COMPLETELY SELF SUSTAINED. THIS TEAM HAS TWO CARGO TRUCKS THAT NEED TO BE TRANSPORTED TO THESE DISASTER SITES AND A LOWBED TRAILER IS NEEDED TO ACCOMPLISH THIS WITH SEMI TRUCK TRACTORS OWED BY BCSO.</t>
  </si>
  <si>
    <t xml:space="preserve">
Sales Order #: 2280129739
RTD Screening Code: DOD
Reason for Rejection: YH</t>
  </si>
  <si>
    <t>2YTAYW53609346</t>
  </si>
  <si>
    <t>BAY COUNTY SHERIFF'S OFFICE (2YTAYW)</t>
  </si>
  <si>
    <t>THE BAY COUNTY SHERIFF'S OFFICE NEEDS THIS PIECE OF EQUIPMENT TO MAINTAIN OUR TRAINING GROUNDS PROPERTY. OUR TRAINING GROUNDS COVERS OVER 75 ACRES AND CONTAINS THREE FIREARMS RANGES. THIS EQUIPMENT WOULD BE USEFUL IN MAINTAINING OUR THREE FIREARMS RANGE BERMS.</t>
  </si>
  <si>
    <t xml:space="preserve">
Sales Order #: 2280621831
RTD Screening Code: DOD
Reason for Rejection: YH</t>
  </si>
  <si>
    <t>2YTAYW53609253</t>
  </si>
  <si>
    <t>THE BAY COUNTY SHERIFF'S OFFICE NEEDS THIS TRAILER FOR OUR DISASTER RELIEF TEAMS TO TAKE HIGH WATER VEHICLES TO DISASTER SITES, IE FLOODING, HURRICANE, ETC.
THE BCSO HAS 3 SEMI TRUCK TRACTORS AND THIS TRAILER WILL BE USEFUL.</t>
  </si>
  <si>
    <t xml:space="preserve">
Sales Order #: 2280528992
RTD Screening Code: DOD
Reason for Rejection: YH</t>
  </si>
  <si>
    <t>2YTAYW53609249</t>
  </si>
  <si>
    <t>THE BAY COUNTY SHERIFF'S OFFICE NEEDS THIS LOWBOY TRAILER TO TRANSPORT OVER HEIGHT LOADS TO DISASTER RELIEF AREAS WHEN OUR DISASTER RELIEF TEAMS RESPOND TO DISASTERS THRU OUT THE SOUTHEAST USA.</t>
  </si>
  <si>
    <t xml:space="preserve">
Sales Order #: 2278974116
RTD Screening Code: DOD
Reason for Rejection: YH</t>
  </si>
  <si>
    <t>2YTAYW53256969</t>
  </si>
  <si>
    <t>USE BY BAXTER POLICE DEPARTMENT PATROL ASSIGNED DUTIES TO TRANSPORT AND MOVE LESO ASSETS TO DISASTER RESPONSE LOCATIONS IN RURAL AREAS. THIS WILL REPLACE EXISTING RESOURCES THAT ARE BEYOND REPAIR AND MUST BE REPLACED. THERE IS CURRENTLY NO BUDGETARY FUNDS FOR SUCH ITEMS.</t>
  </si>
  <si>
    <t xml:space="preserve">
Sales Order #: 2282019336
RTD Screening Code: DOD
Reason for Rejection: Y9</t>
  </si>
  <si>
    <t>2YTAYQ60301377</t>
  </si>
  <si>
    <t xml:space="preserve">
Sales Order #: 2279602749
RTD Screening Code: DOD
Reason for Rejection: Y9</t>
  </si>
  <si>
    <t>2YTAYQ60301367</t>
  </si>
  <si>
    <t xml:space="preserve">
Sales Order #: 2282071322
RTD Screening Code: DOD
Reason for Rejection: Y9</t>
  </si>
  <si>
    <t>2YTAYQ60301365</t>
  </si>
  <si>
    <t xml:space="preserve">
Sales Order #: 2281895520
RTD Screening Code: DOD
Reason for Rejection: Z2</t>
  </si>
  <si>
    <t>2YTAYQ60301363</t>
  </si>
  <si>
    <t xml:space="preserve">
Sales Order #: 2278331072
RTD Screening Code: DOD
Reason for Rejection: Z2</t>
  </si>
  <si>
    <t>2YTAYQ60301360</t>
  </si>
  <si>
    <t xml:space="preserve">
Sales Order #: 2281895532
RTD Screening Code: DOD
Reason for Rejection: Y9</t>
  </si>
  <si>
    <t>2YTAYQ60301359</t>
  </si>
  <si>
    <t xml:space="preserve">
Sales Order #: 2281602907
RTD Screening Code: DOD
Reason for Rejection: Y9</t>
  </si>
  <si>
    <t>2YTAYQ60301355</t>
  </si>
  <si>
    <t xml:space="preserve">
Sales Order #: 2280031015
RTD Screening Code: DOD
Reason for Rejection: YH</t>
  </si>
  <si>
    <t>2YTAYQ53468630</t>
  </si>
  <si>
    <t>FOR USE BY THE BASTROP COUNTY SHERIFF'S OFFICE FOR FIELD AND BUSHCRAFT TRAINING.</t>
  </si>
  <si>
    <t xml:space="preserve">
Sales Order #: 2285369349
RTD Screening Code: GSA
Reason for Rejection: Y9</t>
  </si>
  <si>
    <t>2YTN6A60795851</t>
  </si>
  <si>
    <t>FOR USE BY THE BASTROP COUNTY SHERIFF'S OFFICE FOR EMERGENCY FIRST AID TREATMENT IN THE FIELD.</t>
  </si>
  <si>
    <t xml:space="preserve">
Sales Order #: 2285086395
RTD Screening Code: DOD
Reason for Rejection: Y9</t>
  </si>
  <si>
    <t>2YTN6A60725375</t>
  </si>
  <si>
    <t>THE BARBOUR COUNTY SHERIFF'S OFFICE WILL USE THIS VEHICLE FOR UNDERCOVER DRUG ENFORCEMENT OPERATIONS.</t>
  </si>
  <si>
    <t xml:space="preserve">
Sales Order #: 2286598953
RTD Screening Code: DOD
Reason for Rejection: Y9</t>
  </si>
  <si>
    <t>2YTAV960866627</t>
  </si>
  <si>
    <t>BARBOUR COUNTY SHERIFF DEPT (2YTAV9)</t>
  </si>
  <si>
    <t>THE AUGUSTA POLICE DEPARTMENT WOULD USE THIS ATV TO REPLACE A PREVIOUSLY REQUISITIONED ATV THAT HAS DEVELOPED MECHANICAL ISSUES THAT WOULD BE COST PROHIBITIVE TO REPAIR.</t>
  </si>
  <si>
    <t xml:space="preserve">
Sales Order #: 2285840390
RTD Screening Code: DOD
Reason for Rejection: Y9</t>
  </si>
  <si>
    <t>2YTRJ560866701</t>
  </si>
  <si>
    <t>AUGUSTA POLICE DEPARTMENT (2YTRJ5)</t>
  </si>
  <si>
    <t>THE AUGUSTA POLICE DEPARTMENT WOULD USE THIS ATV TO REPLACE A PREVIOUSLY REQUISITIONED ATV THAT HAS DEVELOPED MECHANICAL ISSUES THAT WOULD BE COST PROHIBITIVE TO REPAIR</t>
  </si>
  <si>
    <t xml:space="preserve">
Sales Order #: 2285840412
RTD Screening Code: GSA
Reason for Rejection: Y9</t>
  </si>
  <si>
    <t>2YTRJ560796702</t>
  </si>
  <si>
    <t>THE AUGUSTA POLICE DEPARTMENT IS IN NEED OF A SPARE PATROL VEHICLE</t>
  </si>
  <si>
    <t xml:space="preserve">
Sales Order #: 2285179861
RTD Screening Code: DOD
Reason for Rejection: Y9</t>
  </si>
  <si>
    <t>2YTRJ560725009</t>
  </si>
  <si>
    <t>2YTRJ560594806</t>
  </si>
  <si>
    <t>THE AUGUSTA POLICE DEPARTMENT IS IN NEED OF A REPLACEMENT RESERVE SQUAD.</t>
  </si>
  <si>
    <t xml:space="preserve">
Sales Order #: 2279602742
RTD Screening Code: DOD
Reason for Rejection: Y9</t>
  </si>
  <si>
    <t>2YTRJ560301289</t>
  </si>
  <si>
    <t xml:space="preserve">
Sales Order #: 2282088109
RTD Screening Code: DOD
Reason for Rejection: Y9</t>
  </si>
  <si>
    <t>2YTRJ560301284</t>
  </si>
  <si>
    <t>THE ATTALLA POLICE DEPARTMENT WOULD USE THIS UNIT TO ENHANCE EMERGENCY RESPONSE DURING NATURAL DISASTERS. IT WOULD ALLOW US TO TRANSPORT PERSONNEL, RESCUE EQUIPMENT, BARRICADES, AND SUPPLIES EFFICIENTLY AND SAFELY WHILE SERVING AS A COMMAND STATION. THIS CAPABILITY WILL IMPROVE RESPONSE TIMES, SUPPORT MUTUAL AID OPERATIONS, PROTECT PROPERTY, AND ULTIMATELY SAVE LIVES IN OUR COMMUNITY DURING NATURAL DISASTERS.</t>
  </si>
  <si>
    <t xml:space="preserve">
Sales Order #: 2285176973
RTD Screening Code: DOD
Reason for Rejection: Y9</t>
  </si>
  <si>
    <t>2YTAQS60574700</t>
  </si>
  <si>
    <t>ATTALLA POLICE DEPT (2YTAQS)</t>
  </si>
  <si>
    <t>TO BE USED BY THE ASHVILLE POLICE DEPARTMENT FOR LOCATING SUBJECTS AND OUTSTANDING OFFENDERS IN LOW LIGHT CONDITIONS</t>
  </si>
  <si>
    <t>2YTN5W60866589</t>
  </si>
  <si>
    <t>ASHVILLE POLICE DEPT (2YTN5W)</t>
  </si>
  <si>
    <t>TO BE USED BY THE ASHVILLE POLICE DEPARTMENT FOR PHOTOGRAPHING EVIDENCE AND CRIME SCENES</t>
  </si>
  <si>
    <t xml:space="preserve">
Sales Order #: 2285864000
RTD Screening Code: DOD
Reason for Rejection: Y9</t>
  </si>
  <si>
    <t>2YTN5W60866563</t>
  </si>
  <si>
    <t>WOULD BE USED BY THE ASHVILLE POLICE DEPARTMENT FOR CRIMINAL INVESTIGATION AND ENFORCEMENT.</t>
  </si>
  <si>
    <t xml:space="preserve">
Sales Order #: 2285864237
RTD Screening Code: DOD
Reason for Rejection: Y9</t>
  </si>
  <si>
    <t>2YTN5W60866558</t>
  </si>
  <si>
    <t>TO BE USED BY THE ASHVILLE POLICE DEPARTMENT ON PATROL RIFLES FOR LOW LIGHT OPERATIONS UNDER NIGHT VISION</t>
  </si>
  <si>
    <t>2YTN5W60796590</t>
  </si>
  <si>
    <t>TO BE USED BY THE ASHVILLE POLICE DEPARTMENT FOR APPREHENSION OF OUTSTANDING CRIMINAL SUSPECTS IN LOW LIGHT NO LIGHT CONDITIONS</t>
  </si>
  <si>
    <t xml:space="preserve">
Sales Order #: 2285864262
Reason for Rejection: Y9</t>
  </si>
  <si>
    <t>2YTN5W60796561</t>
  </si>
  <si>
    <t xml:space="preserve">
Sales Order #: 2285864254
RTD Screening Code: DOD
Reason for Rejection: Y9</t>
  </si>
  <si>
    <t>2YTN5W60796560</t>
  </si>
  <si>
    <t>TO USED BY THE ASHVILLE POLICE DEPARTMENT FOR RESPONSE AND ACCESS TO AREAS OF ROUGH TERRAIN NO ACESSABLE BY CONVENTIONAL PATROL VEHICLE</t>
  </si>
  <si>
    <t xml:space="preserve">
Sales Order #: 2280602338
RTD Screening Code: DOD
Reason for Rejection: YF</t>
  </si>
  <si>
    <t>2YTN5W53609427</t>
  </si>
  <si>
    <t>TO BE USED BY THE ASHVILLE POLICE DEPARTMENT FOR LONG DURATION INCIDENTS AND INCIDENTS DURNING INCLIMATE WEATHER</t>
  </si>
  <si>
    <t xml:space="preserve">
Sales Order #: 2280525659
Reason for Rejection: YH</t>
  </si>
  <si>
    <t>2YTN5W53539094</t>
  </si>
  <si>
    <t>THESE GLASS WILL PROTECT ASHLAND COUNTY SHERIFF OFFICE DEPUTIES' EYES.</t>
  </si>
  <si>
    <t xml:space="preserve">
Sales Order #: 2283367074
RTD Screening Code: DOD
Reason for Rejection: Y9</t>
  </si>
  <si>
    <t>2YTA0M60654324</t>
  </si>
  <si>
    <t>THESE WILL ASSIST LAW ENFORCEMENT DEPUTIES AND OR CORRECTIONAL OFFICERS IN THEIR DUTIES, INCLUDING MAINTAINING PEACE AND ORDER.</t>
  </si>
  <si>
    <t xml:space="preserve">
Sales Order #: 2280761032
RTD Screening Code: DOD
Reason for Rejection: Y9</t>
  </si>
  <si>
    <t>2YTA0M60090076</t>
  </si>
  <si>
    <t>THE ASHE COUNTY SHERIFF'S OFFICE REQUESTS THESE ITEMS FOR USE IN COUNTER-DRUG OPERATIONS. THESE SCOPES WILL ALLOW OUR DEPUTIES TO HAVE IMPROVED AIMING CAPABILITY DURING COUNTER-DRUG WARRANT SERVICE. WE HAVE REVIEWED THE CONDITION AND PHOTOS OF THESE ITEMS AND WILL ACCEPT THEM AS-IS.</t>
  </si>
  <si>
    <t xml:space="preserve">
Sales Order #: 2285205883
RTD Screening Code: DOD
Reason for Rejection: Y9</t>
  </si>
  <si>
    <t>2YTA0F60795847</t>
  </si>
  <si>
    <t>THE ASHE COUNTY SHERIFF'S OFFICE REQUEST THESE ITEMS FOR USE IN COUNTER-DRUG OPERATIONS. THESE HEADSETS WILL ALLOW OUR SWORN DEPUTIES TO COMMUNICATE WITH EACH OTHER AND WITH DISPATCH OVER OUR RADIO SYSTEM WHILE SERVING NARCOTICS WARRANTS. WE ARE AWARE OF THE CURRENT CONDITION OF THESE ITEMS, HAVE REVIEWED PHOTOS AND WILL ACCEPT THEM AS-IS.</t>
  </si>
  <si>
    <t xml:space="preserve">
Sales Order #: 2285179868
RTD Screening Code: DOD
Reason for Rejection: Y9</t>
  </si>
  <si>
    <t>2YTA0F60725254</t>
  </si>
  <si>
    <t>THE ASHE COUNTY SHERIFF'S OFFICE REQUESTS THESE ITEMS FOR USE DURING COUNTER-DRUG OPERATIONS. THESE SCOPES WILL ALLOW OUR SWORN DEPUTIES TO HAVE ENHANCED AIMING CAPABILITY DURING DRUG WARRANT SERVICE. WE ARE AWARE OF THEIR CONDITION, HAVE REVIEWED PHOTOGRAPHS AND WILL ACCEPT THEM AS-IS.</t>
  </si>
  <si>
    <t xml:space="preserve">
Sales Order #: 2285178920
RTD Screening Code: DOD
Reason for Rejection: Y9</t>
  </si>
  <si>
    <t>2YTA0F60725099</t>
  </si>
  <si>
    <t>THE MACHETE WILL BE USED BY ARP POLICE DEPARTMENT FOR LAW ENFORCEMENT PURPOSES ONLY. THE CITY OF ARP IS A FARMING COMMUNITY WITH LARGE TRACTS OF LAND. THE MACHETES WILL BE USED TO CLEAR BRUSH WHEN SEARCHING FOR MISSING CHILDREN, ELDERLY WITH DEMENTIA OR SUSPECTS. THE MACHETES WILL ALSO BE USED BY OFFICERS TO HELP CLEAR STORM DEBRIS FROM THE ROADWAY. THE MACHETES WILL BE ASSIGNED TO BOTH PD OWNED VEHICLES AND LESO AWARDED VEHICLES.</t>
  </si>
  <si>
    <t xml:space="preserve">
Sales Order #: 2285333523
RTD Screening Code: GSA
Reason for Rejection: Y9</t>
  </si>
  <si>
    <t>2YTANX60795598</t>
  </si>
  <si>
    <t>THE TOOL KIT WILL BE USED BY THE ARP POLICE DEPARTMENT FOR LAW ENFORCEMENT PURPOSES ONLY. ARP PD HAS AN OFFICER ON STAFF WITH HIS 2 YEAR DEGREE IN AUTOMOTIVE MECHANICS. THE TOOLS WILL BE USED TO CHANGE BRAKES, BATTERIES, ROTATE TIRES, CHANGE OIL, ETC. THIS PAST WEEK THIS OFFICER HAS CHANGED AN ALTERNATOR, BRAKES AND ROTORS SAVING THE PD OVER 1000 DOLLARS IN MAINTENANCE. ARP PD DOES NOT HAVE ONE OF THESE TOOL KITS.</t>
  </si>
  <si>
    <t xml:space="preserve">
Sales Order #: 2285179840
RTD Screening Code: DOD
Reason for Rejection: Y9</t>
  </si>
  <si>
    <t>2YTANX60725199</t>
  </si>
  <si>
    <t xml:space="preserve">
Sales Order #: 2285179926
RTD Screening Code: DOD
Reason for Rejection: YH</t>
  </si>
  <si>
    <t>2YTANX60725198</t>
  </si>
  <si>
    <t>THE TOOL KIT WILL BE USED BY THE ARP POLICE DEPARTMENT FOR LAW ENFORCEMENT PURPOSES ONLY. ARP PD HAS AN OFFICER ON STAFF WITH HIS 2 YEAR DEGREE IN AUTOMOTIVE MECHANICS. THE TOOLS WILL BE USED TO CHANGE BRAKES, BATTERIES, ROTATE TIRES, CHANGE OIL, ETC. THIS PAST WEEK THIS OFFICER HAS CHANGED AN ALTERNATOR, BRAKES AND ROTORS SAVING THE PD OVER 1000 DOLLARS IN MAINTENANCE. ARP PD IS STILL TRYING TO GET A COMPLETE SET. WE WILL NOT RECEIVE THIS ITEM IF IT DOESN'T HAVE THE TOOLS WE ARE MISSING.</t>
  </si>
  <si>
    <t xml:space="preserve">
Sales Order #: 2285179843
RTD Screening Code: DOD
Reason for Rejection: Y9</t>
  </si>
  <si>
    <t>2YTANX60725194</t>
  </si>
  <si>
    <t xml:space="preserve">
Sales Order #: 2285177751
RTD Screening Code: GSA
Reason for Rejection: YH</t>
  </si>
  <si>
    <t>2YTANX60725190</t>
  </si>
  <si>
    <t>THE LUMBER WILL BE USED BY THE ARP POLICE DEPARTMENT FOR LAW ENFORCEMENT PURPOSES ONLY. OFFICERS WILL USE THE LUMBER TO BUILD A SHOOTING PLATFORM ON THE POLICE DEPARTMENT FIREARMS RANGE. THE PLATFORM WILL BE BUILT AT TO 100 YARD LINE FOR LONG DISTANCE SHOOTING ALLOWING OFFICERS TO SHOOT IN THE PRONE WITHOUT GETTING DIRTY.</t>
  </si>
  <si>
    <t xml:space="preserve">
Sales Order #: 2285178140
RTD Screening Code: DOD
Reason for Rejection: Y9</t>
  </si>
  <si>
    <t>2YTANX60725180</t>
  </si>
  <si>
    <t>THE UTV WILL BE USED BY THE ARP POLICE DEPARTMENT FOR LAW ENFORCEMENT PURPOSES ONLY. THE CITY OF ARP IS A FARMING COMMUNITY WITH LARGE TRACTS OF LAND. OFFICERS WILL USE THE UTV TO LOCATE MISSING ELDERLY WITH DEMENTIA, MISSING CHILDREN AND SUSPECTS. ARP PD HAS ONLY BEEN ABLE TO GET 1 OF THE UTVS AWARDED WORKING DUE TO SIGNIFICANT ENGINE AND TRANSMISSION ISSUES.</t>
  </si>
  <si>
    <t xml:space="preserve">
Sales Order #: 2285152368
RTD Screening Code: DOD
Reason for Rejection: Y9</t>
  </si>
  <si>
    <t>2YTANX60724875</t>
  </si>
  <si>
    <t>THE FURNITURE WILL BE USED BY THE ARP POLICE DEPARTMENT FOR AW ENFORCEMENT PURPOSES ONLY. ARP PD IS IN CHARGE OF THE WARMING AND COOLING CENTER FOR THE CITY OF ARP. THE FURNITURE WILL BE USED FOR THE WARMING CENTER WHEN ELECTRICITY GOES OUT AND CITIZENS ARE IN NEED TO STAY WARM.</t>
  </si>
  <si>
    <t xml:space="preserve">
Sales Order #: 2285178199
RTD Screening Code: DOD
Reason for Rejection: Y9</t>
  </si>
  <si>
    <t>FURNITURE, OUTDOOR</t>
  </si>
  <si>
    <t>DSOUTDFUR</t>
  </si>
  <si>
    <t>2YTANX60724870</t>
  </si>
  <si>
    <t>THE CONTAINER WILL BE USED BY THE ARP POLICE DEPARTMENT FOR LAW ENFORCEMENT PURPOSES ONLY. OFFICERS WILL USE THE 20 FOOT CONTAINER TO STORE PD OWNED AND LESO AWARDED EQUIPMENT. THE CONTAINER WILL ALLOW THE PD TO SEPARATE EVIDENCE FROM PROPERTY. THE CONTAINERS WE CURRENTLY HAVE ARE THE SMALL QUADCONS AND ARE TOO SMALL.</t>
  </si>
  <si>
    <t xml:space="preserve">
Sales Order #: 2285179856
RTD Screening Code: DOD
Reason for Rejection: Y9</t>
  </si>
  <si>
    <t>2YTANX60724864</t>
  </si>
  <si>
    <t>THE DUMP TRUCK WILL BE USED BY THE ARP POLICE DEPARTMENT FOR LAW ENFORCEMENT PURPOSES ONLY. OFFICERS WILL PRIMARILY USE THE DUMP TRUCK FOR HIGH WATER RESCUES. THERE IS A PORTION OF THE CITY WHERE WATER TYPICALLY COVERS THE ROADWAY DURING HEAVY RAINS CUTTING THE RESIDENTS OFF FROM BEING ABLE TO LEAVE. THE DUMP TRUCK WILL ALSO BE USED TO PICK UP LESO AWARDED EQUIPMENT AND TO BRING DIRT TO THE PD FIREARMS RANGE TO LEVEL IT OUT.</t>
  </si>
  <si>
    <t xml:space="preserve">
Sales Order #: 2285177750
RTD Screening Code: DOD
Reason for Rejection: Y9</t>
  </si>
  <si>
    <t>2YTANX60724861</t>
  </si>
  <si>
    <t>THE LOW-SPEED FULL-TRACKED TRACTOR WILL BE USED BY THE ARP POLICE DEPARTMENT FOR LAW ENFORCEMENT PURPOSES ONLY. OFFICERS WILL UTILIZE THE TRACTOR AT THE PD FIREARMS RANGE TO BUILD UP THE BERM WHERE THE ROUNDS IMPACT. OFFICERS WILL ALSO USE THE TRACTOR TO ADD FILL DIRT AND LEVEL OUT THE PD FIREARMS RANGE WHERE NEEDED.</t>
  </si>
  <si>
    <t xml:space="preserve">
Sales Order #: 2284436742
RTD Screening Code: DOD
Reason for Rejection: Y9</t>
  </si>
  <si>
    <t>2YTANX60654204</t>
  </si>
  <si>
    <t>THE POWER WRENCH WILL BE USED BY THE ARP POLICE DEPARTMENT FOR LAW ENFORCEMENT PURPOSES ONLY. OFFICERS WILL USE THE POWER WRENCH TO CHANGE OIL, BRAKES AND PERFORM OTHER BASIC MAINTENANCE ON PD VEHS AND LESO AWARDED EQUIPMENT.</t>
  </si>
  <si>
    <t>2YTANX60583912</t>
  </si>
  <si>
    <t>THE POWER WRENCHES WILL BE USED BY THE ARP POLICE DEPARTMENT FOR LAW ENFORCEMENT PURPOSES ONLY. THE POWER WRENCHES WILL USED BY OFFICERS TO CHANGE OIL, BRAKES AND PERFORM OTHER BASIC MAINTENANCE ON PD VEHICLES, PD EQUIPMENT AND LESO EQUIPMENT.</t>
  </si>
  <si>
    <t>CUTTER</t>
  </si>
  <si>
    <t>DSCUTTER0</t>
  </si>
  <si>
    <t>2YTANX60583889</t>
  </si>
  <si>
    <t>THE FLASHLIGHT WILL BE USED BY THE ARP POLICE DEPARTMENT FOR LAW ENFORCEMENT PURPOSES ONLY. OFFICERS WILL USE THE FLASHLIGHTS DURING LOW LIGHT SITUATIONS WHERE A LIGHT IS NEEDED. THE KEY FLASHLIGHTS WILL BE USED TO OPEN DOOR LOCKS, UNLOCK OR DOUBLE LOCK HANDCUFFS, ETC.</t>
  </si>
  <si>
    <t xml:space="preserve">
Sales Order #: 2283211914
RTD Screening Code: DOD
Reason for Rejection: Y9</t>
  </si>
  <si>
    <t>2YTANX60513284</t>
  </si>
  <si>
    <t>THE 20 FOOT CARGO CONTAINER WILL BE USED BY THE ARP POLICE DEPARTMENT FOR LAW ENFORCEMENT PURPOSES ONLY. ARP PD WILL BUILD A SHELVING SYSTEM INSIDE OF THE CONTAINER TO SAFELY AND SECURELY STORE PD OWNED AND LESO AWARDED EQUIPMENT IN PREPARATION FOR USE. THE PREVIOUS CONTAINERS AWARDED ARE QUADCONS AND ARE TOO SMALL TO ORGANIZE EQUIPMENT PROPERLY.</t>
  </si>
  <si>
    <t xml:space="preserve">
Sales Order #: 2283352652
RTD Screening Code: DOD
Reason for Rejection: Y9</t>
  </si>
  <si>
    <t>2YTANX60513002</t>
  </si>
  <si>
    <t>THE SOCKET WILL BE USED BY THE ARP POLICE DEPARTMENT FOR LAW ENFORCEMENT PURPOSES ONLY. THE SOCKET WILL BE USED FOR PD VEHICLE, PD EQUIPMENT AND LESO EQUIPMENT MAINTENANCE. THE SIZE ON THE SOCKET IS 2 INCH 5 16TH. ARP PD DOES NOT HAVE THIS SIZE IN OUR INVENTORY.</t>
  </si>
  <si>
    <t xml:space="preserve">
Sales Order #: 2282167431
RTD Screening Code: DOD
Reason for Rejection: Y9</t>
  </si>
  <si>
    <t>SOCKET,SOCKET WRENCH</t>
  </si>
  <si>
    <t>2YTANX60301812</t>
  </si>
  <si>
    <t>THE ATV WILL BE USED BY THE ARP POLICE DEPARTMENT FOR LAW ENFORCEMENT PURPOSE ONLY. THE CITY OF ARP IS A FARMING COMMUNITY WITH LARGE TRACTS OF LAND. THE ATV WILL BE USED BY OFFICERS TO SEARCH FOR MISSING ELDERLY WITH DEMENTIA, MISSING CHILDREN AND SUSPECTS. THE LAST ATVS WE WERE AWARDED WERE TOO EXPENSIVE TO REPAIR DUE TO TRANSMISSION AND ENGINE PROBLEMS.</t>
  </si>
  <si>
    <t xml:space="preserve">
Sales Order #: 2281548253
RTD Screening Code: DOD
Reason for Rejection: Y9</t>
  </si>
  <si>
    <t>2YTANX60230875</t>
  </si>
  <si>
    <t>THE BATTERY CHARGER WILL BE USED BY THE ARP POLICE DEPARTMENT FOR LAW ENFORCEMENT PURPOSES ONLY. OFFICERS WILL USE THE CHARGER TO CHARGE BATTERIES ON PD VEHICLES, EQUIPMENT AND LESO AWARDED EQUIPMENT.</t>
  </si>
  <si>
    <t xml:space="preserve">
Sales Order #: 2270116894
RTD Screening Code: GSA
Reason for Rejection: YF</t>
  </si>
  <si>
    <t>2YTANX60230869</t>
  </si>
  <si>
    <t xml:space="preserve">
Sales Order #: 2281548271
RTD Screening Code: GSA
Reason for Rejection: YF</t>
  </si>
  <si>
    <t>2YTANX60230864</t>
  </si>
  <si>
    <t xml:space="preserve">
Sales Order #: 2281548292
RTD Screening Code: GSA
Reason for Rejection: YF</t>
  </si>
  <si>
    <t>2YTANX60230850</t>
  </si>
  <si>
    <t>THE BITS WILL BE USED BY THE ARP POLICE DEPARTMENT FOR LAW ENFORCEMENT PURPOSES ONLY. ARP PD HAS AN OFFICER ON STAFF WITH HIS 2 YEAR DEGREE IN AUTOMOTIVE MECHANICS. THE OFFICER PERFORMS BASIC MAINTENANCE ON PD VEHICLES, PD EQUIPMENT AND LESO AWARDED EQUIPMENT.</t>
  </si>
  <si>
    <t xml:space="preserve">
Sales Order #: 2281548250
RTD Screening Code: DOD
Reason for Rejection: Y9</t>
  </si>
  <si>
    <t>2YTANX60230843</t>
  </si>
  <si>
    <t xml:space="preserve">
Sales Order #: 2270116900
RTD Screening Code: DOD
Reason for Rejection: Y9</t>
  </si>
  <si>
    <t>2YTANX60230842</t>
  </si>
  <si>
    <t>THE BATTERY RETAINERS WILL BE USED BY THE ARP POLICE DEPARTMENT FOR LAW ENFORCEMENT PURPOSES ONLY. OFFICERS WILL USE THE RETAINERS TO CHARGE PD VEHICLES, EQUIPMENT AND LESO AWARDED EQUIPMENT.</t>
  </si>
  <si>
    <t xml:space="preserve">
Sales Order #: 2281570813
RTD Screening Code: GSA
Reason for Rejection: YF</t>
  </si>
  <si>
    <t>RETAINER,BATTERY</t>
  </si>
  <si>
    <t>2YTANX60230826</t>
  </si>
  <si>
    <t>THE EXERCISE BICYCLE WILL BE USED BY THE ARP POLICE DEPARTMENT FOR LAW ENFORCEMENT PURPOSES ONLY. ARP PD HAS AN OFFICER WELLNESS POLICY THAT ALLOWS OFFICERS TO WORKOUT WHILE ON DUTY. OFFICERS WILL UTILIZE THE EXERCISE BICYCLES IN THE ARP PD GYM WHILE AT WORK.</t>
  </si>
  <si>
    <t xml:space="preserve">
Sales Order #: 2259195394
RTD Screening Code: DOD
Reason for Rejection: Y9</t>
  </si>
  <si>
    <t>BICYCLE,EXERCISE</t>
  </si>
  <si>
    <t>2YTANX60160368</t>
  </si>
  <si>
    <t>THE LIGHTWEIGHT MAINTENANCE ENCLOSURE WILL BE USED BY THE ARP POLICE DEPARTMENT FOR LAW ENFORCEMENT PURPOSES ONLY. THE ENCLOSURE WILL BE USED BY THE ARP POLICE DEPARTMENT TO PROTECT PD OWNED VEHICLES AND EQUIPMENT AND LESO AWARDED EQUIPMENT FROM THE ELEMENTS.</t>
  </si>
  <si>
    <t xml:space="preserve">
Sales Order #: 2278906231
RTD Screening Code: DOD
Reason for Rejection: YG</t>
  </si>
  <si>
    <t>LIGHTWEIGHT MAINTENANCE ENCLOSURE, TAN</t>
  </si>
  <si>
    <t>2YTANX53327291</t>
  </si>
  <si>
    <t>THE GYM EQUIPMENT WILL BE USED BY THE ARP POLICE DEPARTMENT FOR LAW ENFORCEMENT PURPOSES ONLY. ARP PD HAS AN OFFICER WELLNESS PROGRAM THAT ALLOWS OFFICERS TO WORKOUT WHILE ON DUTY. THE GYM EQUIPMENT WILL BE PLACED IN THE PD GYM TO BE USED BY OFFICERS WHILE ON DUTY.</t>
  </si>
  <si>
    <t xml:space="preserve">
Sales Order #: 2278665538
RTD Screening Code: DOD
Reason for Rejection: YH</t>
  </si>
  <si>
    <t>2YTANX53257023</t>
  </si>
  <si>
    <t xml:space="preserve">
Sales Order #: 2255710575
Reason for Rejection: YG</t>
  </si>
  <si>
    <t>2YTANX4275CG03</t>
  </si>
  <si>
    <t>THE ARKANSAS LAW ENFORCEMENT TRAINING ACADEMY WILL USE THIS FOR HANDLING AND LOADING EQUIPMENT FOR EMERGENCY PREPAREDNESS TRAINING. WILL ALSO USE THIS FOR MOVING AND TRANSPORTING NATURAL DISASTER RESOURCES. FOR LAW ENFORCEMENT USE ONLY.</t>
  </si>
  <si>
    <t xml:space="preserve">
Sales Order #: 2285180192
RTD Screening Code: DOD
Reason for Rejection: Y9</t>
  </si>
  <si>
    <t>2YTALP60725178</t>
  </si>
  <si>
    <t>ARKANSAS LAW ENF TRAINING ACADEMY (2YTALP)</t>
  </si>
  <si>
    <t>THE LIFT WILL BE USED BY  AZ DPS MID AND SWAT UNITS AT THEIR BUILDING AND STORAGE AREA TO SECURE POLICE PROPERTY.</t>
  </si>
  <si>
    <t xml:space="preserve">
Sales Order #: 2286429251
RTD Screening Code: DOD
Reason for Rejection: Y9</t>
  </si>
  <si>
    <t>BOOM,LIFT</t>
  </si>
  <si>
    <t>2YTJLV60937352</t>
  </si>
  <si>
    <t>CONTAINER WILL BE USEDBY SWORN DPS PERSONNEL TO STORE EMERGENCY AND SWAT EQUIPMENT WITHIN THE PHOENIX AREA.</t>
  </si>
  <si>
    <t xml:space="preserve">
Sales Order #: 2285314187
RTD Screening Code: DOD
Reason for Rejection: YG</t>
  </si>
  <si>
    <t>2YTJLV60725469</t>
  </si>
  <si>
    <t>HELMET FLASHLIGHTS WILL BE USED BY SWORN AZ DPS PERSONNEL DURING NARCOTIC AND SWAT OPERATIONS IN THE DESERT.</t>
  </si>
  <si>
    <t>2YTJLV60725452</t>
  </si>
  <si>
    <t>HELMET FLASHLIGHTS WILL BE USED BY SWORN PERSONNEL FROM AZ DPS IN DESERT NARCOTIC AND SWAT OPERATIONS.</t>
  </si>
  <si>
    <t>2YTJLV60725451</t>
  </si>
  <si>
    <t>CONTAINER WILL BE USED BY DPS SWAT TO STORE EQUIPMENT AT THEIR NEW FACILITY.</t>
  </si>
  <si>
    <t xml:space="preserve">
Sales Order #: 2285163520
RTD Screening Code: DOD
Reason for Rejection: Y9</t>
  </si>
  <si>
    <t>2YTJLV60725357</t>
  </si>
  <si>
    <t xml:space="preserve">
Sales Order #: 2285163525
RTD Screening Code: DOD
Reason for Rejection: Y9</t>
  </si>
  <si>
    <t>2YTJLV60725356</t>
  </si>
  <si>
    <t xml:space="preserve">
Sales Order #: 2283314699
RTD Screening Code: DON
Reason for Rejection: YG</t>
  </si>
  <si>
    <t>2YTAK060442699</t>
  </si>
  <si>
    <t>RAIN GEAR FOR TRAINING AND RESPONSE VEHICLE</t>
  </si>
  <si>
    <t xml:space="preserve">
Sales Order #: 2271636465
RTD Screening Code: DOD
Reason for Rejection: Y6</t>
  </si>
  <si>
    <t>2YTN5E60161170</t>
  </si>
  <si>
    <t xml:space="preserve">
Sales Order #: 2271636461
RTD Screening Code: DOD
Reason for Rejection: Y6</t>
  </si>
  <si>
    <t>2YTN5E60161168</t>
  </si>
  <si>
    <t>RAIN GEAR FOR TRAINING VENUES AND RESPONSE VEHICLES</t>
  </si>
  <si>
    <t xml:space="preserve">
Sales Order #: 2271636464
RTD Screening Code: DOD
Reason for Rejection: Y6</t>
  </si>
  <si>
    <t>2YTN5E60161166</t>
  </si>
  <si>
    <t>THIS VEHICLE WILL BE UTILIZED BY LAW ENFORCEMENT PERSONNEL FOR SCENE SAFETY, TRAFFIC CONTROL, EVACUATION ASSISTANCE, EMERGENCY RESPONSE SUPPORT, AND ASSISTING DURING DISASTERS AND CRITICAL INCIDENTS. WE'RE PRONE TO TORNADOES IN THIS AREA, AND WITH US ONLY HAVING A VOLUNTEER FIRE DEPARTMENT WE ARE SOMETIMES THE FIRST TO ARRIVE OR THE ONLY ONE TO ARRIVE ON SCENE. WE ALSO ASSIST THE NEIGHBORING TOWN.</t>
  </si>
  <si>
    <t>2YTAH060020237</t>
  </si>
  <si>
    <t>ALTOONA POLICE DEPT (2YTAH0)</t>
  </si>
  <si>
    <t>WE WOULD USE THIS AS A SAFETY TOOL FOR EMERGENCY RESPONSE AND PUBLIC SAFETY OPERATIONS. AS A SMALL POLICE DEPARTMENT WITH LIMITED PERSONNEL AND A VOLUNTEER FIRE DEPARTMENT, ALTOONA OFFICERS ARE OFTEN THE FIRST AND SOMETIMES ONLY RESPONDERS DURING CRITICAL INCIDENTS. THE UGV WOULD ALLOW OFFICERS TO ASSESS DANGEROUS SITUATIONS REMOTELY, REDUCING RISK TO BOTH RESPONDERS AND CIVILIANS.</t>
  </si>
  <si>
    <t xml:space="preserve">
Sales Order #: 2280129886
Reason for Rejection: YG</t>
  </si>
  <si>
    <t>2YTAH053609883</t>
  </si>
  <si>
    <t>ALPENA COUNTY SHERIFFS DEPARTMENT - THESE GENERATORS WOULD BE USED FOR EMERGENCY POWER IN THE EVENT OF POWER OUTAGES.</t>
  </si>
  <si>
    <t>2YTAG360937034</t>
  </si>
  <si>
    <t>ALPENA COUNTY SHERIFFS DEPARTMENT -  THIS TRAILER WOULD BE USED TO MOVE SUPPLIES FOR NORMAL OPERATIONS AND EMERGENCY SITUATIONS</t>
  </si>
  <si>
    <t xml:space="preserve">
Sales Order #: 2285870169
RTD Screening Code: DOD
Reason for Rejection: Y9</t>
  </si>
  <si>
    <t>2YTAG360866355</t>
  </si>
  <si>
    <t>ALPENA COUNTY SHERIFFS DEPARTMENT - THIS VEHICLE WOULD BE USED FOR ADMINISTRATIVE PURPOSES AND UNDERCOVER OPERATIONS</t>
  </si>
  <si>
    <t xml:space="preserve">
Sales Order #: 2285761799
RTD Screening Code: DOD
Reason for Rejection: Y9</t>
  </si>
  <si>
    <t>2YTAG360866162</t>
  </si>
  <si>
    <t>ALPENA COUNTY SHERIFFS DEPARTMENT - THIS VEHICLE WOULD BE USED FOR DIVE TEAM OPERATIONS AND SPECIAL OPERATIONS</t>
  </si>
  <si>
    <t xml:space="preserve">
Sales Order #: 2285864850
RTD Screening Code: DOD
Reason for Rejection: Y9</t>
  </si>
  <si>
    <t>2YTAG360866152</t>
  </si>
  <si>
    <t>ALPENA COUNTY SHERIFFS DEPARTMENT - THIS VEHICLE WOULD BE USED FOR DIVE TEAM AND SPECIAL OPERATIONS</t>
  </si>
  <si>
    <t xml:space="preserve">
Sales Order #: 2285872653
RTD Screening Code: DOD
Reason for Rejection: Y9</t>
  </si>
  <si>
    <t>2YTAG360866151</t>
  </si>
  <si>
    <t>ALPENA COUNTY SHERIFFS DEPARTMENT-  THIS VEHICLE WOULD BE USED BY THE SHERIFF'S OFFICE FOR ADMINISTRATIVE STAFF AND PLAIN CLOTHS OFFICERS.</t>
  </si>
  <si>
    <t xml:space="preserve">
Sales Order #: 2285178207
RTD Screening Code: DOD
Reason for Rejection: Y9</t>
  </si>
  <si>
    <t>2YTAG360724914</t>
  </si>
  <si>
    <t>ALPENA COUNTY SHERIFFS DEPARTMENT - THIS TRAILER WOULD BE USED TO HAUL EQUIPMENT AND SUPPLIES.</t>
  </si>
  <si>
    <t xml:space="preserve">
Sales Order #: 2285178200
RTD Screening Code: DOD
Reason for Rejection: Y9</t>
  </si>
  <si>
    <t>2YTAG360654479</t>
  </si>
  <si>
    <t>2YTAG360654477</t>
  </si>
  <si>
    <t>ALPENA COUNTY SHERIFFS DEPARTMENT - THIS VEHICLE WOULD BE USED AS A SPECIAL OPERATION VEHICLE, DIVE, ICE, WATER RESCUE EMERGENCY RESPONSE VEHICLE.  IT WOULD ALLOW DIVE EQUIPMENT AND WATER RESCUE EQUIPMENT TO BE STORED IN ONE UNIT AND ALL WOULD BE ACCESSIBLE ON SCENE OF AN INCIDENT.  PERSONNEL WOULD BE ABLE TO WARM UP IN COLDER CLIMATE AND CHANGE INTO GEAR AS NEEDED.</t>
  </si>
  <si>
    <t xml:space="preserve">
Sales Order #: 2283438362
RTD Screening Code: DOD
Reason for Rejection: Y9</t>
  </si>
  <si>
    <t>2YTAG360654308</t>
  </si>
  <si>
    <t>ALPENA COUNTY SHERIFFS DEPARTMENT-  THIS TRAILER WOULD BE USED AS AN INCIDENT COMMAND CENTER AND BACK UP 911 DISPATCH CENTER.  THIS WOULD PROVIDE THE AVAILABILITY OF BEING ABLE TO OPERATE WITH GENERATOR POWER IN THE EVENT OF A MAJOR INCIDENT NATURAL OR OTHERWISE, LIKE WHAT HAPPENED TO NORTHERN MICHIGAN IN 2025.  THIS TRAILER WOULD BE AVAILABLE FOR USE BY MULTIPLE AGENCIES IN NORTHEASTERN MICHIGAN IN THE EVENT OF A MAJOR INCIDENT.</t>
  </si>
  <si>
    <t xml:space="preserve">
Sales Order #: 2283438363
RTD Screening Code: DOD
Reason for Rejection: Y9</t>
  </si>
  <si>
    <t>2YTAG360654271</t>
  </si>
  <si>
    <t>ALPENA COUNTY SHERIFF'S OFFICE - THIS ITEM WOULD BE UTILIZED AS A MOBILE COMMAND UNIT FOR THE SHERIFF'S OFFICE.    THIS ITEM WOULD BE USED IN EMERGENCY SITUATIONS INCLUDING NATURAL DISASTERS.</t>
  </si>
  <si>
    <t>2YTAG360442661</t>
  </si>
  <si>
    <t>ALPENA COUNTY SHERIFFS DEPARTMENT-  THIS ITEM WOULD BE USED TO MOVE EQUIPMENT AND SUPPLIES IN UNEVEN TERRAIN IN NORMAL OPERATIONS AND EMERGENCY SITUATIONS. WE WOULD ALSO USE THIS ITEM FOR BUILDING AND GROUNDS MAINTENANCE.</t>
  </si>
  <si>
    <t xml:space="preserve">
Sales Order #: 2283719841
RTD Screening Code: GSA
Reason for Rejection: Y9</t>
  </si>
  <si>
    <t>2YTAG360233397</t>
  </si>
  <si>
    <t>ALLEGHENY COUNTY HOUSING AUTHORITY POLICE CURRENTLY USES 5.56 RIFLES FOR DUTY AND ALSO HAVE BEEN AWARDED NIGHT VISION FROM THE PROGRAM.  THE USE OF THE ILLUMINATOR WILL BENEFIT THE OFFICERS USING THE NIGHT VISION DURING LATE NIGHT AND EARLY MORNING OPERATIONS</t>
  </si>
  <si>
    <t xml:space="preserve">
Sales Order #: 2278965497
RTD Screening Code: DOD
Reason for Rejection: YH</t>
  </si>
  <si>
    <t>2YTAF853186582</t>
  </si>
  <si>
    <t>ALLEGHENY COUNTY HOUSING AUTH PD (2YTAF8)</t>
  </si>
  <si>
    <t>THE ALABAMA LAW ENFORCEMENT AGENCY CURRENTLY OPERATES A FLEET OF EIGHT OH58 HELICOPTERS.  THE UNIT SUPPORTS STATE, LOCAL AND FEDERAL AGENCIES IN A LAW ENFORCEMENT CAPACITY.  THESE AIRCRAFT ARE USED FOR SEARCHES FOR MISSING CHILDREN, MISSING ALZHEIMER'S PATIENTS, AND FLEEING FUGITIVES.  WE ALSO SUPPORT DRUG ERADICATION PROGRAMS AND HOMELAND SECURITY MISSIONS.  THESE PARTS WILL CONTINUE TO SUSTAIN UNIT OPERATIONS FOR THE FUTURE.</t>
  </si>
  <si>
    <t xml:space="preserve">
Sales Order #: 2283286625
RTD Screening Code: DOD
Reason for Rejection: YH</t>
  </si>
  <si>
    <t>GEARBOX ASSY,T R 90</t>
  </si>
  <si>
    <t>2YTN4N60372560</t>
  </si>
  <si>
    <t>ALABAMA LAW ENFORCEMENT AGENCY (2YTN4N)</t>
  </si>
  <si>
    <t>EXTREME COLD MITTEN SET WILL BE USED BY ALASKA STATE TROOPERS FOR WINTER OPERATIONS INCLUDING VILLAGE VISITS, SNOW MOBILE PATROLS, SEARCH AND RESCUE OPERATIONS, AND GENERAL COLD WEATHER WEAR.</t>
  </si>
  <si>
    <t>MITTENS,EXTREME COL</t>
  </si>
  <si>
    <t>2YTPEJ60583821</t>
  </si>
  <si>
    <t>2YTPEJ60160508</t>
  </si>
  <si>
    <t>2YTPEJ60160506</t>
  </si>
  <si>
    <t>AIKEN PUBLIC SAFETY OFFICERS WILL USE THESE VEHICLE WHEELS TO REPLACE CRACKED WHEELS ON OUR EXISTING HMMWV.</t>
  </si>
  <si>
    <t xml:space="preserve">
Sales Order #: 2283276114
RTD Screening Code: DOD
Reason for Rejection: Y9</t>
  </si>
  <si>
    <t>2YTACL60442897</t>
  </si>
  <si>
    <t>AIKEN PUBLIC SAFETY OFFICERS WILL USE THESE NON-LETHAL FIRING DEVICES TASERS TO ISSUE ON PATROL TO USE A A NON-LETHAL WEAPON OPTION, TO BE USED IN APPROVED HOLSTERS AND WITHIN ADPS POLICIES AND PROCEDURES.</t>
  </si>
  <si>
    <t xml:space="preserve">
Sales Order #: 2278282249
RTD Screening Code: DOD
Reason for Rejection: BQ</t>
  </si>
  <si>
    <t>2YTACL60301545</t>
  </si>
  <si>
    <t xml:space="preserve">
Sales Order #: 2281971422
RTD Screening Code: DOD
Reason for Rejection: BQ</t>
  </si>
  <si>
    <t>2YTACL60301544</t>
  </si>
  <si>
    <t>AIKEN PUBLIC SAFETY OFFICERS WILL USE THESE NON-LETHAL FIRING DEVICES TASERS DAILY ON PATROL AS NON-LETHAL FORCE OPTION AND WITHIN AIKEN PUBLIC SAFETY POLICIES AND PROCEDURES, ATTACHED TO DUTY BELTS IN APPROVED HOLSTER.</t>
  </si>
  <si>
    <t xml:space="preserve">
Sales Order #: 2278282254
RTD Screening Code: DOD
Reason for Rejection: BQ</t>
  </si>
  <si>
    <t>2YTACL60301543</t>
  </si>
  <si>
    <t>THE ADAMSVILLE POLICE DEPARTMENT WILL UTILIZE THIS VEHICLE IN A COMBINATION OF WAYS TO INCLUDE A MOBILE COMMAND AND RESPONSE CENTER DURING TIMES OF NATURAL DISASTERS AND SIGNIFICANT WEATHER EVENTS, AS WELL AS TO HAUL AND TRANSPORT POLICE EQUIPMENT WITHIN OUR JURISDICTION</t>
  </si>
  <si>
    <t>2YTP7K60866532</t>
  </si>
  <si>
    <t>THE ADAMSVILLE POLICE DEPARTMENT WILL UTILIZE THIS VEHICLE AS AN UNDERCOVER VEHICLE WITHIN OUR DEPARTMENT TO BE UTILIZED IN CRIMINAL NARCOTICS INVESTIGATIONS TO COMBAT THE TRAFFICKING AND DELIVERY OF SCHEDULED NARCOTICS WITHIN OUR JURISDICTION</t>
  </si>
  <si>
    <t xml:space="preserve">
Sales Order #: 2285872654
RTD Screening Code: DOD
Reason for Rejection: Y9</t>
  </si>
  <si>
    <t>2YTP7K60866128</t>
  </si>
  <si>
    <t>THE ADAMSVILLE POLICE DEPARTMENT WILL UTILIZE THIS VEHICLE AS A RECRUITMENT VEHICLE AND AT LARGE EVENTS FOR PATROL ACTIVITIES. ALSO, DUE TO THE STYLE OF VEHICLE, THE VEHICLE CAN ALSO BE USED IN INCLEMENT WEATHER SITUATIONS SUCH AS NATURAL DISASTERS</t>
  </si>
  <si>
    <t xml:space="preserve">
Sales Order #: 2285369356
RTD Screening Code: GSA
Reason for Rejection: Y9</t>
  </si>
  <si>
    <t>2YTP7K60795855</t>
  </si>
  <si>
    <t>THE ADAMSVILLE POLICE DEPARTMENT WILL UTILIZE THIS EQUIPMENT IN TIMES OF NATURAL DISASTERS OR SIGNIFICANT WEATHER EVENTS TO ASSIST WITH CLEARING DEBRIS IN AND ABOVE ROADWAYS IN ORDER TO MAKE ROADWAYS PASSABLE FOR EMERGENCY VEHICLES AND EQUIPMENT</t>
  </si>
  <si>
    <t xml:space="preserve">
Sales Order #: 2285178979
RTD Screening Code: DOD
Reason for Rejection: Y9</t>
  </si>
  <si>
    <t>2YTP7K60655055</t>
  </si>
  <si>
    <t>THE ADAMSVILLE POLICE DEPARTMENT WILL UTILIZE THIS TREADMILL TO TRAIN AND CONDITION OUR POLICE OFFICERS SO THEY REMAIN IN QUALITY SHAPE AND ARE ABLE TO PERFORM THEIR DUTIES TO THE BEST OF THEIR ABILITY.</t>
  </si>
  <si>
    <t xml:space="preserve">
Sales Order #: 2283509616
RTD Screening Code: DOD
Reason for Rejection: YH</t>
  </si>
  <si>
    <t>2YTP7K60654547</t>
  </si>
  <si>
    <t>THE ADAMSVILLE POLICE DEPARTMENT WILL USE THIS RESCUE TRUCK TO RESPOND TO MAJOR WIDESPREAD EMERGENCIES WITHOUT OUR JURISDICTION SUCH AS NATURAL DISASTERS AND SIGNIFICANT WEATHER EVENTS. THE RESCUE TRUCK WILL HAUL SUPPLIES AND EQUIPMENT NEEDED FOR OUR DEPARTMENT TO DEPLOY AND RESPOND TO THESE SEVERE EVENTS.</t>
  </si>
  <si>
    <t xml:space="preserve">
Sales Order #: 2284436744
RTD Screening Code: DOD
Reason for Rejection: Y9</t>
  </si>
  <si>
    <t>2YTP7K60654282</t>
  </si>
  <si>
    <t>THE ADAMSVILLE POLICE DEPARTMENT WILL UTILIZE THIS VEHICLE AS A MOBILE COMMAND CENTER FOR OUR DEPARTMENT TO BE DEPLOYED IN TIMES OF NATURAL DISASTERS OR OTHER SIGNIFICANT WEATHER EVENTS, AS WELL AS MAJOR CRIME SCENES AND NARCOTICS INVESTIGATIONS.</t>
  </si>
  <si>
    <t>2YTP7K60584768</t>
  </si>
  <si>
    <t>THE ADAMSVILLE POLICE DEPARTMENT WILL UTILIZE THIS PORTABLE ELECTRIC LIGHTING DURING POLICE OPERATIONS REQUIRING ADDITIONAL LIGHT TO INCLUDE SCENE LIGHTING ON CRIME SCENES, WRECKS, ETC.</t>
  </si>
  <si>
    <t xml:space="preserve">
Sales Order #: 2285178206
RTD Screening Code: DOD
Reason for Rejection: YH</t>
  </si>
  <si>
    <t>2YTP7K60584696</t>
  </si>
  <si>
    <t>THE ADAMSVILLE POLICE DEPARTMENT WILL UTILIZE THESE DEVICES FOR TIME AND RECORD KEEPING DEVICES</t>
  </si>
  <si>
    <t xml:space="preserve">
Sales Order #: 2285179970
RTD Screening Code: GSA
Reason for Rejection: Y9</t>
  </si>
  <si>
    <t>2YTP7K60584691</t>
  </si>
  <si>
    <t>THE ADAMSVILLE POLICE DEPARTMENT WILL UTILIZE THESE PORTABLE POWER SUPPLY CASES TO SUPPLY POWER FOR POLICE OPERATIONS IN REMOTE AREAS OF OUR JURISDICTION WHEN NEEDED.</t>
  </si>
  <si>
    <t xml:space="preserve">
Sales Order #: 2285188780
Reason for Rejection: Y9</t>
  </si>
  <si>
    <t>CASE,POWER SUPPLY</t>
  </si>
  <si>
    <t>2YTP7K60574697</t>
  </si>
  <si>
    <t>THE ADAMSVILLE POLICE DEPARTMENT WILL UTILIZE THIS VEHICLE AS A PATROL VEHICLE IN OUR PATROL FLEET. THE VEHICLE WILL BE ADDED TO OUR FLEET AND USED FOR POLICE PATROL ACTIVITIES AS WELL AS SAFETY AND SECURITY AT COMMUNITY EVENTS AND FUNCTIONS</t>
  </si>
  <si>
    <t xml:space="preserve">
Sales Order #: 2283377043
RTD Screening Code: DOD
Reason for Rejection: Y9</t>
  </si>
  <si>
    <t>2YTP7K60442767</t>
  </si>
  <si>
    <t>MEMBERS OF THE YONKERS POLICE DEPARTMENT SNIPER TEAM WILL USE THESE WEATHER LINER TO KEEP THEIR GEAR COVER AND DRY DURING TRAINING AND DEPLOYMENTS</t>
  </si>
  <si>
    <t>2YTNZL61007573</t>
  </si>
  <si>
    <t>MEMBERS OF THE YONKERS POLICE DEPARTMENT WILL USE THIS VEHICLE TO TRANSPORT DETECTIVE TO CRIME SCENE AND TO BE USED DURING INVESTIGATIONS</t>
  </si>
  <si>
    <t>2YTNZL60795621</t>
  </si>
  <si>
    <t>MEMBERS OF THE YONKERS POLICE DEPARTMENT WILL USE THIS VEHICLE TO TRANSPORT OFFICERS AND SUPPLIES TO EMERGENCY SCENES AND TO BE USED BY PLAIN CLOTHES OFFICERS</t>
  </si>
  <si>
    <t>2YTNZL60795610</t>
  </si>
  <si>
    <t>2YTNZL60795609</t>
  </si>
  <si>
    <t>2YTNZL60795608</t>
  </si>
  <si>
    <t>2YTNZL60795606</t>
  </si>
  <si>
    <t>2YTNZL60795605</t>
  </si>
  <si>
    <t>MEMBERS OF THE YONKERS POLICE DEPARTMENT WILL USE THIS PICKUP TO TRANSPORT OFFICERS AND SUPPLIES TO EMERGENCY SCENES</t>
  </si>
  <si>
    <t>2YTNZL60795604</t>
  </si>
  <si>
    <t>MEMBERS OF THE YONKERS POLICE DEPARTMENT CRIME SCENE UNIT WILL USE THE THIS VEHICLE TO TRANSPORT EQUIPMENT AND OFFICERS TO CRIME SCENES AND GIVE THEM AN AREA TO WORK DURING INCLEMENT WEATHER</t>
  </si>
  <si>
    <t>2YTNZL60795603</t>
  </si>
  <si>
    <t>MEMBERS OF THE YONKERS POLICE DEPARTMENT WILL USE THIS COLD WEATHER JACKET TO KEEP OFFICERS WARM DURING COLD WEATHER TRAINING DRILLS</t>
  </si>
  <si>
    <t>2YTNZL60726072</t>
  </si>
  <si>
    <t>MEMBERS OF THE YONKERS POLICE DEPARTMENT WILL USE THESE COLD WEATHER JACKET DURING COLD AND INCLEMENT WEATHER TO KEEP OFFICERS WARM</t>
  </si>
  <si>
    <t>2YTNZL60726071</t>
  </si>
  <si>
    <t>2YTNZL60726070</t>
  </si>
  <si>
    <t>MEMBERS OF THESE YONKERS POLICE DEPARTMENT WILL USE THESE  LINERS TO KEEP OFFICERS WARM AND DRY DURING INCLEMENT WEATHER</t>
  </si>
  <si>
    <t>2YTNZL60726068</t>
  </si>
  <si>
    <t>THIS WILL BE ASSIGNED TO THE WILSON COUNTY SHERIFF'S OFFICE SPECIAL RESPONSE TEAM WHICH IS TASKED WITH RESPONDING TO CRITICAL INCIDENTS, LIFE SAFETY EMERGENCIES, AND HAZARDOUS EVENTS AT ALL TIMES PUT ESPECIALLY IN NO OR LOW LIGHT SITUATIONS.</t>
  </si>
  <si>
    <t>Rejected by EJH2476.  Comments: REJECT JH CONTACT SITE FOR CONDITION CODE F.</t>
  </si>
  <si>
    <t>2YTNRP60867235</t>
  </si>
  <si>
    <t>THE WILKESBORO POLICE DEPARTMENT IS REQUESTING THESE ITEMS FOR USE IN COUNTER DRUG OPERATIONS.</t>
  </si>
  <si>
    <t>Rejected by EGW0511.</t>
  </si>
  <si>
    <t>2YTNPG60302440</t>
  </si>
  <si>
    <t>THIS VEHICLE WOULD BE USED AS A QUICK RESPONSE MOBILE COMMAND CENTER THAT IS MUCH NEEDED IN OUR AREA. IT CAN BE USED FOR EVENTS SUCH AS NATURAL DISASTERS, ACTIVE SHOOTINGS, TERRORIST EVENTS, AND SPECIAL OPERATIONS.</t>
  </si>
  <si>
    <t>Rejected by ETD1004.  Comments: this was approved for another earlier   requisitioning agency earlier this morning.</t>
  </si>
  <si>
    <t>2YTNNY60796056</t>
  </si>
  <si>
    <t>THIS UNIT WILL BE TRANSITIONED TO OUR COMMAND OPERATIONS VEHICLE TO USE ON EMERGENCY EVENTS, EXECUTION OF HIGH PRIORITY WARRANTS, NATURAL DISASTER EVENTS, AND INMATE ESCAPES FROM TWO PRISON FACILITIES IN OUR CITY LIMITS THAT HOUSE A TOTAL OF OVER 3,500 TDOC INMATES.</t>
  </si>
  <si>
    <t>Rejected by ETD1004.  Comments: approved for an earlier requisitioner.</t>
  </si>
  <si>
    <t>2YTNNY60574655</t>
  </si>
  <si>
    <t>FOR LAW ENFORCEMENT USE ONLY. THE WEST POLICE DEPARTMENT UTILIZES ELEVEN TRAILERS OF VARIOUS SIZES AND TYPE FOR EMERGENCY SERVICES AND DISASTER READINESS. HOWEVER, THE WEST POLICE DEPARTMENT DOES NOT HAVE THIS PARTICULAR TRAILER-CONFIGURATION WHICH INCLUDES AN ATTACHED GENERATOR AND ECU THAT WOULD ALLOW FOR POWER AND CLIMATE CONTROL USE AT THE CITY OF WEST COMMUNITY CENTER WHICH HAS BEEN PREVIOUSLY AND WILL CONTINUE TO BE CONVERTED INTO A TEMPORARY EMERGENCY SHELTER AS NEEDED.</t>
  </si>
  <si>
    <t>Rejected by EJR01036.  Comments: Please call TX LESO at 2543681249.  .</t>
  </si>
  <si>
    <t>2YTPJJ60725524</t>
  </si>
  <si>
    <t>FOR LAW ENFORCEMENT USE ONLY. THE WEST POLICE DEPARTMENT WILL UTILIZE THIS EQUIPMENT TO PROVIDE POWER AND CLIMATE CONTROL TO TEMPORARY EMERGENCY SHELTERS OR EMERGENCY COMMAND POST LOCATIONS DURING DISASTER OR EMERGENCY RESPONSE ACTIONS</t>
  </si>
  <si>
    <t>Rejected by EJR01036.  Comments: LESO SHOWS 11 TRAILERS OF VARIOUS TYPES HAVE BEEN AWARDED YOUR AGENCY. REGARDLESS OF DEMIL CODE, YOU MUST SHOW EXTNUATING REASONS IN YOUR JUSTIFICATION FOR NEEDING MORE THAN THE 11 TRAILERS SHOWING IN FEPMIS. TX LESO.</t>
  </si>
  <si>
    <t>2YTPJJ60725114</t>
  </si>
  <si>
    <t>FOR LAW ENFORCEMENT USE ONLY. THE WEST POLICE DEPARTMENT WILL UTILIZE THIS EQUIPMENT TO PERFORM NEEDED MAINTENANCE ON THE DIRT SAFETY-BERMS OF THE REVIEWED AND PRE-APPROVED TRAINING AND TARGET RANGE FOR POLICE PERSONNEL. THE GROUNDS MAINTENANCE THIS EQUIPMENT WILL PROVIDE WILL ENHANCE THE SAFETY AND EFFICIENCY OF TRAINING LAW ENFORCEMENT PERSONNEL.</t>
  </si>
  <si>
    <t>Rejected by EJR01036.  Comments: PER LESO REQUIREMENT since 2021, please submit photos of your Range sign and or Range showing your agency name to TX LESO before requesting earth moving equipment for Range operations..</t>
  </si>
  <si>
    <t>2YTPJJ60160381</t>
  </si>
  <si>
    <t>THE WEAKLEY COUNTY SHERIFF'S OFFICE COULD UTILIZE THIS VEHICLE FOR MULTIPLE PURPOSES SUCH AS FORCE ON FORCE VEHICLE BASED TRAINING, TRAFFIC STOP TRAINING, AND BOX-IN TRAINING. ALSO, WE COULD UTILIZE THIS VEHICLE FOR VARIOUS ADMIN RELATED TASKS. 
WE HAVE SEEN THE ATTACHED PICTURE AND NOTE AND ARE SATISFIED WITH THE VEHICLE'S CONDITION.</t>
  </si>
  <si>
    <t>Rejected by ETD1004.  Comments: APPROVED FOR AN EARLIER REQUISITIONER.</t>
  </si>
  <si>
    <t>2YTNED60725179</t>
  </si>
  <si>
    <t>THE WEAKLEY COUNTY SHERIFF'S OFFICE IS REQUESTING THIS TRAILER TO TRANSPORT AWARDED LESO ITEMS, AS WELL AS ANY OTHER ITEMS THAT THE SHERIFF'S OFFICE WOULD NEED TRANSPORTED.  I HAVE SEEN THE INCLUDED PHOTOS AND AM SATISFIED WITH IT'S CONDITION.</t>
  </si>
  <si>
    <t>2YTNED60725149</t>
  </si>
  <si>
    <t>THESE GLASSES WOULD BE UTILIZED AS EYE PROTECTION DURING TRAINING OR LAW ENFORCEMENT EVENTS.</t>
  </si>
  <si>
    <t>Rejected by EKJ00183.  Comments: LEA has not contacted the DLA Disposition Site. His narrative lacks detailed justification. Condition Code is H,  (unserviceable-condemned).  KJ-SC.</t>
  </si>
  <si>
    <t>2YTNBW60160674</t>
  </si>
  <si>
    <t>THE WASHINGTON COUNTY SHERIFF'S OFFICE WOULD USE THIS VEHICLE FOR LAW ENFORCEMENT PURPOSES. WE WOULD USE THE VEHICLE FOR THE BOAT TEAM.</t>
  </si>
  <si>
    <t>2YTM9S61007785</t>
  </si>
  <si>
    <t>THE WASHINGTON COUNTY SHERIFF'S OFFICE WOULD USE WOULD USE THE LOADER TO HELP BUILD OUR RANGE OPERATIONS</t>
  </si>
  <si>
    <t>2YTM9S60724987</t>
  </si>
  <si>
    <t>THE WASHINGTON COUNTY SHERIFFS OFFICE WOULD USE THE LOADERS FOR RANGE OPERATIONS</t>
  </si>
  <si>
    <t>Rejected by ETD1004.  Comments: indicates the units are inoperable.</t>
  </si>
  <si>
    <t>2YTM9S60655323</t>
  </si>
  <si>
    <t>THE WASHINGTON SHERIFFS OFFICE WILL USE THIS VEHICLE FOR LAW ENFORCEMENT PURPOSES. THE SHERIFFS DEPT WILL USE THE LOADERS AROUND THE DEPARTMENT TO HELP MOVE EQUIPMENT</t>
  </si>
  <si>
    <t>Rejected by EJH2476.  Comments: REJECT JH OVERDUE PROPERTY.</t>
  </si>
  <si>
    <t>2YTM9S60512964</t>
  </si>
  <si>
    <t>THE WASHINGTON COUNTY SHERIFF'S OFFICE WOULD USE WOULD USE THE MODULAR TENT SYSTEM FOR DISASTER PREPAREDNESS AND EMERGENCY SHELTER FOR NATURAL DISASTERS..</t>
  </si>
  <si>
    <t>Rejected by ETD1004.  Comments: LESO IS NOT ALLOWING REQUISITIONAL APPROVAL UNTIL THE SHUTDOWN IS OVER.</t>
  </si>
  <si>
    <t>TENT, M SHELTER, TAN, DRASH</t>
  </si>
  <si>
    <t>2YTM9S60372335</t>
  </si>
  <si>
    <t>THE WASHINGTON COUNTY SHERIFF'S OFFICE WOULD USE THIS VEHICLE FOR SWAT OPERATIONS</t>
  </si>
  <si>
    <t>2YTM9S60303928</t>
  </si>
  <si>
    <t>WASHINGTON COUNTY SHERIFF'S OFFICE IS A LAW ENFORCEMENT AGENCY IN THE STATE OF VIRGINIA. OUR AGENCY COULD USE THIS BACK-HOE FOR DIGGING AND DUMPING GRAVEL AND DIRT. THIS PIECE OF EQUIPMENT WILL BE USED BY LAW ENFORCEMENT PERSONNEL.</t>
  </si>
  <si>
    <t>Rejected by ECG1611.</t>
  </si>
  <si>
    <t>2YTM9Q60936919</t>
  </si>
  <si>
    <t>WASHINGTON COUNTY SHERIFF'S OFFICE IS A LAW ENFORCEMENT AGENCY IN THE STATE OF VIRGINIA. OUR AGENCY COULD USE THIS SUV FOR PATROLING AND PRISONER TRANSPORTS. THIS VEHICLE WILL BE USED BY LAW ENFORCEMENT PERSONNEL.</t>
  </si>
  <si>
    <t>2YTM9Q60866186</t>
  </si>
  <si>
    <t>2YTM9Q60866183</t>
  </si>
  <si>
    <t>LEO USE ONLY.  THIS LEO WOULD UTILIZE THIS PICKUP TRUCK IN THE DETECTIVE BUREAU TO ACT AS A UNDER COVER VEHICLE.</t>
  </si>
  <si>
    <t>Rejected by EDP0815.  Comments: LEA is not authorized to obtain this item type by their civilian governing (CGB) via a 1033 Program Resolution for calendar year 2026 which must be passed by the LEA's CGB. This requirement is State law in New Jersey. The NJ 1033 Program LESO must have a copy on file for the LEA..</t>
  </si>
  <si>
    <t>2YTRHQ60937159</t>
  </si>
  <si>
    <t>WANAQUE POLICE DEPARTMENT (2YTRHQ)</t>
  </si>
  <si>
    <t>TO BE USED BY POLICE OFFICERS OF THE WALLINGTON POLICE DEPARTMENT AS COMPUTER WORKSTATIONS TO COMPLETE OUR UPGRADE TO WINDOWS 11 FBI CJIS COMPLIANCE.</t>
  </si>
  <si>
    <t>Rejected by EAZ0039.  Comments: LEA must await the resolution of reported lost or missing Program property. No requests can be approved..</t>
  </si>
  <si>
    <t>2YTM5660442751</t>
  </si>
  <si>
    <t>TO BE USED BY POLICE OFFICERS OF THE WALLINGTON POLICE DEPARTMENT TO PROVIDE WIRELESS ACCESS TO TELEPHONE LINES.</t>
  </si>
  <si>
    <t>Rejected by EAZ0039.  Comments: LEA does not have a governing body resolution on file for calendar year 2026 and therefore cannot be approved for any items. .</t>
  </si>
  <si>
    <t>TELEPHONE</t>
  </si>
  <si>
    <t>DSTELEPHO</t>
  </si>
  <si>
    <t>2YTM5660231061</t>
  </si>
  <si>
    <t>TO BE USED BY POLICE OFFICERS OF THE WALLINGTON POLICE DEPARTMENT TO UPGRADE CURRENT DESKTOP COMPUTER SYSTEMS TO ACCESS LAW ENFORCEMENT SOFTWARE APPLICATIONS.</t>
  </si>
  <si>
    <t>Rejected by EAZ0039.  Comments: LEA does not have a governing body resolution on file for calendar year 2026 and therefore cannot be approved for any items..</t>
  </si>
  <si>
    <t>2YTM5660231060</t>
  </si>
  <si>
    <t>FOR USE BY ON DUTY SWORN OFFICERS ONLY. EQUIPMENT WILL BE USED BY TRAINED OFFICERS. EQUIPMENT WILL BE USED TO ENHANCE RESPONSE CAPABILITY WHEN CONDUCTING COUNTER NARCOTICS OPERATIONS AND RESPONDING TO ACTS OF TERRORISM. ADDITIONALY WILL BE USED TO SIGNAL TO AIR ASSETS AND AID IN SEARCH AND RESCUE OPERATIONS. THE HOLDING FACILITY HAS BEEN CONTACTED TO VERIFY CONDITIONS.</t>
  </si>
  <si>
    <t>Rejected by EGW0511.  Comments: Missing agency Name in justification.</t>
  </si>
  <si>
    <t>2YTM4Z60866595</t>
  </si>
  <si>
    <t>THE VONORE POLICE DEPARTMENT IS REQUESTING THIS TRUCK FOR THE PURPOSES OF PULLING DEPARTMENT EQUIPMENT ON LONG DISTANCE TRIPS. THE DEPARTMENT WOULD ALSO USE THIS TRUCK FOR OFFICERS TO DRIVE TO TRAINING HELD AWAY FROM THE DEPARTMENT LOCATION. THE DEPARTMENT WOULD ACCEPT AS IN CONDITION.</t>
  </si>
  <si>
    <t>2YTM3P61007788</t>
  </si>
  <si>
    <t>THE VONORE POLICE DEPARTMENT WOULD UTILIZE THIS TRACTOR TO MAINTAIN THE DEPARTMENT IMPOUND LOT WERE SEIZED VEHICLES ARE STORED. THE DEPARTMENT WOULD ALSO USE THIS TRACTOR TO MAINTAIN TRAINING GROUND TO ENSURE OFFICER SAFETY DURING TRAINING SESSIONS. THE DEPARTMENT WILL ACCEPT AS IN CONDITION.</t>
  </si>
  <si>
    <t>Rejected by EJH2476.  Comments: REJECT JH.</t>
  </si>
  <si>
    <t>2YTM3P60937048</t>
  </si>
  <si>
    <t>2YTM3P60937045</t>
  </si>
  <si>
    <t>THE VONORE POLICE DEPARTMENT WOULD UTILIZE THIS SKID STEER TO MAINTAIN THE DEPARTMENT IMPOUND LOT WHERE SEIZED VEHICLE IS STORED AND IMPROVE TRAINING GROUNDS FOR SAFETY OF OFFICERS. THIS ITEM WOULD ALSO BE USED DURING AN EVIDENCE DESTRUCTION PROCESS. THE DEPARTMENT WILL ACCEPT AS IN CONDITION.</t>
  </si>
  <si>
    <t>2YTM3P60654405</t>
  </si>
  <si>
    <t>THE POLICE DEPARTMENT WOULD UTILIZE THIS TRACTOR TO MAINTAIN THE DEPARTMENT IMPOUND LOT AND TRAINING GROUNDS. THE TRACTOR WOULD ALSO BE USED DURING EVIDENCE DESTRUCTION PROCESS. THE DEPARTMENT WILL ACCEPT AS-IN CONDITION.</t>
  </si>
  <si>
    <t>Rejected by EJH2476.  Comments: REJECT JH OVER ALLOCATION.</t>
  </si>
  <si>
    <t>2YTM3P60160399</t>
  </si>
  <si>
    <t>EMERGENCY PREPAREDNESS. WEATHER RELATED MOBILITY TO CALLS</t>
  </si>
  <si>
    <t>Rejected by EBB00531.</t>
  </si>
  <si>
    <t>2YTLXK60725829</t>
  </si>
  <si>
    <t>THIS WILL BE USED FOR LAW ENFORCEMENT OPERATIONS.</t>
  </si>
  <si>
    <t>Rejected by ESF0140.</t>
  </si>
  <si>
    <t>2YTLTK60442570</t>
  </si>
  <si>
    <t>THE TEXARKANA POLICE DEPARTMENT WILL USE THE ROBOT TO ENHANCE OFFICER AND PUBLIC SAFETY DURING CRITICAL INCIDENTS, INCLUDING HAZARDOUS SITUATIONS, BARRICADED SUBJECTS, SUSPICIOUS PACKAGES, AND SEARCH OPERATIONS. THE SYSTEM WILL PROVIDE REMOTE OBSERVATION, COMMUNICATION, AND TACTICAL SUPPORT WHILE REDUCING RISK TO PERSONNEL AND IMPROVING OPERATIONAL EFFECTIVENESS DURING TRAINING AND REAL-WORLD RESPONSES. LAW ENFORCEMENT ONLY.</t>
  </si>
  <si>
    <t>Rejected by EJR00818.  Comments: Item inoperable LEA declined .</t>
  </si>
  <si>
    <t>2YTLR860935014</t>
  </si>
  <si>
    <t>THE TEXARKANA POLICE DEPARTMENT WILL USE THE OPTICS TO ENHANCE OFFICER SAFETY AND OPERATIONAL EFFECTIVENESS DURING PATROL, TRAINING, AND CRITICAL INCIDENTS. THESE OPTICS WILL IMPROVE TARGET IDENTIFICATION, ACCURACY, AND SITUATIONAL AWARENESS IN VARIED LIGHTING AND ENVIRONMENTAL CONDITIONS, SUPPORTING LAWFUL ENFORCEMENT ACTIONS AND REALISTIC TRAINING APPLICATIONS. FOR LAW ENFORCEMENT ONLY.</t>
  </si>
  <si>
    <t>Rejected by EJR00818.  Comments: Item not functioning .</t>
  </si>
  <si>
    <t>2YTLR860301537</t>
  </si>
  <si>
    <t>2YTLR860301536</t>
  </si>
  <si>
    <t>THIS VEHICLE IS NEEDED TO FIGHT THE WAR ON DRUGS. THIS VEHICLE IS NEEDED BY THE POLICE DEPARTMENT TO DRIVE FOR POLICE TRAINING. TELLICO PLAINS POLICE DEPARTMENT TAKES ALL COST AND EXPENSE AND RESPONSIBILITIES FOR THE VEHICLE.</t>
  </si>
  <si>
    <t>2YTLRG60866521</t>
  </si>
  <si>
    <t>THIS VEHICLE WOULD HELP THE POLICE DEPARTMENT BY IMPROVING FIRST RESPONDER TIME AND REDUCE HARM TO CIVILIANS AND THE ENVIRONMENT. THE POLICE DEPARTMENT WOULD BE READY FOR NATURAL DISASTERS CAUSING SECONDARY HAZARDOUS EXPOSURES. THROUGH MUTUAL AID AGREEMENTS, THE POLICE READY VEHICLE COULD SUPPORT SURROUNDING COUNTIES. TELLICO PLAINS POLICE DEPARTMENT ASSUMES ALL COSTA ND EXPENSES.</t>
  </si>
  <si>
    <t>Rejected by ETD1004.  Comments: awarded to an earlier requisitioner.</t>
  </si>
  <si>
    <t>2YTLRG60654236</t>
  </si>
  <si>
    <t>THIS VEHICLE WILL BE USED FOR LAW ENFORCEMENT SUPPORT PURPOSES, INCLUDING EQUIPMENT TRANSPORT TO THE RANGE, EMERGENCY RESPONSE, DISASTER ASSISTANCE, AND OTHER OPERATIONAL NEEDS WHERE A STANDARD PATROL VEHICLE IS INSUFFICIENT. TELLICO POLICE DEPT ASSUME ALL COSTS AND RESPONSIBLITIES, IF AWARDED.</t>
  </si>
  <si>
    <t>2YTLRG60371975</t>
  </si>
  <si>
    <t>THE TEHAMA COUNTY SHERIFF'S OFFICE WILL USE MINE RESISTANT VEHICLE AS A SWAT EMERGENCY RESPONSE VEHICLE, RESPONDING TO ACTIVE SHOOTER AND OFFICER DOWN INCIDENTS TO SAVE LIVES AND AS A HIGH WATER RESCUE VEHICLE TO BE USED TO RESCUE THOSE TRAPPED IN LOW LYING AREAS OF THE COUNTY THAT FREQUENTLY FLOOD.</t>
  </si>
  <si>
    <t>Rejected by ECB3732.  Comments: This vehicle is not available through RTD.</t>
  </si>
  <si>
    <t>MINE RESISTANT VEHICLE</t>
  </si>
  <si>
    <t>2YTLQ760725120</t>
  </si>
  <si>
    <t xml:space="preserve">
THE TAYLORSVILLE POLICE DEPARTMENT IS REQUESTING THE PROCUREMENT OF A CONTAINERIZED FIELD KITCHEN TO ENHANCE OPERATIONAL SUSTAINABILITY AND SUPPORT DISASTER-RELATED EMERGENCY RESPONSE AND PREPAREDNESS. DURING LARGE-SCALE EMERGENCIES AND EXTENDED OPERATIONS, LAW ENFORCEMENT PERSONNEL AND PARTNERING EMERGENCY RESPONDERS MAY BE REQUIRED TO OPERATE IN THE FIELD FOR PROLONGED PERIODS OF TIME. A CONTAINERIZED FIELD KITCHEN WILL PROVIDE THE CAPABILITY TO PREPARE AND SERVE MEALS TO OFFICERS</t>
  </si>
  <si>
    <t>Rejected by EED0396.</t>
  </si>
  <si>
    <t>CONTAINERIZED,KITCHEN WITH TRAILER</t>
  </si>
  <si>
    <t>2YTLQQ60745935</t>
  </si>
  <si>
    <t>THE TAYLORSVILLE POLICE DEPARTMENT IS REQUESTING XEROGRAPHIC PAPER TO SUPPORT OPERATIONAL DOCUMENTATION AND ADMINISTRATIVE FUNCTIONS RELATED TO COUNTER-DRUG OPERATIONS. RELIABLE ACCESS TO PRINTING AND DOCUMENTATION MATERIALS IS ESSENTIAL FOR MAINTAINING ACCURATE RECORDS, PREPARING OPERATIONAL PLANS, AND PRODUCING CRITICAL MATERIALS USED DURING LAW ENFORCEMENT INVESTIGATIONS AND ENFORCEMENT ACTIVITIES.</t>
  </si>
  <si>
    <t>PAPER,XEROGRAPHIC</t>
  </si>
  <si>
    <t>2YTLQQ60745926</t>
  </si>
  <si>
    <t>THE TAYLORSVILLE POLICE DEPARTMENT IS REQUESTING THE PROCUREMENT OF A DEFENSIVE TACTICS TRAINING SUIT TO ENHANCE OFFICER SAFETY AND PREPAREDNESS, PARTICULARLY IN SUPPORT OF COUNTER-DRUG OPERATIONS. LAW ENFORCEMENT OFFICERS FREQUENTLY ENCOUNTER UNPREDICTABLE AND POTENTIALLY VIOLENT SITUATIONS DURING NARCOTICS INVESTIGATIONS, ARRESTS, AND ENFORCEMENT ACTIONS. PROPER TRAINING IN DEFENSIVE TACTICS IS ESSENTIAL TO ENSURE OFFICER SAFETY.</t>
  </si>
  <si>
    <t>TRAINING SUIT,FULL,DEFENSIVE TACTICS SIM</t>
  </si>
  <si>
    <t>2YTLQQ60745925</t>
  </si>
  <si>
    <t>THE TAYLORSVILLE POLICE DEPARTMENT IS REQUESTING THE TRUCK VAN TO ENHANCE OPERATIONAL CAPABILITY AND SUPPORT DISASTER-RELATED EMERGENCY RESPONSE AND PREPAREDNESS AS WELL AS SEARCH AND RESCUE OPERATIONS. THIS VEHICLE WOULD PROVIDE THE DEPARTMENT WITH A DURABLE, HIGH-CLEARANCE PLATFORM CAPABLE OF OPERATING IN DIFFICULT TERRAIN AND HAZARDOUS ENVIRONMENTS WHERE STANDARD PATROL VEHICLES ARE UNABLE TO SAFELY TRAVEL.</t>
  </si>
  <si>
    <t>2YTLQQ60745642</t>
  </si>
  <si>
    <t xml:space="preserve">THE TAYLORSVILLE POLICE DEPARTMENT IS REQUESTING THE PROCUREMENT OF A PLASMA CUTTER TO ENHANCE OPERATIONAL CAPABILITIES AND SUPPORT DISASTER-RELATED EMERGENCY RESPONSE AND PREPAREDNESS AS WELL AS SEARCH AND RESCUE OPERATIONS. THIS EQUIPMENT WILL PROVIDE OFFICERS WITH THE ABILITY TO QUICKLY AND SAFELY CUT THROUGH METAL OBSTACLES DURING EMERGENCY SITUATIONS WHERE RAPID ACCESS IS CRITICAL TO SAVING LIVES.
</t>
  </si>
  <si>
    <t>2YTLQQ60745639</t>
  </si>
  <si>
    <t>THE TAYLORSVILLE POLICE DEPARTMENT IS REQUESTING THE PROCUREMENT OF THE ALL-TERRAIN VEHICLES TO ENHANCE OPERATIONAL CAPABILITY AND SUPPORT SEARCH AND RESCUE OPERATIONS AND DISASTER-RELATED EMERGENCY RESPONSE AND PREPAREDNESS. THE GEOGRAPHIC LANDSCAPE OF THE REGION INCLUDES RURAL AREAS, WOODED TERRAIN, FARMLAND, AND LOCATIONS THAT ARE NOT EASILY ACCESSIBLE BY TRADITIONAL PATROL VEHICLES.</t>
  </si>
  <si>
    <t>2YTLQQ60745624</t>
  </si>
  <si>
    <t>2YTLQQ60745623</t>
  </si>
  <si>
    <t>2YTLQQ60745622</t>
  </si>
  <si>
    <t>THE TAYLORSVILLE POLICE DEPARTMENT IS REQUESTING THE PROCUREMENT OF THE TENT REPAIR KITS TO ENSURE THE CONTINUED FUNCTIONALITY AND RELIABILITY OF TENT SHELTER SYSTEMS USED DURING DISASTER-RELATED EMERGENCY RESPONSE AND PREPAREDNESS OPERATIONS.</t>
  </si>
  <si>
    <t>REPAIR KIT,TENTAGE, BASE-X</t>
  </si>
  <si>
    <t>2YTLQQ60745620</t>
  </si>
  <si>
    <t>THE TAYLORSVILLE POLICE DEPARTMENT IS REQUESTING THE PROCUREMENT OF DUTY-GRADE FLASHLIGHTS TO ENHANCE OFFICER SAFETY AND OPERATIONAL EFFECTIVENESS IN SUPPORT OF SEARCH AND RESCUE OPERATIONS AND DISASTER-RELATED EMERGENCY RESPONSE AND PREPAREDNESS. RELIABLE ILLUMINATION TOOLS ARE CRITICAL FOR LAW ENFORCEMENT PERSONNEL WHO FREQUENTLY OPERATE IN LOW-LIGHT OR NO-LIGHT ENVIRONMENTS DURING EMERGENCY RESPONSE SITUATIONS.</t>
  </si>
  <si>
    <t>2YTLQQ60745619</t>
  </si>
  <si>
    <t xml:space="preserve">
THE TAYLORSVILLE POLICE DEPARTMENT IS SEEKING THE PROCUREMENT OF THERMAL INSULATION IMPROVEMENTS FOR ITS FACILITY TO STRENGTHEN OPERATIONAL RESILIENCE AND SUPPORT DISASTER-RELATED EMERGENCY RESPONSE AND PREPAREDNESS. MAINTAINING A STABLE, EFFICIENT, AND PROTECTED FACILITY ENVIRONMENT IS ESSENTIAL TO ENSURING THAT CRITICAL LAW ENFORCEMENT OPERATIONS CAN CONTINUE WITHOUT INTERRUPTION DURING EMERGENCIES.
</t>
  </si>
  <si>
    <t>WALLBOARD, PAPER, THERMAL INSUL, ROLL</t>
  </si>
  <si>
    <t>DSINSULA0</t>
  </si>
  <si>
    <t>2YTLQQ60745618</t>
  </si>
  <si>
    <t>THE TAYLORSVILLE POLICE DEPARTMENT IS REQUESTING THE TENTS TO ENHANCE OPERATIONAL CAPABILITIES DURING DISASTER-RELATED EMERGENCY RESPONSE AND PREPAREDNESS. THESE TENTS WILL PROVIDE A MOBILE, TEMPORARY SHELTER THAT CAN BE RAPIDLY DEPLOYED TO SUPPORT LAW ENFORCEMENT OPERATIONS, INCIDENT COMMAND FUNCTIONS, AND COMMUNITY ASSISTANCE DURING EMERGENCIES.</t>
  </si>
  <si>
    <t>2YTLQQ60745616</t>
  </si>
  <si>
    <t>THE TAYLORSVILLE POLICE DEPARTMENT IS REQUESTING THE SONIC CLEANER TO PROPERLY CLEAN AND MAINTAIN FIREARM COMPONENTS, ENSURING OUR DUTY WEAPONS REMAIN IN OPTIMAL WORKING CONDITION. BY IMPROVING OUR ABILITY TO EFFECTIVELY MAINTAIN WEAPON SYSTEMS, THIS EQUIPMENT WOULD DIRECTLY SUPPORT OFFICER PREPAREDNESS FOR COUNTER-DRUG OPERATIONS AND COUNTER-TERRORISM RESPONSE, WHERE DEPENDABLE EQUIPMENT IS ESSENTIAL.</t>
  </si>
  <si>
    <t>CLEANER,SONIC</t>
  </si>
  <si>
    <t>2YTLQQ60744162</t>
  </si>
  <si>
    <t>THE TAYLORSVILLE POLICE DEPARTMENT IS REQUESTING THE PROCUREMENT OF KA-BAR STYLE UTILITY KNIVES TO ENHANCE OFFICER PREPAREDNESS AND SUPPORT DISASTER-RELATED EMERGENCY RESPONSE AND SEARCH AND RESCUE OPERATIONS. THESE DURABLE FIXED-BLADE KNIVES SERVE AS ESSENTIAL FIELD TOOLS THAT ASSIST OFFICERS IN PERFORMING CRITICAL TASKS DURING EMERGENCY AND OPERATIONAL SITUATIONS.</t>
  </si>
  <si>
    <t>2YTLQQ60744159</t>
  </si>
  <si>
    <t>THIS EQUIPMENT WILL BE USED FOR LAW ENFORCEMENT PURPOSES ONLY BY THE SWEETWATER POLICE DEPARTMENT TO FURTHER ENHANCE VISUAL RANGE WHEN DEPLOYING DEPARTMENT ISSUED PATROL RIFLES.</t>
  </si>
  <si>
    <t>Rejected by ERA00143.</t>
  </si>
  <si>
    <t>2YTLN160655143</t>
  </si>
  <si>
    <t>THIS AGENCY IS IN NEED OF A VEHICLE TO TRANSPORT TACTICAL TEAM AS A COMBINED UNIT.  CURRENTLY TEAM MEMBERS HAVE TO DRIVE INDEPENDENTLY TO A DEPLOYED THEN ASSEMBLE.  HAVING A SINGLE VEHICLE FOR TRANSPORT WILL ENABLE ALL MEMBERS TO ARRIVE AT THE SAME TIME OVERWHELMING ENHANCING OFFICER SAFETY AND CONTINUITY</t>
  </si>
  <si>
    <t>2YTLG760937508</t>
  </si>
  <si>
    <t>THE VIRGINIA STATE POLICE REQUESTS THIS VEHICLE TO BE UTILIZED BY SWORN PERSONNEL DURING SEARCH AND RESCUE OPERATIONS.</t>
  </si>
  <si>
    <t>2YTMXW60654534</t>
  </si>
  <si>
    <t>FOR THIS LEA ONLY. THE VEHICLE WILL ASSIST OUR AGENCY WITH TRANSPORTING PERSONNEL DURING NATURAL DISASTERS OR HIGH-WATER RESCUE SITUATIONS.</t>
  </si>
  <si>
    <t>2YTLE260937445</t>
  </si>
  <si>
    <t>STAFFORD TOWNSHIP POLICE DEPT (2YTLE2)</t>
  </si>
  <si>
    <t>THIS ASSET WOULD BENEFIT THIS AGENCY AND OFFICERS BY ALLOWING US TO UTILIZE THIS AS A PARTS VEHICLE FOR THE OTHER ASSET TO REPAIR THE BIGGER ONE TO USEABLE CONDITION THIS WOULD ALSO ALLOW US TO HAVE PARTS ON HAND IN CASE THE OTHER ONE BREAKS DOWN</t>
  </si>
  <si>
    <t>Rejected by ETD1004.  Comments: agency has requisitioned 6 in the last  2 years.</t>
  </si>
  <si>
    <t>2YTS0861007635</t>
  </si>
  <si>
    <t>THIS ASSET WOULD BENEFIT THIS AGENCY AND OFFICERS BY ALLOWING US TO UTILIZE THIS AS A TRANSPORT VEHICLE FOR INDIVIDUALS DURING SPECIAL EVENTS OR RUNNING SUPPLIES BACK AND FORTH FROM OUR RANGE HOUSE TO THE RANGE LINE  THIS WOULD KEEP OFFICERS FROM INJURIES OR FATIGUE. I SPOKE WITH FORT IT NEEDS MINIMAL REPAIR TO MAKE USEABLE</t>
  </si>
  <si>
    <t>2YTS0861007634</t>
  </si>
  <si>
    <t>THIS ASSET WOULD BENEFIT THIS AGENCY AND OFFICERS BY ALLOWING US TO UTILIZE THIS AS A PARTS VEHICLE  TO REPAIR AND REPLACE DAMAGED AND WORN PARTS ON THE ASSET WE RECEIVED FROM LETTERKENNY I SPOKE WITH FORT AND THEY ADVISED THIS WOULD WORK VERY WELL FOR PARTS</t>
  </si>
  <si>
    <t>Rejected by ETD1004.  Comments: HAS BEEN AWARDED 6  IN 5 MONTHS.</t>
  </si>
  <si>
    <t>2YTS0861007604</t>
  </si>
  <si>
    <t>THIS ASSET WOULD BENEFIT THIS AGENCY AND OFFICERS BY ALLOWING US TO UTILIZE THIS AS A PARTS VEHICLE FOR THE OTHER TWO WE HAVE IN THIS SAME MODEL.  GOODPARTS WOULD BENEFIT TAKEN OFF THIS ASSET TO REPAIR AND REPLACE DAMAGED AND WORN PARTS ON THE OTHER WE CURRENTLY HAVE</t>
  </si>
  <si>
    <t>Rejected by ETD1004.  Comments: agency was awarded 9 in the last 2 years.</t>
  </si>
  <si>
    <t>2YTS0861007600</t>
  </si>
  <si>
    <t>THIS ASSET WOULD BENEFIT THIS AGENCY AND OFFICERS BY ALLOWING US TO UTILIZE THIS FOR EMERGENCY AND DISASTER RESPONSE CLEANUP  CLEARING DEBRIS OUT OF THE ROAD  AS WELL AS MAINTENANCE FOR OUR BUILDING GRAVEL PARKING LOTS AND RANGE MAINTENANCE.  I SPOKE WITH POC AND THIS ITEM IS USEABLE AS IS</t>
  </si>
  <si>
    <t>Rejected by ETD1004.  Comments: approved for an earlier LEA.</t>
  </si>
  <si>
    <t>2YTS0860936968</t>
  </si>
  <si>
    <t>THIS ASSET WOULD BENEFIT THIS AGENCY AND OFFICERS BY ALLOWING US TO UTILIZE THIS FOR RANGE TASKS AND IMPOUND LOT TASKS SUCH AS HAULING AND SPREADING GRAVEL AS WELL AS DIRT FOR BURM MAINTENANCE  SPOKE WITH POC THIS ITEMS IS USEABLE AS IS</t>
  </si>
  <si>
    <t>Rejected by ETD1004.  Comments: approved for another agency.</t>
  </si>
  <si>
    <t>2YTS0860936962</t>
  </si>
  <si>
    <t>THIS ASSET WOULD BENEFIT THIS AGENCY AND OFFICERS BY ALLOWING US TO UTILIZE THIS FOR TRAFFIC FLOW AND ENEFORCEMENT THIS ASSET WOULD BE USED TO CARRY CONES AND BARRELS FOR BLOCKING ROADS AND SETUP UP TEAR DOWN OF ROAD BLOCKS AND EVENTS I SPOKE WITH POC THIS ITEM IS USEABLE AS IS</t>
  </si>
  <si>
    <t>Rejected by ETD1004.  Comments: approved for and earlier requisitioner.</t>
  </si>
  <si>
    <t>2YTS0860936960</t>
  </si>
  <si>
    <t>THIS ASSET WOULD BENEFIT THIS AGENCY AND PFFFICERS BY ALLOWING US TO UTILIZE THIS DURING SPECIAL EVENTS TO CARRY OFFICERS AND AND EQUIPMENT TO RESPOND TO EMERGENCIES WITHIN THE DESIGNATED AREAS   I SPOKE WITH THE POC AND THIS IS USEABLE AS IS</t>
  </si>
  <si>
    <t>Rejected by ETD1004.  Comments: similar to previous items.</t>
  </si>
  <si>
    <t>2YTS0860936955</t>
  </si>
  <si>
    <t>THIS ASSET WOULD BENEFIT THIS AGENCY AND OFFICERS BY ALLOWING US TO UTILIZE OUR CURRENT UTV TO REPAIR THIS ONE SO WE CAN HAVE A USEABLE UTV FOR PATROL AND SPECIAL EVENTS AS WELL AS SEARCH AND RESCUE.  THIS ASSET WOULD ALLOW MORE COVERAGE BY OFFICERS BY THEM NOT HAVING TO WALK. WE WOULD REPAIR AND UTILIZE THIS ASSET</t>
  </si>
  <si>
    <t>Rejected by ETD1004.  Comments: approved for an earlier agency.</t>
  </si>
  <si>
    <t>2YTS0860866380</t>
  </si>
  <si>
    <t>THIS ASSET WOULD BENEFIT THIS AGENCY AND OFFICERS BY ALLOWING US TO UTILIZE THIS ONE AS A SECONDARY UNIT TO THE FIRST TO DEPLOY TWO OFFICERS TO HARD TO REACH LOCATIONS INSTEAD OF ONE THIS WOULD INCREASE THE SAFETY AND EFFICIENCY OF OFFICERS AND CITIZENS ALIKE THIS ASSET WOULD BE USED IN TANDEM WITH THE OTHER ONE OF AWARDED</t>
  </si>
  <si>
    <t>Rejected by ETD1004.  Comments: similar to several others.</t>
  </si>
  <si>
    <t>2YTS0860866379</t>
  </si>
  <si>
    <t>THESE ASSETS WOULD BENEFIT THIS AGENCY AND OFFICERS BY ALLOWING US TO UTILIZE THIS AS A PARK PATROL AND RESPONSE VEHICLE TO AREAS  THAT OTHER VEHICLES CANNOT GET TO  I SPOKE WITH THE FORT AND THESE ARE IN USEABLE CONDITION</t>
  </si>
  <si>
    <t>Rejected by ETD1004.  Comments: similar to previous property.</t>
  </si>
  <si>
    <t>2YTS0860866378</t>
  </si>
  <si>
    <t>THIS ASSET WOULD BENEFIT THIS AGENCY AND OFFICERS BY ALLOWING US TO UTILIZE THIS AS A CRIME SCENE CAN THAT DETECTIVES AND OFFICERS COULD STORE AND TRANSPORT ALL ITEMS NEEDED TO WORK A CRIME SCENE OR ANY OTHER INCIDENT SCENE THAT WOULD REQUIRE LARGE AMOUNTS OF GEAR I SPOKE WITH THE FORT AND IT IS USEABLE AS IS</t>
  </si>
  <si>
    <t>Rejected by ETD1004.</t>
  </si>
  <si>
    <t>2YTS0860866373</t>
  </si>
  <si>
    <t>THIS ASSET WOULD BENEFIT THIS AGENCY AND OFFICERS BY ALLOWING US TO EITHER PULL OUR LARGE TRAILERS.  USING IT FOR PATROL AND EMERGENCY RESPONSE AS WELL AS DISASTER RESPONSE.   THIS ASSET IS USEABLE AS IS ACCORDING TO FORT IT IS ALSO ALREADY SET UP FOR LAW ENEFORCEMENT</t>
  </si>
  <si>
    <t>2YTS0860724860</t>
  </si>
  <si>
    <t>THIS ASSET WOULD BENEFIT THIS AGENCY AND OFFICERS BY ALLOWING US TO UTILIZE IT AS A METH OR OTHER DRUG LAB CLEANUP VEHICLE DUE TO IT ALREADY BEING SET UP FOR HAZ MAT. THIS ASSET WOULD UTILIZED FOR HAZMAT CLEANUP ON ROADWAYS AND RIVERS AS WELL AS TO ASSIST IS BLOCKING ROADWAYS FOR INCIDENTS AND INCIDENTS CLEANUP. SPOKE TO FORT AND THIS IS AN OPERABLE USEABLE ASSET AS IS</t>
  </si>
  <si>
    <t>2YTS0860724844</t>
  </si>
  <si>
    <t>THIS ASSET WOULD BENEFIT THIS AGENCY AND OFFICERS BY ALLOWING US TO UTILIZE THIS ASSET TO TRANSPORT OUR EQUIPMENT FROM SCENE TO SCENE THIS ASSET WOULD ALSO ALLOW US TO PICK UP ITEMS THAT ARE AWARDED TO US FROM LESO. THIS WOULD SAVE US SHIPPING COSTS . SPOKE TO FORT AND THIS ASSET IS IN USEABLE CONDITION AS IT</t>
  </si>
  <si>
    <t>2YTS0860724837</t>
  </si>
  <si>
    <t>THIS ASSET WOULD BENEFIT THIS AGENCY AND OFFICERS BY ALLOWING US TO UTILIZE THIS AS ANTRON VEHICLE. WE WOULD OUTFIT THIS VEHICLE AND EQUIP IT TO WORK ACCIDENTS, RESPOND TO EMERGENCIES, WORK TRAFFIC ENFORCEMENT ETC. THIS ASSET WOULD BE STRIPED UP AND PUT IN SERVICE ASAP SPOKE TO FORT AND THIS ASSET IS USEABLE AS IS</t>
  </si>
  <si>
    <t>2YTS0860724836</t>
  </si>
  <si>
    <t>2YTS0860442676</t>
  </si>
  <si>
    <t>2YTS0860442675</t>
  </si>
  <si>
    <t>THIS ASSET WOULD BENEFIT THIS AGENCY AND OFFICERS BY ALLOWING US TO REPLACE OUR CURRENT EMERGENCY RESPONSE TRAILER WITH THIS ONE DUE TO THE LAYOUT OF THIS ONE AND IT BEING SMALLER WITH MORE OPTIONS.  THIS ASSET WOULD BE UTILIZED TO RESPOND FOR MASS DISRUPTIONS SUCH AS WILDFIRES SNOW STORMS INCLEMENT WEATHER AND TORNADOES FOR OFFICERS TO HAND OUT EMERGENCY SUPPLIES AND HAVE A PLACE TO STAY DURING SUCH EVENTS</t>
  </si>
  <si>
    <t>2YTS0860371982</t>
  </si>
  <si>
    <t>THIS ASSET WOULD BENEFIT OUR AGENCY AND OFFICERS BY ALLOWING US TO UTILIZE THIS FOR SHOOTING RANGE BUILDING AND MAINTENANCE AS WELL AS ROAD CLEARING SNOW REMOVAL AND RESCUE OPERATIONS FROM INCLEMENT WEATHER OR STORMS.  I SPOKE WITH THE FORT AND WAS ADVISED IT IS OPERATIONAL</t>
  </si>
  <si>
    <t>2YTS0860371979</t>
  </si>
  <si>
    <t>THIS ASSET WOULD BENEFIT THIS AGENCY AND OFFICERS BY ALLOWING US TO UTILIZE THIS FOR TACTICAL OPERATIONS FOR SECOND STORY ENTRY OR RESCUE AS WELL AS MAINTENANCE ON OUR BUILDINGS</t>
  </si>
  <si>
    <t>Rejected by ETD1004.  Comments: reject per Chief Dunn.</t>
  </si>
  <si>
    <t>2YTS0860371184</t>
  </si>
  <si>
    <t>THESE ASSETS WOULD ASSIST THIS AGENCY AND OFFICERS BY ALLOWING US TO UTILIZE THESE TO PLACE IN EACH VEHICLE FOR OFFICERS TO COMPLETE REPORTS. UTILIZE CAD DISPATCH RESPOND TO CALLS AND COMPLETE NECESSARY DOCUMENTATION LIKE REPORT WRITING AND CITATION ISSUANCE FROM THEIR VEHICLE THIS WOULD ALLOW OFFICERS TO STAY ON THE ROAD LONGER AND KEEP THEM FROM HAVING TO COME TO THE OFFICE</t>
  </si>
  <si>
    <t>Rejected by ETD1004.  Comments: awarded 15 in DEC 2024.</t>
  </si>
  <si>
    <t>2YTS0860301309</t>
  </si>
  <si>
    <t>THIS ASSET WOULD BENEFIT THIS AGENCY AND OFFICERS BY ALLOWING US TO UTILIZE AS A PARTS VEHICLE FOR THE OTHER ASSETS. IF AWARDED IT WOULD ASSSIT IN KEEPING THE OTHER ASSETS ON PATROL AND IF SOMETHING BREAKS WE COULD GET IT BACK OPERATIONAL ASAP. SPOKE TO FORT AND THIS WOULD BE PERFECT FOR THE INTENDED PURPOSE</t>
  </si>
  <si>
    <t>2YTS0860301282</t>
  </si>
  <si>
    <t>THIS ASSET WOULD BENEFIT THIS AGENCY AND OFFICERS BY ALLOWING US TO UTILIZE THIS AS A CRIME SCENE RESPONSE VEHICLE TO ASSIST IN CARRYING ITEMS NEEDED FOR DETECTIVES TO RESPOND AND WORK SCENES AND INCIDENTS THAT REQUIRE ALL THEIR EQUIPMENT THIS WOULD ALSO BE USED TO RESPOND TO INCIDENTS AND EMERGENCIES BY DETECTIVES AND BLOCK ROADWAYS WHILE PATROL OFFICERS WORK CRASHES AND OTHER INCIDENTS IN THE ROADWAYS. SPOKE TO FORT AND ARE WILLING TO FIX AS NEEDED TO MAKE OPERATIONAL</t>
  </si>
  <si>
    <t>Rejected by ETD1004.  Comments: approved for an earlier requisitioner..</t>
  </si>
  <si>
    <t>2YTS0860301274</t>
  </si>
  <si>
    <t>THIS ASSET WOULD BENEFIT OUR AGENCY AND OFFICERS BY ALLOWING US TO UTILIZE THIS AS A PATROL VEHICLE TO ASSIST OFFICERS IN TRANSPORTING EQUIPMENT AND OUTFITTING LIGHTS TO RESPOND TO INCIDENTS ENFORCE TRAFFIC LAWS AND RESPOND TO INCIDENTS THIS WOULD ALLOW OFFICERS TO CONTINUE WORKING IN THE FIELD FOR PUBLIC SAFETY RATHER THAN HAVING TO CALL FOR MORE RESOURCES.  I SPOKE TO FORT AND WE WILL FIX THIS ASSET TO MAKE OPERATIONAL ASAP</t>
  </si>
  <si>
    <t>2YTS0860301271</t>
  </si>
  <si>
    <t>THIS ASSET WOULD BENEFIT THIS AGENCY AND OFFICERS BY ALLOWING US TO UTILIZE IT TO PLACE IN A PATROL VEHICLE TO COMPLETE REPORTS IN THE FIELD, DOCUMENT, SCENES WITH PHOTO UPLOADS, AND KEEP CONTINUITY OF WORK WITHOUT HAVING TO RETURN TO THE POLICE DEPT TO COMPLETE THE ABOVE TASKS</t>
  </si>
  <si>
    <t>Rejected by ETD1004.  Comments: already reached allocation.</t>
  </si>
  <si>
    <t>2YTS0860301265</t>
  </si>
  <si>
    <t>Rejected by EDP0815.  Comments: Item awarded to another LEA at the State level. .</t>
  </si>
  <si>
    <t>2YTK2060866253</t>
  </si>
  <si>
    <t>THIS ITEM WILL BE USED EXCLUSIVELY FOR BY LEOS FROM HIS LEA. THESE ITEMS WILL BE USED BY LEOS FROM THIS LEA DURING EMERGENCY LOW LIGHT CALLS FOR SERVICE SUCH AS ACTIVE SHOOTERS, BOATERS IN DISTRESS, MISSING PERSONS, NATURAL DISASTERS, AND EQUIPPED BY SPECIALIZED UNITS.</t>
  </si>
  <si>
    <t>Rejected by EAZ0039.  Comments: Item is an optic bearing condition code F, G or H. Item justification must contain additional verbiage..</t>
  </si>
  <si>
    <t>2YTK2060654798</t>
  </si>
  <si>
    <t>THIS VEHICLE WILL BE USED EXCLUSIVELY BY LEOS FROM THIS LEA. THIS VEHICLE WILL BE USED AS A SPECIAL RESPONSE VEHICLE BY MEMBERS OF THIS LEA AND WILL ALSO BE UTILIZED TO RESPOND TO CALLS OF SERVICE DURING TIMES OF WEATHER EMERGENCIES.</t>
  </si>
  <si>
    <t>Rejected by EDP0815.  Comments: This item is not a traditional piece of equipment that is designed to be used for law enforcement purposes or by law enforcement personnel. DLA does not issue firefighting apparatus to LEAs..</t>
  </si>
  <si>
    <t>2YTK2060654230</t>
  </si>
  <si>
    <t>THIS ITEM IS BEING REQUESTED BY THE SCREVEN COUNTY SHERIFFS OFFICE TO BE USED BY DEPUTIES FOR LAW ENFORCEMENT PURPOSES. THE TRUSK WILL BE USED BY DEPUTIES TO TRANSPORT PERSONNEL IN RUAL AREAS,</t>
  </si>
  <si>
    <t>2YTKVK60866817</t>
  </si>
  <si>
    <t>A FOUR WHEELER ATV WOULD PROVIDE THE POLICE DEPARTMENT WITH INCREASED MOBILITY AND ACCESS TO AREAS THAT STANDARD PATROL VEHICLES CANNOT REACH. MANY INCIDENTS OCCUR IN LOCATIONS SUCH AS WOODED AREAS PARKS TRAILS FIELDS RIVERBANKS AND OTHER ROUGH TERRAIN WHERE TRADITIONAL PATROL CARS ARE INEFFECTIVE. AN ATV WOULD ALLOW OFFICERS TO RESPOND MORE QUICKLY TO EMERGENCIES SEARCH FOR MISSING PERSONS PURSUE SUSPECTS WHO FLEE INTO OFFROAD AREAS AND PATROL COMMUNITY EVENTS HELD IN OUTDOOR LOCATION</t>
  </si>
  <si>
    <t>Rejected by ETD1004.  Comments: fort indicates this does not run and i do see info the fort was called to ascertain what repairs were needed.</t>
  </si>
  <si>
    <t>2YTKU860796784</t>
  </si>
  <si>
    <t>PARTS FOR CURRENT EOD ROBOT.</t>
  </si>
  <si>
    <t>Rejected by EDC2527.  Comments: LEA needs Cert of Compliance AB 481 and Justification..</t>
  </si>
  <si>
    <t>2YTKPB60302378</t>
  </si>
  <si>
    <t>SAN JOSE POLICE DEPT (2YTKPB)</t>
  </si>
  <si>
    <t>FOR USE ON SRT TEAM.</t>
  </si>
  <si>
    <t>Rejected by ELG00055.  Comments: Justification.</t>
  </si>
  <si>
    <t>2YTKLJ60442864</t>
  </si>
  <si>
    <t>SIGHTS WILL BE USED FOR 40 MM LAUNCHERS. UNSURE OF QUALITY, SO REQUESTING 15 TO SORT THROUGH THOSE THAT WORK AND DON'T. I ACCEPT THE CONDITION THEY ARE IN.</t>
  </si>
  <si>
    <t>Rejected by EJK2652.  Comments: Requesting additional Justification.</t>
  </si>
  <si>
    <t>2YTJ5960511196</t>
  </si>
  <si>
    <t>REFLEX SIGHTS WILL BE INSTALLED ON 40 MM LESS-LETHAL LAUNCHERS TO ALLOW DEPUTIES TO ACQUIRE A SIGHT PICTURE FASTER AND MORE ACCURATELY THAN THE CURRENT IRON SIGHTS ON THE EQUIPMENT.  REFLEX SIGHTS WILL ALLOW MORE ACCURATE TARGET ACCLIMATION AND WILL MAKE LESS LETHAL LAUNCHES MORE ACCURATE.</t>
  </si>
  <si>
    <t>Rejected by ECC3493.</t>
  </si>
  <si>
    <t>2YTJ5960302431</t>
  </si>
  <si>
    <t>I ACCEPT THE CONDITION CODE, RCSD WILL BE ABLE TO USE THESE CASES TO STORE EQUIPMENT IN OUR MRAP ALONG WITH IN OUR STRONG SWAT ROOM. THIS WILL HELP SECURE EQUIPMENT AND KEEP IT ORGANIZED AND DRY.</t>
  </si>
  <si>
    <t>Rejected by ECH00100.  Comments: can't approved no more days left in the cycle-CH.</t>
  </si>
  <si>
    <t>2YTJ2X60726025</t>
  </si>
  <si>
    <t>THE RANDOLPH COUNTY SHERIFF'S DEPARTMENT USES BROWN DRESS SHOES AS DESCRIBED FOR OUR CLASS A UNIFORM. IN THE RECENT YEARS HIGH GLOSS BROWN SHOES HAVE BECOME NEARLY IMPOSSIBLE TO FIND. WE WOULD LIKE TO SAMPLE ONE PAIR OF THESE TO SEE IF IT WOULD MEET OUR NEED'S THAN REQUEST MORE IF NEEDED.</t>
  </si>
  <si>
    <t>Rejected by ECH00100.  Comments: is in GSA cycle can't approve, needs to be in DOD or RTD2 cycles-CH.</t>
  </si>
  <si>
    <t>SHOES,MEN'S</t>
  </si>
  <si>
    <t>2YTJ2X60655789</t>
  </si>
  <si>
    <t>FOR THE PROSPECT POLICE DEPARTMENT TO USE IN SITUATIONS WHERE AN OFFICER WOULD BE PUT IN DANGER.</t>
  </si>
  <si>
    <t>Rejected by EMP2187.  Comments: Items with Integrity Code 3 are not permitted as per CT Police Accountability Act..</t>
  </si>
  <si>
    <t>2YTJYC60867209</t>
  </si>
  <si>
    <t>FOR USE BY PCSO SAR PERSONNEL IN REMOTE RESCUE AND RECOVERY OPERATIONS.</t>
  </si>
  <si>
    <t>2YTJMP60161220</t>
  </si>
  <si>
    <t xml:space="preserve">TO BE USED BY PICKENS POLICE DEPARTMENT BY PICKENS POLICE OFFICERS FOR OFFICIAL USE.
</t>
  </si>
  <si>
    <t>Rejected by EJC2716.</t>
  </si>
  <si>
    <t>2YTJMC60510984</t>
  </si>
  <si>
    <t>Rejected by EJC2716.  Comments: justification.</t>
  </si>
  <si>
    <t>2YTJMC60301508</t>
  </si>
  <si>
    <t>2YTJMC60301507</t>
  </si>
  <si>
    <t>TO BE USED BY PICKENS POLICE DEPARTMENT BY PICKENS POLICE OFFICERS IN OFFICIAL DUTY TO BE USED ON ISSUED WEAPONS FOR TRAINING AND THE SPECIAL RESPONSE TEAM.</t>
  </si>
  <si>
    <t>2YTJMC60301504</t>
  </si>
  <si>
    <t>2YTJMC60301503</t>
  </si>
  <si>
    <t>2YTJMC60301502</t>
  </si>
  <si>
    <t>2YTJMC60301500</t>
  </si>
  <si>
    <t>TO BE USED BY PICKENS POLICE DEPARTMENT BY PICKENS POLICE OFFICERS FOR OFFICIAL USE ON ISSUED WEAPONS FOR TRAINING AND SPECIAL RESPONSE TEAM.</t>
  </si>
  <si>
    <t>2YTJMC60231065</t>
  </si>
  <si>
    <t>TO BE USED BY PICKENS POLICE DEPARTMENT BY PICKENS POLICE OFFICERS FOR OFFICIAL USE.</t>
  </si>
  <si>
    <t>2YTJMC60231045</t>
  </si>
  <si>
    <t>2YTJMC60231009</t>
  </si>
  <si>
    <t>2YTJMC60231004</t>
  </si>
  <si>
    <t>2YTJMC60230988</t>
  </si>
  <si>
    <t>TO BE USED BY PICKENS POLICE DEPARTMENT BY PICKENS POLICE OFFICER FOR OFFICIAL USE.</t>
  </si>
  <si>
    <t>2YTJMC60230980</t>
  </si>
  <si>
    <t>2YTJMC60160999</t>
  </si>
  <si>
    <t>2YTJMC60160998</t>
  </si>
  <si>
    <t>2YTJMC60160997</t>
  </si>
  <si>
    <t>FOR USE BY THIS LEA ONLY FOR THE STORAGE AND TRANSPORTATION OF LE EQUIPMENT.</t>
  </si>
  <si>
    <t>Rejected by EAZ0039.  Comments: LEA does not have a governing body resolution on file for calendar year 2026, which is a requisite in NJ to be able to request and acquire Program property..</t>
  </si>
  <si>
    <t>2YTJFH60584634</t>
  </si>
  <si>
    <t>FOR USE BY THIS LEA ONLY FOR USE WITH OUR EMERGENCY RESPONSE VEHICLES WINCH.</t>
  </si>
  <si>
    <t>BLOCK,TACKLE</t>
  </si>
  <si>
    <t>2YTJFH60584633</t>
  </si>
  <si>
    <t>FOR USE BY THIS LEA ONLY FOR STORAGE OF LE EQUIPMENT.</t>
  </si>
  <si>
    <t>2YTJFH60574679</t>
  </si>
  <si>
    <t>UNDERCOVER DRUG ENFORCEMENT. VEHICLE WILL BE USED BY DRUG INVESTIGATOR.</t>
  </si>
  <si>
    <t>2YTJEV60442848</t>
  </si>
  <si>
    <t>TPWD REQUEST THE TOOL KITS TO ISSUE TO NEW WARDENS FOR USE ON PATROL TO MAKE MINOR REPAIRS TO VESSELS, BOATS, TRUCKS, AND TRAILERS.</t>
  </si>
  <si>
    <t>Rejected by EJR01036.  Comments: This items moved into the GSA Cycle at Midnight on the 29th. TX LESO.</t>
  </si>
  <si>
    <t>TOOL KIT,AIRCRAFT M</t>
  </si>
  <si>
    <t>2YTL2660886265</t>
  </si>
  <si>
    <t>TO BE USED BY SPECIAL OPERATIONS MEDICS IN THE CASE THAT THE NEED FOR SUCH EQUIPMENT ARISES DURING AN OPERATION</t>
  </si>
  <si>
    <t>Rejected by ETD1004.  Comments: 
.</t>
  </si>
  <si>
    <t>DEFIBRILLATOR/MONIT</t>
  </si>
  <si>
    <t>2YT18E60301482</t>
  </si>
  <si>
    <t>Rejected by EAZ0039.  Comments: Item in GSA cycle..</t>
  </si>
  <si>
    <t>2YT15D60303933</t>
  </si>
  <si>
    <t>FOR USE IN RESCUE OPERATIONS OF PERSONS LOST OR HARMED DURING LOW LIGHT OR LIMITED VISIBILITY CONDITIONS.</t>
  </si>
  <si>
    <t>Rejected by EGW0511.  Comments: Justification doesn't meet minimum requirements.</t>
  </si>
  <si>
    <t>2YT13W60866825</t>
  </si>
  <si>
    <t>ONEONTA POLICE DEPARTMENT WOULD USE THESE SCOPES ON OUR DEPARTMENT SNIPER RIFLES FOR THE SRT TEAM.</t>
  </si>
  <si>
    <t>2YT13U60795860</t>
  </si>
  <si>
    <t>WOULD BE USED BY DEPUTIES FOR MISSING AND WANTED PERSONS IN RURAL AREAS, WE HAVE A TREMENDOUS AMOUNT OF WOODS AND UNINCORPORATED AREAS</t>
  </si>
  <si>
    <t>Rejected by EOL0097.  Comments: For night vision in condition code F, G, H, you need to contact the DS and see if it works.  These state that they do not work..</t>
  </si>
  <si>
    <t>RECEIVER,INFRARED</t>
  </si>
  <si>
    <t>2YT1YR60867228</t>
  </si>
  <si>
    <t>2YT1YR60867227</t>
  </si>
  <si>
    <t>THE OCONEE COUNTY SHERIFFS OFFICE REQUESTS 5 PICNIC TABLES TO BE USED BY DEPUTIES AT SHERIFFS OFFICE FACILITIES.  I UNDERSTAND THERE CONDITION AND STILL REQUESTING THEM.</t>
  </si>
  <si>
    <t>2YT1X260655495</t>
  </si>
  <si>
    <t>OCONEE COUNTY SHERIFF OFFICE (2YT1X2)</t>
  </si>
  <si>
    <t>TO BE UTILIZED BY LEOS OF THIS LEA FOR PATROL AND PATIENT RECOVERY IN AREAS THAT ARE NOT ACCESSIBLE TO REGULAR PATROL VEHICLES</t>
  </si>
  <si>
    <t>Rejected by EAZ0039.  Comments: Item allocated to another NJ LEA..</t>
  </si>
  <si>
    <t>2YT1WQ60866575</t>
  </si>
  <si>
    <t>TO BE UTILIZED BY LEOS OF THIS LEA TO ASSIST WITH ADVISING THE MOTORING PUBLIC ABOUT POSTED SPEED LIMITS - ASSIST WITH MOTOR VEHICLE ENFORCEMENT</t>
  </si>
  <si>
    <t>Rejected by EAZ0039.  Comments: LEA does not have a governing body resolution on file for the current calendar year and therefore cannot be approved for any requests by the NJ LESO..</t>
  </si>
  <si>
    <t>2YT1WQ60725142</t>
  </si>
  <si>
    <t>TO BE UTILIZED BY LEOS OF THIS LEA TO DISPLAY NOTIFICATIONS AND WARNINGS TO THE GENERAL PUBLIC</t>
  </si>
  <si>
    <t>2YT1WQ60725141</t>
  </si>
  <si>
    <t>FOR USE BY SHERIFF'S AVIATION UNIT FOR LAW ENFORCEMENT PATROL, SURVEILLANCE, AND SEARCH AND RESCUE OPERATIONS. CURRENT HELICOPTERS ARE AGING SIGNIFICANTLY, AND THE AGENCY IS SEEKING A REPLACEMENT AIRFRAME.</t>
  </si>
  <si>
    <t>Rejected by ELG00055.  Comments: Already allocated to FL..</t>
  </si>
  <si>
    <t>2YT1WK60443162</t>
  </si>
  <si>
    <t>THE NORTHAMPTON COUNTY SHERIFF'S OFFICE, A LAW ENFORCEMENT AGENCY, REQUEST THIS EQUIPMENT BE ISSUED TO OUR DEPARTMENT.  THIS EQUIPMENT WILL BE ISSUED TO OUR NARCOTICS INVESTIGATORS FOR THE PURPOSE OF SURVEILLANCE IN CRIMINAL INVESTIGATION.  ADDITIONALLY, THIS EQUIPMENT CAN BE USED IN SEARCH AND RESCUE OPERATIONS WHEN NEEDED.</t>
  </si>
  <si>
    <t>Rejected by EGW0511.  Comments: For optics you must add a notes that you have contacted the site and accept the item in their current condition.</t>
  </si>
  <si>
    <t>2YT1QG60795575</t>
  </si>
  <si>
    <t>REQUESTED BY NORTH MYRTLE BEACH POLICE DEPARTMENT TO BE REPURPOSED BY NMB POLICE OFFICERS AS A TRAFFIC EMERGENCY RESPONSE VEHICLE FOR MAJOR COLLISIONS.</t>
  </si>
  <si>
    <t>Rejected by EJC2716.  Comments: cannot allocate through 1033 Program..</t>
  </si>
  <si>
    <t>2YT1PG60654199</t>
  </si>
  <si>
    <t>REQUESTED BY NORTH MYRTLE BEACH POLICE DEPARTMENT TO BE USED BY NMB POLICE OFFICERS TO CARRY OUT AGENCY TASKS.</t>
  </si>
  <si>
    <t>Rejected by EJC2716.  Comments: DLA will not issue, not new in box..</t>
  </si>
  <si>
    <t>2YT1PG60654190</t>
  </si>
  <si>
    <t>FOR THIS LEA ONLY. THE NORTH BERGEN POLICE DEPARTMENT WOULD LIKE TO REQUEST THIS VEHICLE FOR OUR TRAFFIC UNIT. THIS WILL ALLOW US TO DEPLOY TRAFFIC CONTROL DEVICES TO INCREASE OFFICER AND COMMUNITY SAFETY. THANK YOU FOR YOUR CONSIDERATION.</t>
  </si>
  <si>
    <t>Rejected by EDP0815.  Comments: item approved for another LEA at the State level...</t>
  </si>
  <si>
    <t>2YT1NW60866386</t>
  </si>
  <si>
    <t>FOR THIS LEA ONLY. THE NORTH BERGEN POLICE DEPARTMENT WOULD LIKE TO REQUEST THIS VEHICLE FOR OUR PATROL DIVISION. THIS WILL ALLOW US TO DEPLOY AN ADDITION UNIT TO INCREASE OFFICER AND COMMUNITY SAFETY. THANK YOU FOR YOUR CONSIDERATION.</t>
  </si>
  <si>
    <t>2YT1NW60866384</t>
  </si>
  <si>
    <t>FOR THIS LEA ONLY. THE NORTH BERGEN POLICE DEPARTMENT WOULD LIKE TO REQUEST THESE TABLETS TO UPGRADE OUR VEHICLE MDCS TO BE ABLE TO INCREASE THE EFFICIENCY OF OUR TECHNOLOGY. THANK YOU FOR YOUR CONSIDERATION.</t>
  </si>
  <si>
    <t>Rejected by EAZ0039.  Comments: Per DLA regulation, electronics must bear a DEMIL Code of A and Condition Code of A in order to be allocated via the 1033 Program..</t>
  </si>
  <si>
    <t>2YT1NW60372415</t>
  </si>
  <si>
    <t>Rejected by ESH2462.  Comments: Need AVR.</t>
  </si>
  <si>
    <t>2YT0M460230762</t>
  </si>
  <si>
    <t>THIS ITEM WILL BE USED FOR COUNTER DRUG AND COUNTER TERRORISM OPERATIONS FOR OUR SWAT TEAM AND PATROL UNITS. THIS ITEM IS A VITAL ASSET TO OUR DEPARTMENT AND IS MUCH NEEDED FOR FURTHER OUR SWAT OPERATION. THIS ITEM WILL BE USED IN THE COUNTY OF NEWBERRY, SOUTH CAROLINA.</t>
  </si>
  <si>
    <t>Rejected by EJC2716.  Comments: previously turned in, cannot issue..</t>
  </si>
  <si>
    <t>2YT11S60514155</t>
  </si>
  <si>
    <t>NEWBERRY COUNTY SHERIFFS OFFICE (2YT11S)</t>
  </si>
  <si>
    <t>PROVIDING THIS EQUIPMENT ENHANCES SPECIAL OPS READINESS, ELEVATES OFFICER SAFETY, AND ENSURES TIMELY RESPONSE TO DANGEROUS INCIDENTS. IT PROTECTS PERSONNEL AND SUPPORTS VITAL OPERATIONS CENTRAL TO PUBLIC SAFETY.</t>
  </si>
  <si>
    <t>Rejected by EJR4111.  Comments: These are not allowed to be issued out to LEA's..</t>
  </si>
  <si>
    <t>ASSAULT VEHICLE,FULL TRACKED,AMPHIBIOUS</t>
  </si>
  <si>
    <t>2YTH9H60796002</t>
  </si>
  <si>
    <t xml:space="preserve">PROVIDING THIS EQUIPMENT ENHANCES SPECIAL OPS READINESS, ELEVATES OFFICER SAFETY, AND ENSURES TIMELY RESPONSE TO DANGEROUS INCIDENTS. IT PROTECTS PERSONNEL AND SUPPORTS VITAL OPERATIONS CENTRAL TO PUBLIC SAFETY.
</t>
  </si>
  <si>
    <t>Rejected by EJR4111.  Comments: DEMIL H will not be approved due to its poor condition..</t>
  </si>
  <si>
    <t>2YTH9H60795997</t>
  </si>
  <si>
    <t>2YTH9H60795996</t>
  </si>
  <si>
    <t>2YTH9H60795994</t>
  </si>
  <si>
    <t>THE EQUIPMENT STRENGTHENS SPECIAL OPS CAPABILITIES BY IMPROVING READINESS, OFFICER SAFETY, AND RAPID RESPONSE TO HIGH RISK EVENTS. IT PROTECTS OUR PERSONNEL AND SUPPORTS ESSENTIAL OPERATIONS TIED TO PUBLIC SAFETY.</t>
  </si>
  <si>
    <t>Rejected by EOL0097.</t>
  </si>
  <si>
    <t>2YTH9H60795991</t>
  </si>
  <si>
    <t>FOR USE BY SWAT OPERATORS IN THE PERFORMANCE OF HIGH RISK WARRANT SERVICE, HOSTAGE RESCUE, SEARCH AND RESCUE, AND BARRICADED SUBJECTS DURING NIGHTTIME LOWLIGHT</t>
  </si>
  <si>
    <t>2YTPBK60301644</t>
  </si>
  <si>
    <t>2YTPBK60301643</t>
  </si>
  <si>
    <t>2YTPBK60301642</t>
  </si>
  <si>
    <t>2YTPBK60301641</t>
  </si>
  <si>
    <t>FOR USE BY SWAT OPERATORS DURING NIGHTTIME LOWLIGHT OPERATIONS INCLUDING HOSTAGE RESCUE, SEARCH AND RESCUE, BARRICADED SUBJECTS AND HIGH RISK WARRANT SERVICE.</t>
  </si>
  <si>
    <t>2YTPBK60301640</t>
  </si>
  <si>
    <t>2YTPBK60301639</t>
  </si>
  <si>
    <t>2YTPBK60301638</t>
  </si>
  <si>
    <t>2YTPBK60301637</t>
  </si>
  <si>
    <t>FOR USE BY SWAT OPERATORS DURING OPERATIONS INCLUDING HIGHRISK WARRANT SERVICE, HOSTAGE RESCUE, AND BARRICADED SUBJECTS.</t>
  </si>
  <si>
    <t>2YTPBK60231646</t>
  </si>
  <si>
    <t>FOR USE BY SWAT SNIPERS IN NIGHTTIME LOW LIGHT OPERATIONS INVOLVING HOSTAGE RESCUE, BARRICADED SUBJECTS, AND HIGH RISK WARRANT SERVICE.</t>
  </si>
  <si>
    <t>2YTPBK60231636</t>
  </si>
  <si>
    <t>TO BE UTILIZED BY SWAT OPERATORS DURING NIGHTTIME LOWLIGHT OPERATIONS INVOLVING BARRICADED SUBJECTS, HOSTAGE RESCUE, SEARCH AND RESCUE, AND HIGH RISK WARRANT SERVICE.</t>
  </si>
  <si>
    <t>2YTPBK60231634</t>
  </si>
  <si>
    <t>2YTPBK60231633</t>
  </si>
  <si>
    <t>2YTRWL60866545</t>
  </si>
  <si>
    <t>THE MONROE COUNTY SHERIFFS OFFICE IS REQUESTING THIS FOR REPLACEMENT OF OUR OLDER BACKHOE. IT IS STARTING TO HAVE SOME ISSUES AND THIS WILL BE USED IN ITS PLACE AROUND OUR FACILITIES. THIS IS SOMETHING WE USE OFTEN FOR IMPROVEMENTS TO OUR FACILITIES.</t>
  </si>
  <si>
    <t>2YTHWY60936918</t>
  </si>
  <si>
    <t>2YTHWY60866270</t>
  </si>
  <si>
    <t>2YTHWY60866269</t>
  </si>
  <si>
    <t>THE MONROE COUNTY SHERIFFS OFFICE IS REQUESTING THIS FOR A TRAINING VEHICLE. THIS VEHICLE WILL BE SETUP FOR OUR DEPUTIES WHEN TRAVELING TO DO TRAINING. ALL SPECIALIZED CLASS THIS WILL BE READY FOR DEPUTIES TO USE.</t>
  </si>
  <si>
    <t>Rejected by ETD1004.  Comments: approved for earlier agency.</t>
  </si>
  <si>
    <t>2YTHWY60866241</t>
  </si>
  <si>
    <t>THE MONROE COUNTY SHERIFFS OFFICE IS REQUESTING THIS FOR OUR MARINE PATROL. THIS WILL BE PREPARED AND READY FOR UPCOMING BOATING SEASON TO ENFORCE LAWS AND SAFETY CONCERNS ON OUR LAKE. THIS WILL HELP US TO IMPROVE OUR UNIT AND HELP THE SAFETY OF THE COMMUNITY.</t>
  </si>
  <si>
    <t>2YTHWY60866239</t>
  </si>
  <si>
    <t>THE MONROE COUNTY SHERIFFS OFFICE IS REQUESTING THESE TRUCKS FOR OUR PATROL DIVISION. THESE TRUCKS WILL BE USED FOR PATROL DUTIES AND EXPANDING OUR K9 PATROL. WE HAVE A FEW OF THESE TRUCKS AND WILL BE ABLE TO OUTFIT TO OUR NEEDS.</t>
  </si>
  <si>
    <t>2YTHWY60866237</t>
  </si>
  <si>
    <t>THE MONROE COUNTY SHERIFFS OFFICE IS REQUESTING THIS FOR OUR DETECTIVES DIVISION. THIS WILL BE UNDERCOVER OR UNMARKED UNIT FOR PERFORMING CRIMINAL INTERDICTION. THIS WILL BE HELPING FIGHT THE WAR AGAINST DRUGS.</t>
  </si>
  <si>
    <t>Rejected by ETD1004.  Comments: approved for another agency earlier.</t>
  </si>
  <si>
    <t>2YTHWY60866236</t>
  </si>
  <si>
    <t>THE MONROE COUNTY SHERIFFS OFFICE IS REQUESTING THIS TRAILER FOR OUR TRACTORS AND BUSH HOGS. THE IS A TRAVELING AXLE TILT TRAILER WHICH IS EXACTLY WHAT IS NEEDED FOR LOADING THIS EQUIPMENT. THIS WILL GO GOOD WITH OUR SMALL TRUCK WHEN MOVING THIS EQUIPMENT TO OUR DIFFERENT PROPERTIES.</t>
  </si>
  <si>
    <t>Rejected by ETD1004.  Comments: approve for earlier agency.</t>
  </si>
  <si>
    <t>2YTHWY60866235</t>
  </si>
  <si>
    <t>THE MONROE COUNTY SHERIFFS OFFICE IS REQUESTING THIS FOR A HAZMAT CRASH INVESTIGATION TRUCK. THIS WILL BE USED ON THE INTERSTATE RUNNING THROUGH OUR COUNTY WHEN THESE INCIDENTS OCCUR.</t>
  </si>
  <si>
    <t>Rejected by ETD1004.  Comments: approved earlier for another agency.</t>
  </si>
  <si>
    <t>2YTHWY60724884</t>
  </si>
  <si>
    <t>THE MONROE COUNTY SHERIFFS OFFICE IS REQUESTING THIS TRAILER FOR OUR DUMP TRUCK AND FLATBED TRUCK. WE DO NOT HAVE A TRAILER THIS STYLE AND IT WILL BE USED TO HAUL OUR BACKHOE. THIS WILL HELP US HAVING THE ITEMS TOGETHER WHEN MOVING DIRT AND ROCK AT TRAINING AREAS.</t>
  </si>
  <si>
    <t>2YTHWY60724880</t>
  </si>
  <si>
    <t>THE MONROE COUNTY SHERIFFS OFFICE IS REQUESTING THIS TRAILER FOR HAULING OUR LARGE EQUIPMENT. THIS WILL BE USED WITH OUR SEMI TRUCK TO MOVE OUR EQUIPMENT TO OUR NEW TRAINING SITE WHERE WE ARE WORKING TO BUILD A DRIVING TRACK FOR TRAINING DEPUTIES.</t>
  </si>
  <si>
    <t>Rejected by ETD1004.  Comments: similar to 2 other trailers requisitioned since 2023.</t>
  </si>
  <si>
    <t>2YTHWY60654713</t>
  </si>
  <si>
    <t>THE MONROE COUNTY SHERIFFS OFFICE IS REQUESTING THIS VEHICLE FOR CRIME SCENE INVESTIGATION. THIS TRUCK WILL BE SET UP FOR PROCESSING SCENES AND FOR DEPUTIES TO BE ABLE TO HAVE A PLACE FOR PAPERWORK. ALSO THE TRUCK CAN BE USED DURING EVENTS FOR A POST WHERE DEPUTIES CAN REST DURING LONG SHIFTS.</t>
  </si>
  <si>
    <t>2YTHWY60584712</t>
  </si>
  <si>
    <t>Rejected by ETD1004.  Comments: approved 4 this morning..</t>
  </si>
  <si>
    <t>2YTHWY60372082</t>
  </si>
  <si>
    <t>Rejected by ETD1004.  Comments: approved 4 this morning.</t>
  </si>
  <si>
    <t>2YTHWY60372081</t>
  </si>
  <si>
    <t>LAW ENFORCEMENT USE. HIGH WATER RESCUE, SWAT, REMOTE ACCESS.</t>
  </si>
  <si>
    <t>Rejected by EJR00818.  Comments: HMMWV on approved packet but need more detailed justification with three category justification items.</t>
  </si>
  <si>
    <t>2YTHR060372756</t>
  </si>
  <si>
    <t>LAW ENFORCEMENT USE. FIRING RANGE STORAGE.</t>
  </si>
  <si>
    <t>Rejected by EJR00818.  Comments: More detailed justification needed resubmit with three category justification items.</t>
  </si>
  <si>
    <t>2YTHR060372754</t>
  </si>
  <si>
    <t>2YTHR060372753</t>
  </si>
  <si>
    <t>LAW ENFORCEMENT USE. SWAT AND WARRANT SERVICE.</t>
  </si>
  <si>
    <t>Rejected by EJR00818.  Comments: More detailed justification needed resubmit with three category justification items with 2YT beginning DTID number may not operational or in working order.  .</t>
  </si>
  <si>
    <t>2YTHR060372752</t>
  </si>
  <si>
    <t>THE MILAN POLICE DEPARTMENT WOULD LIKE TO HAVE THIS DUALLY PICKUP TRUCK TO HAUL LARGE TRAILERS THAT WE HAVE BETWEEN TRAINING SITES AND STAGING GENERATORS AND ATV'S DURING NATURAL DISASTERS. WE HAVE BEEN AWARDED A COUPLE TRUCKS WITHIN THE LAST FEW YEARS AND WE WERE UNABLE TO GET ONE OF THEM FUNCTIONAL DUE TO ENGINE PROBLEMS. THIS TRUCK WILL BE USED BY OUR DEPARTMENT ONLY.</t>
  </si>
  <si>
    <t>2YTHQ061007795</t>
  </si>
  <si>
    <t>Rejected by ETD1004.  Comments: similar to others requisitioned .</t>
  </si>
  <si>
    <t>2YTHQ060231594</t>
  </si>
  <si>
    <t>THE MEADE COUNTY SHERIFF'S OFFICE WOULD LIKE TO ACQUIRE THIS PROPERTY FOR OUR AGENCY'S USE IN OUR AIRCRAFT HANGER. DO TO THE EXTREMELY HIGH CEILINGS, THIS LIFT WILL LET US BE ABLE TO REPAIR AND REPLACE OVERHEAD LIGHTING AND ELECTRICAL OUTLETS. ALSO WILL BE USED FOR PLACING AND RETRIEVING EQUIPMENT, SUPPLIES, AND EVIDENCE FORM THE HIGH SHELVES WITHOUT HAVING TO USE AN EXTENSION LADDER ON SLICK CONCRETE FLOOR.</t>
  </si>
  <si>
    <t>Rejected by EBT0903.</t>
  </si>
  <si>
    <t>2YTPTW60301631</t>
  </si>
  <si>
    <t>THESE OPTICS WOULD BE USED FOR OUR PATROL RIFLES TO START A DESIGNATED MARKSMAN PROGRAM FOR PATROL OFFICERS.  THESE WOULD ALLOW OUR OFFICERS TO BE MORE EFFECTIVE WITH THEIR PATROL RIFLES.
I HAVE CONTACTED THE BASE IN REFERENCE TO THE CONDITION OF THE OPTICS AND WE ARE SATISFIED WITH THEIR CONDITION.</t>
  </si>
  <si>
    <t>2YTHDF61217180</t>
  </si>
  <si>
    <t>THESE TRUCKS WILL BE USED FOR PATROL VEHICLES WHICH WE ARE IN MAJOR NEED OF.</t>
  </si>
  <si>
    <t>2YTHDF60866248</t>
  </si>
  <si>
    <t>DEPARTMENTAL USE FOR NIGHT TIME TACTICAL AND OR SEARCH AND RESCUE OPERATIONS WILL CONFIRM WITH SHIPPING SITE.</t>
  </si>
  <si>
    <t>2YTG8B60372390</t>
  </si>
  <si>
    <t>2YTG8B60372388</t>
  </si>
  <si>
    <t>2YTG8B60372387</t>
  </si>
  <si>
    <t>TO BE USED BY THIS LEA ONLY. TO BE USED BY THE LEOS OF THIS LEA TO PATROL AND RESPOND TO CALLS IN OUR JURISDICTION.</t>
  </si>
  <si>
    <t>Rejected by EDP0815.  Comments: Item already approved for another LEA at the State level..</t>
  </si>
  <si>
    <t>2YTG6V60937149</t>
  </si>
  <si>
    <t>2YTG6V60937148</t>
  </si>
  <si>
    <t>THIS VEHICLE WOULD BE USED BY A LAW ENFORCEMENT AGENCY FOR THE PURPOSE OF TRANSPORTING CITIZENS TO SAFETY FROM THEIR RESIDENCES AND SO FORTH DURING FLOODING AND SEVERE WINTER SNOW AND ICE STORMS. TWO VEHICLES ARE NEEDED. ONE VEHICLE WILL BE STAGED IN THE NORTH SIDE OF THE COUNTY, AND THE OTHER ON THE SOUTH SIDE OF SAID COUNTY. OUR DEPARTMENT WOULD ALSO USE THE VEHICLES FOR SEARCH AND RESCUE OPERATIONS IN THE MOUNTAINOUS AREA OF OUR COUNTY BECAUSE SOME OF THE RURAL ROADWAYS ARE ALMOST IMPASSABLE.</t>
  </si>
  <si>
    <t>2YTG6K60725022</t>
  </si>
  <si>
    <t>2YTG6K60725021</t>
  </si>
  <si>
    <t>OUR AGENCY WOULD LIKE TO REQUISITION THIS ITEM TO ASSIST WITH UNLOADING SUPPLIES WHERE A LOADING DOCK IS NOT ACCESSIBLE TO OUR AGENCY. ANY HEAVY DELIVERIES AMMO, VEHICLE EQUIPMENT, WE HAVE TO BORROW A LIFT FROM LOCAL BUSINESS. THIS WOULD ALLOW OUR DEPARTMENT FULL ACCESS TO UNLOAD ITEMS AND MAKE IT MORE SAFE IN DOING SO.</t>
  </si>
  <si>
    <t>Rejected by EBT0903.  Comments: Change Our agency to Madisonville Police Department. .</t>
  </si>
  <si>
    <t>2YTG5860302451</t>
  </si>
  <si>
    <t>MADISONVILLE POLICE DEPT (2YTG58)</t>
  </si>
  <si>
    <t>THE MADISONVILLE POLICE DEPARTMENT IS REQUESTING THIS BOAT FOR USE BY OUR OFFICERS. OUR DEPARTMENT IS A MEMBER OF A COUNTYWIDE VIOLENT CRIME TASK FORCE WHICH INCLUDES HELPING ON WATERWAYS. THIS UNIT WOULD BE USED TO ASSIST THIS UNIT WITH ENFORCEMENT AND RESCUE OPERATIONS. DUE TO BUDGET CONSTRAINTS WE ARE CURRENTLY UNABLE TO PURCHASE EQUIPMENT LIKE THIS UNIT. THANKS</t>
  </si>
  <si>
    <t>2YTG5761007754</t>
  </si>
  <si>
    <t>THE MADISONVILLE POLICE DEPARTMENT IS REQUESTING THIS VEHICLE FOR USE BY OUR SPECIAL RESPONSE TEAM. THIS VEHICLE COULD BE USED TO HAUL TACTICAL EQUIPMENT FOR QUICK ACCESS TO DANGEROUS SCENES. INFORMATION GATHERED FROM THE BASE IS THE UNIT RUNS AND DRIVES. DUE TO BUDGET CONSTRAINTS WE ARE CURRENTLY UNABLE TO PURCHASE MUCH NEEDED EQUIPMENT LIKE THIS UNIT.</t>
  </si>
  <si>
    <t>2YTG5760866213</t>
  </si>
  <si>
    <t>THE MADISONVILLE POLICE DEPARTMENT IS REQUESTING THIS TRAILER FOR USE BY OUR OFFICERS. THIS TRAILER COULD BE USED TO HAUL LARGE EVIDENCE, MRAP, AND DISASTER RELIEF SUPPLIES. INFORMATION GATHERED FROM THE BASE IS THE TRAILER IS SERVICEABLE. DUE TO CURRENT BUDGET CONSTRAINTS WE ARE UNABLE TO PURCHASE A TRAILER LIKE THIS. THANKS</t>
  </si>
  <si>
    <t>2YTG5760866205</t>
  </si>
  <si>
    <t>THE MADISONVILLE POLICE DEPARTMENT IS REQUESTING THIS MUCH NEEDED UNIT FOR USE BY OUR OFFICERS. OUR DEPARTMENT IS LOCATED IN A RURAL HIGH METH LAB AREA WHICH INVOLVES HAZARDOUS MATERIALS. THIS UNIT COULD BE USED TO STORE HAZMAT EQUIPMENT FOR RESPONSE AND RECOVERY OF THESE DANGEROUS LABS. DUE TO CURRENT BUDGET RESTRICTIONS WE ARE UNABLE TO PURCHASE VITAL EQUIPMENT LIKE THIS UNIT. THANKS</t>
  </si>
  <si>
    <t>2YTG5760654808</t>
  </si>
  <si>
    <t>THE MADISONVILLE POLICE DEPARTMENT IS REQUESTING THIS UNIT FOR USE BY OUR OFFICERS. OUR DEPARTMENT IS LOCATED IN A HIGH METH LAB RURAL MOUNTAINOUS AREA WITH OUR LAST LAB BEING LESS THAN A MONTH AGO. DUE TO BUDGET CONSTRAINTS WE ARE CURRENTLY UNABLE TO PURCHASE MUCH NEEDED HAZMAT EQUIPMENT TO KEEP OUR OFFICERS SAFE. THANKS</t>
  </si>
  <si>
    <t>2YTG5760654341</t>
  </si>
  <si>
    <t>THE MADISONVILLE POLICE DEPARTMENT IS REQUESTING THIS UNIT FOR USE BY OUR OFFICERS. THIS TRAILER COULD BE USED AS A PORTABLE OFFICE AND CLASSROOM ON OUR SHOOTING RANGE FOR INSTRUCTIONAL USE AND SHELTER. DUE TO BUDGET CONSTRAINTS WE ARE CURRENTLY UNABLE TO PURCHASE MUCH NEEDED LIKE THIS UNIT. THANKS</t>
  </si>
  <si>
    <t>2YTG5760654340</t>
  </si>
  <si>
    <t>THE MADISONVILLE POLICE DEPARTMENT IS REQUESTING THIS TRUCK FOR USE BY OUR OFFICERS. OUR DEPARTMENT IS LOCATED IN A HIGH METH LAB RURAL MOUNTAINOUS AREA. THIS TRUCK WOULD BE USED AS A HAZMAT TRUCK TO TRANSPORT EQUIPMENT TO WORK THESE SCENES. DUE TO CURRENT BUDGET CONSTRAINTS WE ARE UNABLE TO PURCHASE MUCH NEEDED EQUIPMENT LIKE THIS UNIT. THANKS</t>
  </si>
  <si>
    <t>2YTG5760574652</t>
  </si>
  <si>
    <t>OUR POLICE DEPARTMENT IS LOOKING INTO ACQUIRING  A VEHICLE LIKE THIS.  WE HAVE ALL DIFFERENT TYPES OF TERRAIN IN OUR JURISDICTION WHERE THIS WOULD BENEFIT IN SERVING THE COMMUNITY.  WE HAD A FEW QUESTIONS ABOUT IT WHICH WERE SUBMITTED.</t>
  </si>
  <si>
    <t>Rejected by EDP0815.  Comments: In addition to obtaining authorization from their governing body to obtain this item type, the LEA must have prior authorization from DLA to obtain this item type via a DLA approved armored vehicle request form. LEA should contact the NJ 1033 Program LESO to get the form if interested in getting this item. If LEA had proper approval item still would have been rejected  due to an insufficient justification being submitted for this item..</t>
  </si>
  <si>
    <t>2YTGSY60937044</t>
  </si>
  <si>
    <t>LINDENWOLD POLICE DEPT (2YTGSY)</t>
  </si>
  <si>
    <t>THE LATHROP POLICE DEPARTMENT IS SEEKING AND ARMORED VEHICLE FOR USE FOR SWAT PURPOSES, HOSTAGE RESCUES, ACTIVE SHOOTER THREATS, AND BARRICADED SUSPECTS.  THE LATHROP POLICE DEPARTMENT IS A RELATIVELY NEW POLICE DEPARTMENT AND HAS NO ARMORED VEHICLES IN IT'S INVENTORY.  THIS WOULD BE A HUGE ASSET FOR OUR NEW POLICE DEPARTMENT AND BENEFIT OUR COMMUNITY.</t>
  </si>
  <si>
    <t>Rejected by EDC2527.  Comments: This MRAP is not available through RTD and LEA does not have an approved Armored Vehicle Packet on file..</t>
  </si>
  <si>
    <t>2YTTBE60726062</t>
  </si>
  <si>
    <t>LATHROP PD (2YTTBE)</t>
  </si>
  <si>
    <t>THIS ITEM WOULD BE USED TO ASSIST IN DANGEROUS SITUATIONS THIS UNIT WOULD BE DEPLOYED IN CASE OF ACTIVE SHOOTERS, BARRICADED SUBJECTS OR UNANNOUNCED SEARCH WARRANTS SO THAT THE OFFICERS WOULD BE SAFE AND MAKE IT HOME TO THEIR FAMILIES</t>
  </si>
  <si>
    <t>Rejected by EBB00531.  Comments: Tracked unit such as this is prohibited through LESO. Must be wheeled tactical vehicle..</t>
  </si>
  <si>
    <t>2YTRAR60796345</t>
  </si>
  <si>
    <t>THIS WOULD ASSIST THE KINSEY POLICE DEPARTMENT IN HAVING A GENERATOR AT OUR POLICE DEPARTMENT IN CASE OF POWER OUTAGE SO THAT WE CAN CONTINUE WORKING AND PROTECTING OUR CITIZENS.</t>
  </si>
  <si>
    <t>Rejected by EBB00531.  Comments: Justification does not fit with item description. You are welcome to correct and reapply..</t>
  </si>
  <si>
    <t>LATHES</t>
  </si>
  <si>
    <t>DSLATHE00</t>
  </si>
  <si>
    <t>2YTRAR60795748</t>
  </si>
  <si>
    <t>THIS UNIT WILL BE USED FOR THE KINGSTON POLICE DEPARTMENT TO SEARCH FOR EVIDENCE IN WATERWAYS ATTACHED TO KINGSTON.  TO HELP IN LOCATING PERSONS,VEHICLES AND EVIDENCE.</t>
  </si>
  <si>
    <t>2YTF8B60583832</t>
  </si>
  <si>
    <t>Rejected by ETD1004.  Comments: frag kit installed.</t>
  </si>
  <si>
    <t>2YTFMD60795881</t>
  </si>
  <si>
    <t>Rejected by ETD1004.  Comments: approved for previous requisitioner.</t>
  </si>
  <si>
    <t>2YTFMD60654663</t>
  </si>
  <si>
    <t>Rejected by EJH2476.  Comments: REJECT JH GSA CYCLE.</t>
  </si>
  <si>
    <t>INDIVIDUAL SLEEPING BAG</t>
  </si>
  <si>
    <t>DSSLEPBAG</t>
  </si>
  <si>
    <t>2YTFMD60372933</t>
  </si>
  <si>
    <t>2YTFMD60372931</t>
  </si>
  <si>
    <t>2YTFMD60372928</t>
  </si>
  <si>
    <t>Rejected by EJH2476.  Comments: REJECT JH MUST BE DOD CYCLE.</t>
  </si>
  <si>
    <t>2YTFMD60372927</t>
  </si>
  <si>
    <t>2YTFMD60372926</t>
  </si>
  <si>
    <t>2YTFMD60372916</t>
  </si>
  <si>
    <t>2YTFMD60372907</t>
  </si>
  <si>
    <t>THIS VEHICLE IS REQUESTED TO ADDRESS A CRITICAL CAPABILITY GAP WITHIN OUR AGENCY. OUR EMERGENCY RESPONSE TEAM CURRENTLY LACKS ARMORED VEHICLE SUPPORT FOR HIGH-RISK WARRANTS, ACTIVE SHOOTER INCIDENTS, AND BARRICADED SUSPECTS. THE VEHICLE WOULD ALSO SUPPORT DISASTER RESPONSE DURING SEVERE WEATHER AND FLOODING EVENTS, ENHANCING OFFICER SAFETY, PUBLIC PROTECTION, AND OVERALL OPERATIONAL READINESS AT NO ADDITIONAL COST TO TAXPAYERS.</t>
  </si>
  <si>
    <t>Rejected by ETD1004.  Comments: LESO IS NOT ALLOWING ANY REQUISITION APPROVALS UNTIL THE SHUTDOWN IS OVER.</t>
  </si>
  <si>
    <t>2YTFMD60302412</t>
  </si>
  <si>
    <t>Rejected by EDP0815.  Comments: Item approved for another LEA at the State level..</t>
  </si>
  <si>
    <t>2YTFKZ60372125</t>
  </si>
  <si>
    <t>2YTFKZ60372124</t>
  </si>
  <si>
    <t>THIS SCOOTER IS REQUESTED BY THE HOLLY HILL POLICE DEPARTMENT, FOR USE BY HOLLY HILL PD OFFICERS TO PATROL THE DOWNTOWN AREAS THAT CONVENTIONAL SIZED PATROL VEHICLES CANT FIT, AND FOR LARGE SCALE EVENTS SUCH AS SEARCH AND RESCUE IN AND AROUND SUBDIVISIONS.</t>
  </si>
  <si>
    <t>Rejected by EJC2716.  Comments: requested by another LEA first.</t>
  </si>
  <si>
    <t>2YTRSD60160517</t>
  </si>
  <si>
    <t>THIS SHIPPING CONTAINER WILL BE UTILIZED BY THE HARVEY CEDARS POLICE DEPARTMENT TO PROTECTED AND STORE POLICE EQUIPMENT FROM THE COASTAL WEATHER ENVIRONMENT THAT THE HARVEY CEDARS POLICE DEPARTMENT IS LOCATED IN.  THE SHIPPING CONTAINER WILL BE USED FOR POLICE PURPOSES ONLY.  THIS EQUIPMENT WILL NOT BE RESOLD.</t>
  </si>
  <si>
    <t>Rejected by EDP0815.  Comments: Insufficient justification..</t>
  </si>
  <si>
    <t>2YTE6360725204</t>
  </si>
  <si>
    <t>2YTE6360725203</t>
  </si>
  <si>
    <t>THIS PELICAN CASE STORAGE UNIT WILL BE UTILIZED BY THE HARVEY CEDARS POLICE DEPARTMENT TO STORE FRAGILE PATROL EQUIPMENT  FROM GETTING DAMAGED DURING POLICE OPERATIONS AND FOR POLICE PURPOSES ONLY.  THIS EQUIPMENT WILL NOT BE RESOLD.</t>
  </si>
  <si>
    <t>2YTE6360725200</t>
  </si>
  <si>
    <t>WE ARE A SHERIFF DEPT WITH A LIMITED BUDGET. WE ARE IN NEED OF THIS MOBILE COMMAND VEHICLE FOR OUR OFFICERS TO USE DURING EVENTS LIKE THE ICE STORM WE ARE DEALING WITH AT THIS TIME. THE VEHICLE WILL ALLOW OUR OPERATIONS TO CONTINUE WHILE WE HAVE POWER OUTAGES. THIS WOULD BE A GREAT ASSET TO OUR OFFICERS DURING THESE TRYING TIMES.</t>
  </si>
  <si>
    <t>Rejected by EJH2476.  Comments: REJECT JH  .</t>
  </si>
  <si>
    <t>2YTE4H60442643</t>
  </si>
  <si>
    <t>Rejected by EDP0815.  Comments: Item approved for another LEA at the State level. This LEA approved for a similar item type at the State level. .</t>
  </si>
  <si>
    <t>2YTEY460937009</t>
  </si>
  <si>
    <t>FOR USE BY THIS LEA ONLY. TO BE USED BY THE LEOS OF THIS AGENCY. THIS ATV WILL BE UTILIZED DURING LAW ENFORCEMENT OPERATIONS TO ACCESS AREAS NOT REACHABLE BY STANDARD PATROL VEHICLES AND SUPPORT INCIDENT RESPONSE AND PUBLIC SAFETY MISSIONS.</t>
  </si>
  <si>
    <t>2YTEY460866245</t>
  </si>
  <si>
    <t>FOR USE BY THIS LEA ONLY. TO BE USED BY THE LEOS OF THIS AGENCY. THIS TRAILER WILL BE UTILIZED TO TRANSPORT LAW ENFORCEMENT EQUIPMENT, SUPPLIES, AND RESOURCES IN SUPPORT OF OPERATIONS, TRAINING, AND CRITICAL INCIDENT RESPONSE.</t>
  </si>
  <si>
    <t>2YTEY460866242</t>
  </si>
  <si>
    <t>Rejected by EAZ0039.  Comments: LEA does not have a governing body resolution submitted that authorizes participation and property acquisition for calendar year 2026, in accordance with NJ LESO policy..</t>
  </si>
  <si>
    <t>2YTEY460090373</t>
  </si>
  <si>
    <t>ITEMS TO BE USED BY GPF PD OFFICERS ON THE MULTI JURISDICTION SPECIAL RESPONSE TEAM.</t>
  </si>
  <si>
    <t>2YTEWV60090254</t>
  </si>
  <si>
    <t>NIGHT VISION REQUESTED BY THE GREENWOOD COUNTY SHERIFF'S OFFICE, FOR USE BY GREENWOOD COUNTY SHERIFF'S OFFICE OFFICERS, TO ENHANCE NIGHT TIME DUTY CAPABILITIES</t>
  </si>
  <si>
    <t>2YTEVU60583756</t>
  </si>
  <si>
    <t>THE GREENVILLE COUNTY SHERIFF'S OFFICE IS REQUESTING THIS EQUIPMENT TO OUTFIT MEMBERS OF THE TIER 1 SWAT TEAM.  GCSO SWAT RESPONDS TO THE HIGHEST RISK CALLS IN GRENVILLE AS WELL AS THE SURROUNDING COUNTIES IN THE UPSTATE OF SC</t>
  </si>
  <si>
    <t>2YTEU860725188</t>
  </si>
  <si>
    <t>GREENVILLE COUNTY SHERIFF OFFICE (2YTEU8)</t>
  </si>
  <si>
    <t>THE GREENEVILLE POLICE DEPARTMENT NEEDS AN SUV WITH 4X4 TO GET OFFICERS AROUND IN THE INCLEMENT WEATHER. WE RECENTLY HAD A RECORD SNOWFALL AND NEEDED A 4X4 TO GET OFFICERS TO CALLS. THIS VEHICLE RUNS AND DRIVES ACCORDING TO THE BASE.</t>
  </si>
  <si>
    <t>2YTEUF60725228</t>
  </si>
  <si>
    <t>THIS VEHICLE WILL BE USED FOR HAULING EVIDENCE FOR DETECTIVES AND USED FOR TRANSPORTING EQUIPMENT FROM BACK AND FORTH BETWEEN OUR OFFICES AND RANGES</t>
  </si>
  <si>
    <t>2YTET661007789</t>
  </si>
  <si>
    <t>AMBULANCE WILL BE CONVERTED OVER BY THE GREENE COUNTY SHERIFFS OFFICE INTO A MOBILE REHAB UNIT FOR OFFICERS WORKING AN EXTENDED ASSIGNMENT. THIS WILL ALLOW THEM TO GET INTO HEAT AND AIR AND TAKE A BREAK IN THE BACK OF THE UNIT.</t>
  </si>
  <si>
    <t>2YTET660866110</t>
  </si>
  <si>
    <t>THIS ITEM WILL BE USED TO HAUL ITEMS FOR OUR DEPARTMENT</t>
  </si>
  <si>
    <t>2YTET660654436</t>
  </si>
  <si>
    <t>THIS EQUIPMENT WILL BE USED FOR LAW ENFORCEMENT PURPOSES ONLY. THE GRANITE SHOALS POLICE DEPARTMENT CURRENTLY HAS EIGHTEEN RIFLES THROUGH THE LESO PROGRAM. OUR RIFLES REQUIRE OPTICS WHICH WILL BE RELIABLE AND INCREASE OUR EFFECTIVENESS SHOULD THE NEED ARISE TO ENGAGE A THREAT ACCURATELY. THESE OPTICS WILL FACILITATE THAT GOAL AND ALLOW EVERY OFFICER TO BE MORE CAPABLE AT THIS TASK.</t>
  </si>
  <si>
    <t>2YTERJ60652528</t>
  </si>
  <si>
    <t>SMALL ARMS ILLUMINATORS ARE REQUESTED TO SUPPORT SWAT OPERATIONS DURING LOW-LIGHT AND NO-LIGHT CONDITIONS. THESE DEVICES ENHANCE TARGET IDENTIFICATION, IMPROVE OFFICER SAFETY, AND INCREASE ACCURACY DURING HIGH-RISK ENTRIES, WARRANT SERVICE, AND SEARCH OPERATIONS. ISSUANCE WILL REDUCE RISK TO OFFICERS AND CIVILIANS BY ENSURING POSITIVE IDENTIFICATION OF THREATS AND IMPROVING OVERALL OPERATIONAL EFFECTIVENESS DURING CRITICAL INCIDENTS.</t>
  </si>
  <si>
    <t>Rejected by EOL0097.  Comments: LESO will not approve these dur to the condition code and the DTID being from an agency turn in.  They likely do not work..</t>
  </si>
  <si>
    <t>2YTEPE60937513</t>
  </si>
  <si>
    <t>THIS ITEM WILL ONLY BE USED BY THE GLEASON POLICE DEPARTMENT. THIS ITEM WOULD BE USED TO TRANSPORT EQUIPMENT NEEDED DURING A NATURAL DISASTER. THIS ITEM WOULD BE USED TO TRANSPORT GENERATORS TO DIFFERENT LOCATIONS DURING A NATURAL DISASTER.</t>
  </si>
  <si>
    <t>2YTEMC60724845</t>
  </si>
  <si>
    <t>THE GLEASON POLICE DEPARTMENT WILL BE THE ONLY ONE USING THIS ITEM. THIS ITEM WILL BE USED AT THE POLICE DEPARTMENT FOR EMERGENCY POWER DURING A NATURAL DISASTER. THE ITEM WILL ALSO BE USED TO POWER EQUIPMENT NEEDED DURING A NATURAL DISASTER TO CLEAR DEBRIS FROM THE ROADWAY.</t>
  </si>
  <si>
    <t>2YTEMC60583925</t>
  </si>
  <si>
    <t>THE EQUIPMENT WILL BE UTILIZED FOR LAW ENFORCEMENT USE ONLY. LEOS OF THIS LEA WHILE CONDUCTING FIREARMS TRAINING AT THE RANGE AND STORE SAID TARGET AND EQUIPMENT THE QUARTERLY AND BIANNUAL TRAINING LEOS HAVE TO CONDUCT.</t>
  </si>
  <si>
    <t>Rejected by EDP0815.  Comments: LEA authorized to obtain this item type by their civilian governing body which is 1033 Program Policy in the State of New Jersey..</t>
  </si>
  <si>
    <t>2YTECD60866360</t>
  </si>
  <si>
    <t>Rejected by EDP0815.  Comments: LEA already approved for a quantity of 160 of the same or similar item type at the State level.  .</t>
  </si>
  <si>
    <t>2YTECD60725171</t>
  </si>
  <si>
    <t>2YTECD60725170</t>
  </si>
  <si>
    <t>2YTECD60655172</t>
  </si>
  <si>
    <t>THIS EQUIPMENT WILL BE UTILIZED FOR LAW ENFORCEMENT USE ONLY. DETECTIVE WILL USE THIS WHILE UTILIZING THE TOWNSHIPS BUCKET TRUCK WHILE DOING COVERT MISSIONS OR SAFETY. IT WILL BE USED BY POLICE OFFICERS ONLY.</t>
  </si>
  <si>
    <t>Rejected by EDP0815.  Comments: Insufficient justification. Items cannot be obtained to be used with or in property that belong to another branch of an LEAs civilian government..</t>
  </si>
  <si>
    <t>2YTECD60584048</t>
  </si>
  <si>
    <t>THIS LAW ENFORCEMENT AGENCY WILL USE THE GETAC, DIGITAL COMPUTER SYSTEM FOR PUBLIC SAFETY TRAINING WITHIN THE AGENCY, TRAINING FOR OFFICERS OUTSIDE THE AGENCY AND USE FOR DETECTIVES FOR INVESTIGATIVE PURPOSES ON SCENE AND WITHIN HEADQUARTERS.</t>
  </si>
  <si>
    <t>Rejected by EDP0815.  Comments: DLA is not issuing this item type to LEAs unless the DEMIL code and the condition code are both A. The DEMIL code of this item is D and the condition code is A. Also, items cannot be obtained to be used by personnel outside of your agency. Refrain from listing in your justifications that items will be obtained to be used by your LEOs and LEOs from other agencies. Items cannot be obtained for any entity outside of your PD..</t>
  </si>
  <si>
    <t>2YTECD60372204</t>
  </si>
  <si>
    <t>2YTQPZ60866286</t>
  </si>
  <si>
    <t>FOR USE BY THIS LAW ENFORCEMENT AGENCY ONLY FOR TRANSPORTATION OF OFF ROAD SEARCH AND RESCUE VEHICLES</t>
  </si>
  <si>
    <t>2YTQPZ60866282</t>
  </si>
  <si>
    <t>FOR USE BY THIS LAW ENFORCEMENT AGENCY ONLY TO PROVIDE ILLUMINATION AT POLICE FUNCTIONS ENSURING PUBLIC SAFETY</t>
  </si>
  <si>
    <t>2YTQPZ60866277</t>
  </si>
  <si>
    <t>FOR USE BY THIS LAW ENFORCEMENT AGENCY ONLY TO SUPPLEMENT SCHOOL RESOURCE OFFICERS</t>
  </si>
  <si>
    <t>Rejected by EDP0815.  Comments: Insufficient justification. .</t>
  </si>
  <si>
    <t>2YTQPZ60796288</t>
  </si>
  <si>
    <t>2YTQPZ60796287</t>
  </si>
  <si>
    <t>THE REFLEX SIGHTS ARE FOR USE BY THE LEA ONLY.  THIS LEA IS LOOKING TO MODERNIZE OUR CURRENT COLT RIFLES WITH REFLEX SIGHTS.  THESE SIGHTS WILL BE ASSIGNED TO RIFLES OWNED AND OPERATED BY THIS LEA AND ONLY USED BY SWORN OFFICERS OF THIS LEA. RIFLES REMAIN AT THE LEA AT ALL TIMES AND ARE ONLY DEPLOYED IN THE LEA AREA DURING THE OFFICER'S DUTY SHIFT.  THESE REFLEX SIGHTS WILL HELP MODERNIZE OUR CURRENT RIFLES WHICH ONLY UTILIZE IRON SIGHTS.</t>
  </si>
  <si>
    <t>Rejected by EDP0815.  Comments: Item characteristics show that these optics have been tagged as unserviceable and or condemned. Items cannot be obtained with the intent being to cannibalize parts of an awarded allotment as from a broken item to make a functioning item or items from within the allocated allotment. these optics should not  have been marked as condition code A..</t>
  </si>
  <si>
    <t>2YTD4861146801</t>
  </si>
  <si>
    <t>FLORHAM PARK POLICE DEPT (2YTD48)</t>
  </si>
  <si>
    <t>THE FAIRVIEW POLICE DEPARTMENT UTILIZATION PLAN FOR THIS TRAILER IS TO MOBILIZE EMERGENCY RESPONSE EQUIPMENT GENERATORS, UTV'S AND TEMPORARY SHELTERS AND NEWLY ACQUIRED TRUCK FORK LIFT.</t>
  </si>
  <si>
    <t>2YTDYH60725251</t>
  </si>
  <si>
    <t>WE REQUEST REQUISITION OF BALLISTIC HELMETS TO SUPPORT DAILY NARCOTICS ENFORCEMENT AND HIGH-RISK OPERATIONS. CURRENT LIMITATIONS IN HEAD PROTECTION INCREASE OFFICER INJURY RISK DURING WARRANT SERVICE, ARRESTS, AND ARMED ENCOUNTERS. BALLISTIC HELMETS WILL IMPROVE OFFICER SURVIVABILITY, OPERATIONAL READINESS, AND MISSION SUCCESS. THANK YOU FOR YOUR SUPPORT.</t>
  </si>
  <si>
    <t>Rejected by EED0396.  Comments: All justifications must start with the Agency name..</t>
  </si>
  <si>
    <t>2YT07760584040</t>
  </si>
  <si>
    <t>WE REQUEST REQUISITION OF IN-FIELD IMMEDIATE COMBAT-RELATED TRAUMA LIFESAVING MATERIALS TO SUPPORT OUR DAILY NARCOTICS AND COUNTER-TERRORISM OPERATIONS. IMMEDIATE MEDICAL INTERVENTION IS VITAL IN HIGH-RISK ENVIRONMENTS. THESE ITEMS WILL ENSURE OFFICERS CAN PROVIDE CRITICAL CARE RAPIDLY, SAFEGUARDING PERSONNEL DURING ENGAGEMENTS. THANK YOU FOR YOUR SUPPORT.</t>
  </si>
  <si>
    <t>2YT07760584037</t>
  </si>
  <si>
    <t>WE REQUEST ACQUISITION OF NIGHT VISION GEAR TO SUPPORT DAILY NARCOTICS AND COUNTER-TERRORISM OPERATIONS. CURRENT OPTICAL LIMITATIONS SLOW THREAT DETECTION AND RISK OFFICER SAFETY. NIGHT VISION WILL ENHANCE SURVEILLANCE, RESPONSE SPEED, AND MISSION SUCCESS. THANK YOU FOR YOUR SUPPORT.</t>
  </si>
  <si>
    <t>Rejected by EED0396.  Comments: All justifications must start with the Agency name. All optics must have the verbiage stating that I have contacted the site and willing to accept the optics as advertise. .</t>
  </si>
  <si>
    <t>2YT07760514021</t>
  </si>
  <si>
    <t>FOR THE USE OF NATURAL FLOODING ISSUES THROUGHOUT OUR COUNTY, AS WELL AS A MULTIJURISDICTIONAL TRT TEAM. THIS ITEM WOULD BE A GREAT ASSET TO THIS COMMUNITY.</t>
  </si>
  <si>
    <t>Rejected by ESH2462.  Comments: Condition Code H and no tactical vehicle request on file  .</t>
  </si>
  <si>
    <t>2YTDQ860725542</t>
  </si>
  <si>
    <t>ELLINGTON POLICE DEPARTMENT (2YTDQ8)</t>
  </si>
  <si>
    <t>THE ELGIN POLICE DEPARTMENT WILL UTILIZE THIS ROBOT DURING TACTICAL OPERATIONS WITH OUR SRT UNIT. THIS WILL ALLOW OFFICERS TO MAINTAIN A SAFE DISTANCE AND OBTAIN CRITICAL INFORMATION FROM THE UNCLEARED AREA.</t>
  </si>
  <si>
    <t>2YTDP060935118</t>
  </si>
  <si>
    <t>THESE NVGS WILL BE UTILIZED BY THE ELGIN POLICE DEPARTMENT'S SPECIAL RESPONSE TEAM FOR NIGHTTIME AND EARLY MORNING MISSIONS WHERE THERE MAY BE LOW LIGHT.</t>
  </si>
  <si>
    <t>Rejected by EJR01036.  Comments: ALL optics condition code F-H must have the additional statement of working condition added to your justification regardless of DTID DODAAC. Please contact Warner Robins for true condition status. TX LESO.</t>
  </si>
  <si>
    <t>2YTDP060585463</t>
  </si>
  <si>
    <t>EDGECOMBE COUNTY SHERIFFS OFFICE NEEDS THESE OPTICS FOR COUNTER DRUG AND HIGH RISK OPERATIONS</t>
  </si>
  <si>
    <t>Rejected by EED0396.  Comments: Need to add the Optic note and explain how the optics will be used.</t>
  </si>
  <si>
    <t>2YTDM760937450</t>
  </si>
  <si>
    <t>EDGECOMBE COUNTY SHERIFFS OFFICE NEEDS THESE SCOPES FOR COUNTER DRUG HIGH RISK OPERATIONS.</t>
  </si>
  <si>
    <t>2YTDM760937448</t>
  </si>
  <si>
    <t>2YTPXC60866127</t>
  </si>
  <si>
    <t>THIS ITEM IS BEING REQUESTED BY THE EATON POLICE DEPARTMENT TO BE USED BY LAW ENFORCEMENT AND LIFE SAVING PURPOSES. THE REQUESTED BOX WILL BE USED FOR TRAINING, LIFE SAVING, SEARCH AND RESCUE, AND LAW ENFORCEMENT.</t>
  </si>
  <si>
    <t>Rejected by ECH00100.  Comments: can't approve, don't know what the item is, No Item Name or Description-CH.</t>
  </si>
  <si>
    <t>2YTDL960937106</t>
  </si>
  <si>
    <t>THIS ITEM IS BEING REQUESTED BY THE EATON POLICE DEPARTMENT TO BE USED BY OFFICERS FOR LAW ENFORCEMENT PURPOSES. THE REQUESTED GENERATOR WILL BE USED TO PROVIDE POWER FOR SEARCH AND RESCUE, AND EXTREME WEATHER CONTIGENCY OPERATIONS. THIS GENERATOR IS NECESSARY FOR THE PROTECTION OF LIFE.</t>
  </si>
  <si>
    <t>Rejected by ECH00100.  Comments: no days left-CH.</t>
  </si>
  <si>
    <t>2YTDL960867496</t>
  </si>
  <si>
    <t>2YTDL960867495</t>
  </si>
  <si>
    <t>THIS ITEM IS BEING REQUESTED BY THE EATON POLICE DEPARTMENT TO BE USED BY OFFICERS FOR LAW ENFORCEMENT PURPOSES. THE REQUESTED VEST WILL BE UTILIZED BY OFFICERS FOR TRAINING, SEARCH AND RESCUE, PROTECTION OF LIFE, AND LAW ENFORCEMENT.</t>
  </si>
  <si>
    <t>2YTDL960867264</t>
  </si>
  <si>
    <t>THIS ITEM IS BEING REQUESTED BY THE EATON POLICE DEPARTMENT TO BE USED BY OFFICERS FOR LAW ENFORCEMENT PURPOSES. THE REQUESTED SPOUT WILL BE UTILIZED BY OFFICERS FOR TRAINING, SEARCH AND RESCUE, PROTECTION OF LIFE, AND LAW ENFORCEMENT.</t>
  </si>
  <si>
    <t>SPOUT,CAN,FLEXIBLE</t>
  </si>
  <si>
    <t>2YTDL960867263</t>
  </si>
  <si>
    <t>THIS ITEM IS BEING REQUESTED BY THE EATON POLICE DEPARTMENT TO BE USED BY OFFICERS FOR LAW ENFORCEMENT PURPOSES. THE REQUESTED TARP WILL BE UTILIZED BY OFFICERS FOR TRAINING, SEARCH AND RESCUE, PROTECTION OF LIFE, AND LAW ENFORCEMENT.</t>
  </si>
  <si>
    <t>2YTDL960867262</t>
  </si>
  <si>
    <t>THIS ITEM IS BEING REQUESTED BY THE EATON POLICE DEPARTMENT TO BE USED BY OFFICERS FOR LAW ENFORCEMENT PURPOSES. THE REQUESTED TOWBAR WILL BE USED TO SUPPLEMENT SEARCH AND RESCUE OPERATIONS BY LAW ENFORCEMENT FOR THE PROTECTION OF LIFE.</t>
  </si>
  <si>
    <t>TOWBAR,MOTOR VEHICLE</t>
  </si>
  <si>
    <t>2YTDL960857497</t>
  </si>
  <si>
    <t>THIS ITEM IS BEING REQUESTED BY THE EATON POLICE DEPARTMENT TO BE USED BY OFFICERS FOR LAW ENFORCEMENT PURPOSES. THE REQUESTED JACKET WILL BE UTILIZED BY OFFICERS FOR TRAINING NEEDS, SEARCH AND RESCUE, AND THE PROTECTION OF LIFE.</t>
  </si>
  <si>
    <t>Rejected by ECH00100.  Comments: can't approve, no days left-CH.</t>
  </si>
  <si>
    <t>2YTDL960584753</t>
  </si>
  <si>
    <t>THIS ITEM IS BEING REQUESTED BY THE EATON POLICE DEPARTMENT TO BE USED BY OFFICERS FOR LAW ENFORCEMENT PURPOSES. THE REQUESTED WASHER WILL BE UTILIZED BY OFFICERS FOR TRAINING NEEDS, MAINTENANCE OF EQUIPMENT, AND THE PROTECTION OF LIFE.</t>
  </si>
  <si>
    <t>Rejected by ECH00100.  Comments: can't approved in GSA cycle-CH.</t>
  </si>
  <si>
    <t>CLEANER,PRESSURE,SO</t>
  </si>
  <si>
    <t>2YTDL960584752</t>
  </si>
  <si>
    <t>THIS ITEM IS BEING REQUESTED BY THE EATON POLICE DEPARTMENT TO BE USED BY OFFICERS FOR LAW ENFORCEMENT PURPOSES. THE REQUESTED CASES WILL BE UTILIZED BY OFFICERS FOR TRAINING NEEDS AND THE PROTECTION OF LIFE.</t>
  </si>
  <si>
    <t>CASE,FIELD FIRST AI</t>
  </si>
  <si>
    <t>2YTDL960584611</t>
  </si>
  <si>
    <t>THIS ITEM IS BEING REQUESTED BY THE EATON POLICE DEPARTMENT TO BE USED BY OFFICERS FOR LAW ENFORCEMENT PURPOSES. THE REQUESTED CASE WILL BE UTILIZED BY OFFICERS FOR TRAINING NEEDS AND THE PROTECTION OF LIFE.</t>
  </si>
  <si>
    <t>2YTDL960584609</t>
  </si>
  <si>
    <t>2YTDL960584607</t>
  </si>
  <si>
    <t>THIS ITEM IS BEING REQUESTED BY THE EATON POLICE DEPARTMENT TO BE USED BY OFFICERS FOR LAW ENFORCEMENT PURPOSES. THE REQUESTED XXXX WILL BE UTILIZED BY OFFICERS FOR TRAINING NEEDS AND THE PROTECTION OF LIFE.THIS ITEM IS BEING REQUESTED BY THE EATON POLICE DEPARTMENT TO BE USED BY OFFICERS FOR LAW ENFORCEMENT PURPOSES. THE REQUESTED POUCHES WILL BE UTILIZED BY OFFICERS FOR TRAINING NEEDS AND THE PROTECTION OF LIFE.</t>
  </si>
  <si>
    <t>Rejected by ECH00100.  Comments: no longer available in the LESO cycles-CH.</t>
  </si>
  <si>
    <t>2YTDL960514166</t>
  </si>
  <si>
    <t>THIS ITEM IS BEING REQUESTED BY THE EATON POLICE DEPARTMENT TO BE USED BY OFFICERS FOR LAW ENFORCEMENT PURPOSES. THE REQUESTED XXXX WILL BE UTILIZED BY OFFICERS FOR TRAINING NEEDS AND THE PROTECTION OF LIFE.THIS ITEM IS BEING REQUESTED BY THE EATON POLICE DEPARTMENT TO BE USED BY OFFICERS FOR LAW ENFORCEMENT PURPOSES. THE REQUESTED CASE WILL BE UTILIZED BY OFFICERS FOR TRAINING NEEDS AND THE PROTECTION OF LIFE.THIS ITEM IS BEING REQUESTED BY THE EATON POLICE DEPARTMENT TO BE USED BY OFFICERS FOR</t>
  </si>
  <si>
    <t>2YTDL960514151</t>
  </si>
  <si>
    <t>THIS ITEM IS BEING REQUESTED BY THE EATON POLICE DEPARTMENT TO BE USED BY OFFICERS FOR LAW ENFORCEMENT PURPOSES. THE REQUESTED XXXX WILL BE UTILIZED BY OFFICERS FOR TRAINING NEEDS AND THE PROTECTION OF LIFE.THIS ITEM IS BEING REQUESTED BY THE EATON POLICE DEPARTMENT TO BE USED BY OFFICERS FOR LAW ENFORCEMENT PURPOSES. THE REQUESTED CASES WILL BE UTILIZED BY OFFICERS FOR TRAINING NEEDS AND THE PROTECTION OF LIFE.</t>
  </si>
  <si>
    <t>2YTDL960514150</t>
  </si>
  <si>
    <t>FOR EASLEY POLICE DEPARTMENT, FOR USE BY EASLEY POLICE OFFICERS DURING NIGHT OPERATIONS AND TACTICAL OPERATIONS TO HELP ENHANCE NOT ONLY OFFICER SAFETY IN POTENTIALLY HAZARDOUS ENVIRONMENTS ON HIGH RISK WARRANTS, BUT ALSO HELP IN IDENTIFICATION OF BYSTANDERS, SUSPECTS, OR FRIENDLY PERSONNEL.</t>
  </si>
  <si>
    <t>Rejected by EJC2716.  Comments: condition.</t>
  </si>
  <si>
    <t>2YTQ7360866692</t>
  </si>
  <si>
    <t>2YTQ7360584171</t>
  </si>
  <si>
    <t>FOR EASLEY POLICE DEPARTMENT, FOR USE BY EASLEY POLICE OFFICERS DURING LARGE SCALE CITY EVENTS LIKE LITTLE LEAGUE WORLD SERIES, YEARLY PARADES, EVENTS. STATE OF EMERGENCY SITUATIONS LIKE HURRICANE HELEN, MAJOR WEATHER. TACTICAL OPERATIONS LIKE SWAT CALLS, AND SUPPORTING OPERATIONS THROUGHOUT OUR AREA. THIS VEHICLE WOULD ALLOW OUR DISPATCH AND EMERGENCY SERVICES TO CONTINUE WHEREVER THE NEED ARISES, AND CONTINUE TO SUPPORT OUR CITY AND LOCAL POPULATION THROUGH ANY SITUATION.</t>
  </si>
  <si>
    <t>2YTQ7360442709</t>
  </si>
  <si>
    <t>FOR EASLEY POLICE DEPARTMENT, FOR USE BY EASLEY POLICE OFFICERS DURING DAILY OPERATIONS AND TACTICAL OPERATIONS TO HELP ENHANCE NOT ONLY OFFICER SAFETY IN POTENTIALLY KINETIC ENVIRONMENTS BUT ALSO PROVIDE THE ABILITY TO BETTER POSITIVELY IDENTIFY BYSTANDERS, SUSPECTS, AND FRIENDLY PERSONNEL.</t>
  </si>
  <si>
    <t>2YTQ7360442708</t>
  </si>
  <si>
    <t>2YTQ7360442707</t>
  </si>
  <si>
    <t>2YTQ7360301550</t>
  </si>
  <si>
    <t>Rejected by EJC2716.  Comments: condition code.</t>
  </si>
  <si>
    <t>2YTQ7360301404</t>
  </si>
  <si>
    <t>2YTQ7360231077</t>
  </si>
  <si>
    <t>RIFLESCOPE</t>
  </si>
  <si>
    <t>2YTQ7360160389</t>
  </si>
  <si>
    <t>Rejected by EJC2716.  Comments: description.</t>
  </si>
  <si>
    <t>2YTQ7360160379</t>
  </si>
  <si>
    <t>THE DILLON COUNTY SHERIFFS OFFICE WILL UTILIZE THESE ITEMS TO ENHANCE DEPUTIES ABILITY TO OPERATE SAFELY AND EFFECTIVELY IN LOWLIGHT AND NIGHTTIME CONDITIONS. A SIGNIFICANT PORTION OF LAW ENFORCEMENT ACTIVITY OCCURS AFTER DARK, PARTICULARLY IN RURAL AND UNDERSERVED AREAS WHERE AMBIENT LIGHTING IS LIMITED. NIGHT VISION CAPABILITY ALLOWS DEPUTIES TO MAINTAIN VISIBILITY AND SITUATIONAL AWARENESS DURING CRITICAL INCIDENTS, SEARCH OPERATIONS, AND PATROL DUTIES.</t>
  </si>
  <si>
    <t>2YTDCS60937167</t>
  </si>
  <si>
    <t>THE DILLON COUNTY SHERIFF'S OFFICE WILL UTILIZE THESE ITEMS ON DEPUTIES' ASSIGNED PATROL RIFLES</t>
  </si>
  <si>
    <t>2YTDCS60724153</t>
  </si>
  <si>
    <t>THE DELAVAN POLICE DEPARTMENT AND ITS OFFICERS WOULD USE  RECON SCOUT XT TO SUPPORT OFF-ROAD PATROL, SEARCH AND RESCUE, AND EMERGENCY RESPONSES. IT ENHANCES OFFICER SAFETY THROUGH ACQUISITION THROUGH LESO IS FISCALLY RESPONSIBLE AND FILLS A DOCUMENTED OPERATIONAL CAPABILITY GAP.</t>
  </si>
  <si>
    <t>Rejected by EAC2834.</t>
  </si>
  <si>
    <t>2YTC8P60512875</t>
  </si>
  <si>
    <t>THIS ITEM IS BEING REQUESTED FOR LAW ENFORCEMENT USE ONLY. POLICE OFFICERS WILL USE THIS ALL TERRAIN VEHICLES  FOR RESPONDING TO EMERGENCY CALLS ON THE BEACH FRONT WHERE VEHICLES WILL HAVE A HARD TIME TO ACCESS.</t>
  </si>
  <si>
    <t>2YTC6Y60866155</t>
  </si>
  <si>
    <t>2YTC6Y60866154</t>
  </si>
  <si>
    <t>TRUCK REQUESTED BY COASTAL CAROLINA UNIVERSITY POLICE, TO BE USED BY CCUPD OFFICERS, AS A MOBILE COMMAND CENTER.</t>
  </si>
  <si>
    <t>2YTCLU60301784</t>
  </si>
  <si>
    <t>2YTCLU60090620</t>
  </si>
  <si>
    <t>2YTCLU60090617</t>
  </si>
  <si>
    <t>ITEM REQUESTED BY CLINTON PD TO BE USED BY CLINTON PD OFFICERS FOR CONTINUAL AND REGULAR FIRE ARMS BERM MAINTENANCE, FIREARMS TRAINING REQUIRING MOVEMENT BY HEAVY EQUIPMENT, AND OTHER GENERAL MAINTENANCE AND MOVEMENT OF CONTAINERS OWNED BY THE PD UTILIZED FOR DEPARTMENT STORAGE.</t>
  </si>
  <si>
    <t>Rejected by EJC2716.  Comments: cannot allocate through 1033 Program. can allocate through Federal Disposal.</t>
  </si>
  <si>
    <t>2YTCJX60160575</t>
  </si>
  <si>
    <t>FOR USE BY THIS LEA ONLY. TO BE USED BY THE LEOS OF THIS AGENCY FOR EMERGENCY SERVICES UNIT PURPOSES.</t>
  </si>
  <si>
    <t>Rejected by EDP0815.  Comments: LEA not authorized to obtain DEMIL Code D item types by their civilian governing body (CGB) which is required by law in the State of NJ. Also, if the LEA was authorized to obtain DEMIL Code D item types the request would've still been rejected due to an insufficient justification being submitted for the item..</t>
  </si>
  <si>
    <t>2YTCJB60654536</t>
  </si>
  <si>
    <t>CLIFFSIDE PARK POLICE DEPT (2YTCJB)</t>
  </si>
  <si>
    <t>TO BE USED FOR RESCUE AND RECOVERY OPERATIONS DURING DISASTER RELIEF.</t>
  </si>
  <si>
    <t>Rejected by EGW0511.  Comments: Justification doesn't meet the requirements.</t>
  </si>
  <si>
    <t>2YTCGY60652259</t>
  </si>
  <si>
    <t>WE ARE CURRENTLY TRYING TO OUTFIT OUR SWAT TEAM WITH NIGHT VISION CAPABILITIES AS A SIGNIFICANT INCREASE IN OFFICER SAFETY DURING OPERATIONS. THE ADDITION OF THESE UNITS WOULD PROVIDE INCREASED OFFICER SAFETY AS WELL AS GREAT BENEFIT WHEN RESPONDING FOR LOST OR MISSING PERSONS. THESE UNITS WOULD BE ISSUED TO CERTIFIED LAW ENFORCEMENT OFFICERS AND WOULD ONLY BE USED FOR TRAINING AND PERFORMANCE OF THEIR DUTIES BY THOSE OFFICERS.</t>
  </si>
  <si>
    <t>2YTB1G60442658</t>
  </si>
  <si>
    <t>2YTB1G60442657</t>
  </si>
  <si>
    <t>2YTB1G60442656</t>
  </si>
  <si>
    <t>ARMORED VEHICLE WILL ENHANCE BURNS POLICE DEPARTMENTS ABILITY TO RESPOND SAFELY TO HIGH-RISK INCIDENTS, INCLUDING ACTIVE THREATS, BARRICADED SUSPECTS, AND RURAL EMERGENCY OPERATIONS. IT PROVIDES CRITICAL OFFICER AND CIVILIAN PROTECTION, SUPPORTS INTERAGENCY RESPONSE ACROSS HARNEY COUNTY, AND IMPROVES CAPABILITY IN A GEOGRAPHICALLY LARGE, UNDERSERVED AREA WITH LIMITED TACTICAL RESOURCES.</t>
  </si>
  <si>
    <t>Rejected by EDT0369.  Comments: This is condition code H Condemned which is specified in RTD. This was turned in by an LEA in Washington because of all the mechanical issues..</t>
  </si>
  <si>
    <t>2YTR7060866800</t>
  </si>
  <si>
    <t>THESE UNITS WILL ASSIST NIGHT TIME OPERATIONS WITH THE BROWNWOOD POLICE DEPARTMENT. I HAVE REACHED OUT TO THE AIR FORCE UNIT THAT TURNED THEM IN, THEY ARE IN WORKING CONDITION.</t>
  </si>
  <si>
    <t>Rejected by EJR01036.  Comments: CALL TEXAS LESO IF YOU WANT THESE ITEMS AS YOU NEED TO CORRECT YOUR JUSTIFICATION.2543681249.</t>
  </si>
  <si>
    <t>2YTBMB60866739</t>
  </si>
  <si>
    <t>THE BRISTOL POLICE DEPARTMENT WOULD USE THIS SIDE BY SIDES WHEN CHILDREN OR ADULTS ARE MISSING IN OUR PUBLIC PARKS. THE BASE STATES THE UTV DRIVES AND RUNS.</t>
  </si>
  <si>
    <t>2YTBJQ61007816</t>
  </si>
  <si>
    <t>THE BRISTOL POLICE DEPARTMENT WOULD USE THIS TRUCK TO PICK-UP AWARDED PROPERTY FROM THE RTD SITE. THE BASE STATES THE TRUCK DRIVES AND RUNS. WE WOULD ALSO UTILIZE THIS TRUCK TO HAUL SIDE BY SIDES WHEN CHILDREN OR ADULTS ARE MISSING IN OUR PUBLIC PARKS.</t>
  </si>
  <si>
    <t>2YTBJQ61007815</t>
  </si>
  <si>
    <t>THE BRISTOL POLICE DEPARTMENT WOULD UTILIZE THIS PIECE OF EQUIPMENT FOR IMPROVEMENTS TO OUR RANGE. THIS PIECE IS DIFFERENT THEN THE OTHER PIECE WE ARE REQUESTING AND WOULD BE USED BY POLICE PERSONNEL. THE BASE STATES THIS IS OPERATIONAL.</t>
  </si>
  <si>
    <t>2YTBJQ60936988</t>
  </si>
  <si>
    <t>THE BRISTOL POLICE DEPARTMENT WOULD UTILIZE THIS TRUCK FOR TRIMMING TREES AROUND OUR FIRING RANGE AND AFTER NATURAL DISASTERS TO HELP CLEAR THE ROADS FOR PUBLIC SAFETY. THE TRUCK WOULD BE UTILIZED BY POLICE PERSONNEL AND THE BASE STATES THE TRUCK IS OPERATIONAL.</t>
  </si>
  <si>
    <t>Rejected by ETD1004.  Comments: fort states it does not run.</t>
  </si>
  <si>
    <t>2YTBJQ60936986</t>
  </si>
  <si>
    <t>THE BRISTOL POLICE DEPARTMENT WOULD UTILIZE THIS BUCKET TRUCK TO WORK ON POLICE CAMERAS THAT MAKE IT DIFFICULT TO REACH CURRENTLY. THE BASES STATES THE TRUCK IS IN FAIR CONDITION AND OPERATIONAL.</t>
  </si>
  <si>
    <t>Rejected by ETD1004.  Comments: fort lists it has too many problems to list and does not run,.</t>
  </si>
  <si>
    <t>2YTBJQ60936985</t>
  </si>
  <si>
    <t>THE BRISTOL POLICE DEPARTMENT WOULD UPFIT THIS VEHICLE WITH POLICE RELATED EQUIPMENT AND ASSIGN IT TO A SCHOOL RESOURCE OFFICER TO DETER VIOLENCE AT THEIR ASSIGNED SCHOOL. THE BASE STATES THE VEHICLE IS OPERATIONAL.</t>
  </si>
  <si>
    <t>2YTBJQ60866293</t>
  </si>
  <si>
    <t>THE BRISTOL POLICE DEPARTMENT WOULD UTILIZE THIS TRAILER TO TRANSPORT HEAVY EQUIPMENT TO AND FROM OUR FIREARMS RANGE FOR IMPROVEMENTS.</t>
  </si>
  <si>
    <t>2YTBJQ60724910</t>
  </si>
  <si>
    <t>THE BRISTOL POLICE DEPARTMENT WOULD UP FIT AND EQUIP THIS VEHICLE AND ASSIGN IT TO A SCHOOL RESOURCE OFFICER TO DETER SCHOOL VIOLENCE FROM OCCURRING AT THE OFFICER'S ASSIGNED SCHOOL. THE BASE STATES THE VEHICLE IS OPERATIONAL AND RUNS.</t>
  </si>
  <si>
    <t>2YTBJQ60724907</t>
  </si>
  <si>
    <t>THE BRISTOL TENNESSEE POLICE DEPARTMENT EOD UNIT WOULD UTILIZE THIS ON CALL OUTS OF SUSPICIOUS PACKAGES TO GAIN BETTER KNOWLEDGE TO HANDLE THE THREAT.</t>
  </si>
  <si>
    <t>Rejected by ETD1004.  Comments: APPROVED FOR ANOTHER REQUISITIONER..</t>
  </si>
  <si>
    <t>2YTBJQ60584805</t>
  </si>
  <si>
    <t>THE BRISTOL TENNESSEE POLICE DEPARTMENT IS A SMALLER LAW ENFORCEMENT AGENCY LOCATED IN NORTHEAST TENNESSEE. THIS VEHICLE WOULD BE SET UP AND PROVIDE MOBILE RESPITE AND A MEETING AREA WHEN WE HAVE LOST OR MISSING CHILDREN, DURING A NATURAL DISASTER, DURING STAND-OFF SITUATIONS, DURING HIGH-RISK DRUG SEARCH WARRANTS, OR DURING ACTIVE SHOOTER SITUATIONS TO PROVIDE RELIEF FOR OFFICERS DURING ANY OF THESE OCCURRENCES.</t>
  </si>
  <si>
    <t>2YTBJQ60442537</t>
  </si>
  <si>
    <t>THE BRISTOL POLICE DEPARTMENT WOULD USE THIS TRAILER TO STORE MOBILE FIELD FORCE GEAR READY TO BE DEPLOYED IN THE EVENT OF A RIOT OR LARGE GATHERING TO PROVIDE SAFETY TO OUR OFFICERS.</t>
  </si>
  <si>
    <t>2YTBJQ60371981</t>
  </si>
  <si>
    <t>THE BRISTOL POLICE DEPARTMENT WOULD UTILIZE THIS VEHICLE AS A MOBILE CRIME SCENE UNIT. THE VEHICLE WOULD BE EQUIPPED WITH CRIME SCENE INVESTIGATION TOOLS AND WOULD ASSIST OUR AGENCY ON MAJOR CRIMES.</t>
  </si>
  <si>
    <t>Rejected by ETD1004.  Comments: approved for an earlier dated requisitioner .</t>
  </si>
  <si>
    <t>2YTBJQ60304169</t>
  </si>
  <si>
    <t>BRADFORD POLICE CAN USE THIS TRUCK FOR DISASTER RELIEF EMERGENCIES AND A NARCOTICS SURVEILLANCE VEHICLE. A TRUCK THIS SIZE WOULD BE A GREAT ASSET TO OUR SMALL DEPARTMENT.</t>
  </si>
  <si>
    <t>Rejected by ETD1004.  Comments: APPROVED EARLIER FOR ANOTHER LEA.</t>
  </si>
  <si>
    <t>2YTBF961007875</t>
  </si>
  <si>
    <t>THE AGENCY NEEDS THIS EQUIPMENT TO SUPPORT SECURITY, COUNTER-DRUG, AND HIGH-ARREST APPREHENSION DUTIES FOR OFFICER SAFETY.</t>
  </si>
  <si>
    <t>Rejected by EGW0511.  Comments: Justification needs to start with the agency name.</t>
  </si>
  <si>
    <t>2YTA9260655459</t>
  </si>
  <si>
    <t>THE BENTON HARBOR DEPT. OF PUBLIC SAFETY WILL USE THESE DURING ARREST OPERATIONS, SEARCH WARRANTS, FUGITIVE RECOVERY OPERATIONS, AND INCIDENTS WHERE INDIVIDUALS FLEE FROM LAW ENFORCEMENT. THIS WILL ALSO BE USED TO ASSIST OTHER SURROUNDING AGENCIES FOR LIKE INCIDENTS AS WELL AS NARCOTICS ENFORCEMENT AND ACTIVE SHOOTER INCIDENTS IF THEY ARISE. DLA DS SAN ANTONIO HAS BEEN CONTACTED ABOUT THIS ITEM.</t>
  </si>
  <si>
    <t>Rejected by ELG00055.  Comments: Duplicate request.</t>
  </si>
  <si>
    <t>2YTA5D60230912</t>
  </si>
  <si>
    <t>THESE ITEMS WOULD BE UTILIZED BY THE SWORN EMPLOYEES OF THE BENTON COUNTY SHERIFF'S OFFICE IN CONJUNCTION WITH APPLICABLE LAWS FOR THE PURPOSES OF PUBLIC SAFETY AND OPERATIONAL ENHANCEMENTS IN HIGH RISK OPERATIONS.</t>
  </si>
  <si>
    <t>Rejected by EDT0369.  Comments: Please ensure these illuminators are serviceable by contacting the DLA DS site. In your justification state you have done so..</t>
  </si>
  <si>
    <t>2YTQQY60725016</t>
  </si>
  <si>
    <t>THESE ITEMS WOULD BE UTILIZED BY THE REGIONAL SWAT TEAM DURING HIGH RISK OPERATIONS SUCH AS SEARCH WARRANTS, MAN TRACKING, AND HOSTAGE RESCUE WHILE UNDER NIGHT VISION.</t>
  </si>
  <si>
    <t>Rejected by EDT0369.</t>
  </si>
  <si>
    <t>2YTQQY60231131</t>
  </si>
  <si>
    <t>ITEMS WILL BE UTILIZED BY REGIONAL SWAT TEAM FOR HIGH RISK OPERATIONS SUCH AS HOSTAGE RESCUE, SEARCH WARRANTS, MAN TRACKING ALL IN CONJUNCTION WITH NIGHT VISION DEVICES.</t>
  </si>
  <si>
    <t>2YTQQY60231098</t>
  </si>
  <si>
    <t>USE BY BAXTER POLICE DEPARTMENT PATROL ASSIGNED DUTIES TO TRANSPORT AND MOVE LESO ASSETS TO DISASTER RESPONSE LOCATIONS IN RURAL AREAS. ALSO TRANSPORT MOTOR UNIT TO SPECIAL ASSIGNMENTS. THIS WILL REPLACE EXISTING RESOURCES THAT ARE BEYOND REPAIR AND MUST BE REPLACED. THERE IS CURRENTLY NO BUDGETARY FUNDS FOR SUCH ITEMS.</t>
  </si>
  <si>
    <t>2YTAYQ60654462</t>
  </si>
  <si>
    <t>2YTAYQ60301376</t>
  </si>
  <si>
    <t>Rejected by ETD1004.  Comments: approved for another requisitioner.</t>
  </si>
  <si>
    <t>2YTAYQ60301375</t>
  </si>
  <si>
    <t>DUE TO BUDGET CUTS I NEED PRINTERS FOR CRIMINAL INVESTIGATOR DIVISION</t>
  </si>
  <si>
    <t>2YTAUL60513370</t>
  </si>
  <si>
    <t>ITEMS WILL BE USED IN CONJUNCTION WITH NIGHT VISION DEVICES SOLELY BY THE ATLANTIC HIGHLANDS POLICE DEPARTMENT FOR OFFICIAL POLICE USE.</t>
  </si>
  <si>
    <t>2YTAQK60090332</t>
  </si>
  <si>
    <t>ATLANTIC HIGHLANDS POLICE DEPT (2YTAQK)</t>
  </si>
  <si>
    <t>Rejected by EJR01036.  Comments: PLEASE START USING A SPECIFIC JUSTIFICATION PER ITEM AND NOT THE SAME WILL BE USED BY THE ARP POLICE DEPARTMENT FOR LAW ENFORCEMENT PURPOSES ONLY. ARP PD HAS AN OFFICER ON STAFF WITH HIS 2 YEAR DEGREE IN AUTOMOTIVE MECHANICS.  LESO HQ HAS QUESTIONED US ABOUT YOUR JUSTIFICATIONS.  TX LESO.</t>
  </si>
  <si>
    <t>2YTANX60230854</t>
  </si>
  <si>
    <t>2YTANX60230853</t>
  </si>
  <si>
    <t>THE CHISEL WILL BE USED BY THE ARP POLICE DEPARTMENT FOR LAW ENFORCEMENT PURPOSES ONLY. ARP PD HAS AN OFFICER ON STAFF WITH HIS 2 YEAR DEGREE IN AUTOMOTIVE MECHANICS. THE OFFICER PERFORMS BASIC MAINTENANCE ON PD VEHICLES, PD EQUIPMENT AND LESO AWARDED EQUIPMENT.</t>
  </si>
  <si>
    <t>2YTANX60230848</t>
  </si>
  <si>
    <t>Rejected by EJR01036.  Comments: Call TX LESO at 2543681249.</t>
  </si>
  <si>
    <t>2YTANX60230845</t>
  </si>
  <si>
    <t>Rejected by EJR01036.  Comments: Please call TX LESO at 2543681249.</t>
  </si>
  <si>
    <t>2YTANX60230844</t>
  </si>
  <si>
    <t>Rejected by EJR01036.  Comments: Call Texas LESO at 2543681249.</t>
  </si>
  <si>
    <t>2YTANX60230839</t>
  </si>
  <si>
    <t>Rejected by EJR01036.  Comments: Your justification is the usual generic one you have used stating you have an officer with an automotive degree when this item name states WOODWORKING.  Please resubmit a more specific justification for this particular item. TX LESO.</t>
  </si>
  <si>
    <t>2YTANX60230793</t>
  </si>
  <si>
    <t>AIKEN PUBLIC SAFETY OFFICERS WILL USE THIS SERVICING PLATFORM FOR BUILDING MAINTENANCE IN OUR STATIONS AND WORK SHOP AREAS, WHERE WORKING FROM HIEGHTS IS NECESSARY.</t>
  </si>
  <si>
    <t>2YTACL60654624</t>
  </si>
  <si>
    <t>AIKEN PUBLIC SAFETY OFFICERS WILL USE THESE SPACE HEATERS IN FLEET MAINTENANCE SHOP AREAS FOR HEATING DURING COLD MONTHS.</t>
  </si>
  <si>
    <t>2YTACL60654623</t>
  </si>
  <si>
    <t>AIKEN PUBLIC SAFETY OFFICERS WILL USE THESE PICNIC TABLES FOR OUTDOOR EATING AND MEETING AREAS AT OUR STATIONS.</t>
  </si>
  <si>
    <t>2YTACL60654622</t>
  </si>
  <si>
    <t>AIKEN PUBLIC SAFETY OFFICERS WILL USE THIS CABINET TO STORE FLAMMABLE LIQUIDS IN MAINTENANCE AREAS OF STATIONS.</t>
  </si>
  <si>
    <t>2YTACL60654570</t>
  </si>
  <si>
    <t>AIKEN PUBLIC SAFETY OFFICERS WILL USE THESE TARPAULINS TO COVER AND PROTECT EQUIPMENT USED OUTDOORS DURING TACTICAL OPERATIONS</t>
  </si>
  <si>
    <t>Rejected by EJC2716.  Comments: cannot approve at this time..</t>
  </si>
  <si>
    <t>2YTACL60513266</t>
  </si>
  <si>
    <t>AIKEN PUBLIC SAFETY OFFICERS WILL USE THESE WET WEATHER LINERS DURING LONG TACTICAL OPERATIONS AND TRAINING.</t>
  </si>
  <si>
    <t>2YTACL60493688</t>
  </si>
  <si>
    <t>2YTACL60493687</t>
  </si>
  <si>
    <t>AIKEN PUBLIC SAFETY OFFICERS WILL USE THEE WET WEATHER JACKETS FOR TRAINING AND TACTICAL OPERATIONS OUTDOORS</t>
  </si>
  <si>
    <t>2YTACL60493685</t>
  </si>
  <si>
    <t>2YTACL60493684</t>
  </si>
  <si>
    <t>2YTACL60493683</t>
  </si>
  <si>
    <t>AIKEN PUBLIC SAFETY OFFICERS WILL USE THESE SWORD AND SCABBARDS FOR HONOR GUARD EVENTS AND SPECIAL OCCASIONS.</t>
  </si>
  <si>
    <t>SWORD AND SCABBARD</t>
  </si>
  <si>
    <t>2YTACL60493682</t>
  </si>
  <si>
    <t>THE ADAMSVILLE POLICE DEPARTMENT WILL UTILIZE THIS VEHICLE TO ASSIST IN RESPONDING TO MEDICAL EMERGENCY CALLS WITHIN OUR JURISDICTION DURING TIMES OF NATURAL DISASTER OR SIGNIFICANT WEATHER EVENTS WHEN MEDICAL UNITS MAY BE PROLONGED OR DELAYED IN ARRIVAL</t>
  </si>
  <si>
    <t>2YTP7K60866124</t>
  </si>
  <si>
    <t>THE ADAMSVILLE POLICE DEPARTMENT WILL UTILIZE THIS VEHICLE IN TIMES OF NATURAL DISASTER AND SIGNIFICANT WEATHER EVENTS DUE TO ITS SIZE AND CONSTRUCTION FOR INCREASED ABILITY TO MOVE IN INCLEMENT CONDITIONS. THE VEHICLE WILL ALSO BE USED FOR RECRUITMENT AND COMMUNITY LAW ENFORCEMENT EVENTS.</t>
  </si>
  <si>
    <t>Rejected by ETD1004.  Comments: approved ofr earlier requisitioner.</t>
  </si>
  <si>
    <t>2YTP7K60724850</t>
  </si>
  <si>
    <t>CANCELLED:  Item(s) has already been approved for another agency.</t>
  </si>
  <si>
    <t>2YTNZL60936911</t>
  </si>
  <si>
    <t>LESOHQ</t>
  </si>
  <si>
    <t>MEMBERS OF THE YONKERS POLICE DEPARTMENT WILL USE THE TYVEK SUITS AT CRIME SCENES AND HELP PRESERVE THE SCENE. EACH OFFICER WILL WE BE ISSUED A SUIT AS WELL HAVING SPARE SUITS IN THE POLICE CARS. THE SUITS WILL ALSO BE USED FOR TRAINING</t>
  </si>
  <si>
    <t>2YTNZL60655541</t>
  </si>
  <si>
    <t>WEBB PD WILL USE THIS EQUIPMENT TO PICK UP AWARDED ITEMS AND MOVE RESCUE EQUIPMENT DURING NATURAL DISASTERS.</t>
  </si>
  <si>
    <t>ALLOCATION: Your agency is at their allocation limit or is over allocated for this Commodity, based on number of officers and current property assigned</t>
  </si>
  <si>
    <t>2YTRL460584668</t>
  </si>
  <si>
    <t>WEBB PD WILL USE THIS EQUIPMENT FOR POTABLE WATER DURING NATURAL DISASTERS.</t>
  </si>
  <si>
    <t>2YTRL460584665</t>
  </si>
  <si>
    <t>WEBB PD WILL USE THIS EQUIPMENT FOR EMERGENCY RESPONSE TO NATIONAL DISASTER EVENTS.</t>
  </si>
  <si>
    <t>2YTRL460574660</t>
  </si>
  <si>
    <t>THE WAYNE COUNTY SHERIFF'S OFFICE WILL UTILIZE THESE NIGHT VISION DEVICES FOR NIGHT OPERATIONS IN THE COUNTY FOR SURVEILLANCE AND HIGH-RISK OPERATIONS. AT THIS TIME, WE DO NOT HAVE THE FUNDS TO ACQUIRE THESE DEVICES.</t>
  </si>
  <si>
    <t>CANCELLED: At this time the LESO will not approve any Night Vision Devices or Optics that have been turned in by a LESO customer meaning DTIDs that start with 2YT OR with a condition code of F, G, or H without the acknowledgement from the requesting agency stating they have contacted the site where the property is located to CONFIRM and ACCEPT condition of night vision devices and or optics.  Confirm and accept statements need to be in the justification comment box.</t>
  </si>
  <si>
    <t>2YTNDJ60583785</t>
  </si>
  <si>
    <t>2YTM9S60937065</t>
  </si>
  <si>
    <t>THE WASHINGTON COUNTY SHERIFF'S OFFICE WOULD USE THIS VEHICLE FOR LAW ENFORCEMENT PURPOSES. WE WOULD USE THE VEHICLE TO SET UP SURVEILLANCE ON TARGET LOCATIONS</t>
  </si>
  <si>
    <t>CANCELLED: Agency has pending like items that can satisfy what is being asked in their justification.</t>
  </si>
  <si>
    <t>2YTM9S60937063</t>
  </si>
  <si>
    <t>THE WASHINGTON COUNTY SHERIFF'S OFFICE WOULD USE WOULD USE THE TRACTOR TO HELP MOVE DISASTER RELIEVE</t>
  </si>
  <si>
    <t>CANCELLED: Item(s) has already been approved by another agency.</t>
  </si>
  <si>
    <t>2YTM9S60724988</t>
  </si>
  <si>
    <t>THE WASHINGTON SHERIFFS OFFICE WILL USE THIS VEHICLE FOR LAW ENFORCEMENT PURPOSES. THE SHERIFFS DEPT WILL USE THE TRACTOR AROUND THE DEPARTMENT FOR MAINTAINING THE GROUNDS</t>
  </si>
  <si>
    <t>RECEIPTS: Your Agency has overdue pending receipt(s) in FEPMIS. Please receipt for property prior to placing new requisitions.</t>
  </si>
  <si>
    <t>2YTM9S60512967</t>
  </si>
  <si>
    <t>THE WASHINGTON SHERIFFS OFFICE WILL USE THIS VEHICLE FOR LAW ENFORCEMENT PURPOSES. THE SHERIFFS DEPT WILL USE THIS VEHICLE TO LATER TRANSPORT LARGER ITEMS FROM THIS PROGRAM THAT WE CURRENTLY DO NOT HAVE A WAY TO TRANSPORT.</t>
  </si>
  <si>
    <t>2YTM9S60512963</t>
  </si>
  <si>
    <t>THE WASHINGTON COUNTY SHERIFF'S OFFICE WOULD USE WOULD USE THE TOOL KIT IN THE MAINTENANCE DEPARTMENT</t>
  </si>
  <si>
    <t>TOOL KIT,SCREW THREAD INSERT</t>
  </si>
  <si>
    <t>2YTM9S60302398</t>
  </si>
  <si>
    <t>THE WASHINGTON COUNTY SHERIFFS DEPARTMENT WILL USE THIS VEHICLE FOR LAW ENFORCEMENT PURPOSES. THE SHERIFFS DEPT WILL USE THIS VEHICLE TO LATER TRANSPORT LARGER ITEMS FROM THIS PROGRAM THAT WE CURRENTLY DO NOT HAVE A WAY TO TRANSPORT. BY HAVING THIS TRACTOR WE COULD BETTER BENEFIT FROM THIS PROGRAM WITH HAVING A WAY TO TRANSPORT ADDITIONAL ITEMS.</t>
  </si>
  <si>
    <t>CYCLE: This item has moved into the unapproved General Services Administration GSA cycle and cannot be approved to LESO customers.</t>
  </si>
  <si>
    <t>2YTM9S60161252</t>
  </si>
  <si>
    <t>WARREN COUNTY SHERIFF'S OFFICE NEEDS THIS VEHICLE FOR DISASTER-RELATED EMERGENCY RESPONSE AND PREPAREDNESS</t>
  </si>
  <si>
    <t>No Photos uploaded. TVS AN</t>
  </si>
  <si>
    <t>2YTM7160655327</t>
  </si>
  <si>
    <t>No photos uploaded. TVS AN</t>
  </si>
  <si>
    <t>2YTM7160654527</t>
  </si>
  <si>
    <t>THESE ITEMS WILL BE UTILIZED BY LAW ENFORCEMENT PERSONNEL. I HAVE CONTACTED JACKSONVILLE, WHERE THE ITEMS ARE LOCATED. I CONFIRM AND ACCEPT THE CONDITION OF THE NIGHT VISION DEVICES OR OPTICS.</t>
  </si>
  <si>
    <t>JUSTIFICATION: Please provide a justification that states these three requirements. We need to know that it will be used by the requested Law Enforcement Agency, used for a Law Enforcement purpose and be persuasive. Provide specific examples of how the item will be used.</t>
  </si>
  <si>
    <t>2YTM4760654425</t>
  </si>
  <si>
    <t>THESE ITEMS WILL BE UTILIZED BY LAW ENFORCEMENT PERSONNEL FOR DUTY AND TRAINING USE.</t>
  </si>
  <si>
    <t>At this time the LESO will not approve any Night Vision Devices or Optics that have been turned in by a LESO customer meaning DTIDs that start with 2YT OR with a condition code of F, G, or H without the acknowledgement from the requesting agency stating they have contacted the site where the property is located to CONFIRM and ACCEPT condition of night vision devices and or optics.  Confirm and accept statements need to be in the justification comment box.</t>
  </si>
  <si>
    <t>2YTM4760654331</t>
  </si>
  <si>
    <t>2YTM4760583902</t>
  </si>
  <si>
    <t>THESE NVGS WILL BE UTILIZED BY OUR SPECIAL OPERATIONS TEAM WITHIN THE SHERIFF'S OFFICE.</t>
  </si>
  <si>
    <t>2YTM4760583886</t>
  </si>
  <si>
    <t>IT WILL ENHANCE OFFICER SAFETY AND EFFECTIVENESS DURING DISASTER RESPONSES, ACTIVE SHOOTER SITUATIONS, AND SEARCH AND RESCUE MISSIONS. SUPPORTING OUR AGENCY'S MISSION TO PROTECT THE PUBLIC AND RESPOND TO INCIDENTS IN LOW OR NO LIGHT VISIBILITY SITUATIONS.</t>
  </si>
  <si>
    <t>2YTMY860442785</t>
  </si>
  <si>
    <t>2YTMY860442784</t>
  </si>
  <si>
    <t>2YTMY860442783</t>
  </si>
  <si>
    <t>THIS JACKET WILL BE ISSUED TO AN AGENT WHO IS A MEMBER OF OUR ESF 13 TEAM AND WHO DEPLOYS WITH FEMA TO DISASTER AREAS</t>
  </si>
  <si>
    <t>Cycle - is in GSA cycle and not available.</t>
  </si>
  <si>
    <t>2YTSXU60796833</t>
  </si>
  <si>
    <t>THESE BOOTS WILL BE ISSUED TO AN AGENT WHO IS A MEMBER OF OUR ESF 13 TEAM.  THEY DEPLOY WITH AGENTS TO AUSTERE DISASTER AREAS.</t>
  </si>
  <si>
    <t>2YTSXU60302515</t>
  </si>
  <si>
    <t>THIS PONCHO LINERS WILL BE ISSUED TO AGENTS WHO ARE MEMBERS OF OUR ESF 13 RESPONSE.  THEY DEPLOY WITH FEMA TO AUSTERE LOCALES.</t>
  </si>
  <si>
    <t>2YTSXU60282210</t>
  </si>
  <si>
    <t>THESE UNITS WILL BE UTILIZED BY THE UNION COUNTY SHERIFF'S SPECIAL OPERATIONS DIVISION TO BETTER ENHANCE THEIR CAPABILITIES OF SAFELY OPERATING IN LOWLIGHT OR DARK ENVIRONMENTS WHILE PERFORMING TASKS SUCH AS SURVEILLANCE AND THE EXECUTION OF HIGH RISK ARREST AND SEARCH WARRANTS.</t>
  </si>
  <si>
    <t>2YTL5R60725148</t>
  </si>
  <si>
    <t>2YTL1560583734</t>
  </si>
  <si>
    <t>THIS ITEM IS BEING REQUESTED BY THE TRENTON POLICE DEPARTMENT TO BE USED BY OFFICERS FOR LAW ENFORCEMENT PURPOSES THE FIRST AID KIT WILL BE USED BY OFFICERS DURING EMERGENCIES WHETHER CIVILIAN OR LAW ENFORCEMENT ACTING AS A FIRST RESPONDER TO ADDRESS BLOOD LOSS AND OR LIFE THREATENING SITUATIONS.</t>
  </si>
  <si>
    <t>Cycle -  Item not available to LESO costumers in GSA cycle.</t>
  </si>
  <si>
    <t>2YTLX760796889</t>
  </si>
  <si>
    <t>THE TREMPEALEAU COUNTY SHERIFF'S OFFICE IS REQUESTING THE HEADSETS TO BE USED FOR COMMUNICATIONS FOR OUR TACTICAL TEAM. THEY WILL AID IN KEEPING OUR TEAM UP TO DATE ON INFORMATION FROM OUR COMMAND POST.</t>
  </si>
  <si>
    <t>2YTLXY60584802</t>
  </si>
  <si>
    <t>I AM REQUESTING THE THERMAL IMAGERS TO BE USED TO ENHANCE THE SAFETY OF OUR EMERGENCY RESPONSE TEAM AND ASSIST WITH LOCATING MISSING PEOPLE.</t>
  </si>
  <si>
    <t>CANCELLED: At this time the LESO will not approve any Night Vision Devices or Optics that have been turned in by a LESO customer meaning DTIDs that start with 2YT or with a condition code of F, G, or H without the acknowledgement from the requesting agency stating they have contacted the site where the property is located to CONFIRM and ACCEPT condition of night vision devices and or optics.  Confirm and accept statement needs to be in the justification comment box.</t>
  </si>
  <si>
    <t>2YTLXY60513267</t>
  </si>
  <si>
    <t>THE TREMPEALEAU COUNTY SHERIFF'S OFFICE IS REQUESTING THE COMMAND POST TENT FOR USE DURING EXTENDED PERIODS OF TIME WHERE EITHER TACTICAL OR UNIFIED COMMAND IS NEEDED FOR AN INCIDENT. THIS WILL ALLOW THEM TO BE IN ONE CENTRAL LOCATION AND SHARE INFORMATION IN A MORE CONTROLLED ENVIRONMENT,</t>
  </si>
  <si>
    <t>In GSA cycle</t>
  </si>
  <si>
    <t>2YTLXY60443515</t>
  </si>
  <si>
    <t>THE TREMONT POLICE DEPARTMENT IS A VERY SMALL POLICE AGENCY THAT DOES NOT HAVE FINANCIAL REACH FOR LARGER DEPARTMENTS.  WE ARE REQUESTING THESE AEDS TO MODERNIZE OUR CAPABILITIES IN AN ATTEMPT TO KEEP UP WITH THE ABILITIES OF OTHER DEPARTMENTS AND BEST SERVE OUR CITIZENS NEEDS.  USE OF THIS EQUIPMENT WILL SAVE LIVES WITHING THE VILLAGE OF TREMONT.</t>
  </si>
  <si>
    <t>2YT0U060372290</t>
  </si>
  <si>
    <t>TREMONT POLICE DEPT (2YT0U0)</t>
  </si>
  <si>
    <t>THIS ITEM WILL BE USED BY OFFICERS ON THE DEPARTMENT TO WASH THE LARGER VEHICLES THAT CANNOT BE TAKEN TO THE CAR WASH.</t>
  </si>
  <si>
    <t>2YTLV360796862</t>
  </si>
  <si>
    <t>THE ITEM WILL BE USED BY OFFICERS IN OUR FITNESS AREA. IT WILL BE USED TO PROMOTE HEALTH AND FITNESS FOR DUTY.</t>
  </si>
  <si>
    <t>LEG CURL</t>
  </si>
  <si>
    <t>DSLEGCURL</t>
  </si>
  <si>
    <t>2YTLV360584549</t>
  </si>
  <si>
    <t>WE ARE MOVING OUR POLICE DEPARTMENT AND ARE IN NEED FOR A GENERATOR. WE REQUESTED A PULL BEHIND GENERATOR ALREADY AND WOULD LIKE TO USE THESE FOR HELPING OUT THE COMMUNITY WHEN THEY ARE IN NEED.</t>
  </si>
  <si>
    <t>POC:  Your agency cannot be approved for property, as your agency does not have a Station Contact registered user in LESO FEPMIS. Please contact your State Coordinators office.</t>
  </si>
  <si>
    <t>2YTLVU60301897</t>
  </si>
  <si>
    <t xml:space="preserve">WE ARE RELOCATING THE TOCCOA POLICE DEPARTMENT, AND WE ARE IN NEED OF A GENERATOR. 
</t>
  </si>
  <si>
    <t>2YTLVU60301896</t>
  </si>
  <si>
    <t>LAW ENFORCEMENT NVG OPERATIONS</t>
  </si>
  <si>
    <t>2YTLTP60160578</t>
  </si>
  <si>
    <t>THE TEHAMA COUNTY SHERIFF'S OFFICE WILL USE DRONES  TO ISSUE TO OUR SUAS TEAM AND AVIATION UNIT.  THE DRONES WILL BE USED FOR SEARCH AND RESCUE, OVERWATCH AND SWAT MISSIONS.  OUR SUAS UNIT IS FAA LICENSED AND HAVE RECEIVED WAIVERS TO FLY BEYOND VISUAL LINE OF SIGHT.  THESE RAVEN DRONES WOULD WORK WELL IN OUR RURAL AREAS DUE TO THE DISTANCE WE MAY NEED TO FLY.</t>
  </si>
  <si>
    <t>Cancle per SC office</t>
  </si>
  <si>
    <t>DRONES</t>
  </si>
  <si>
    <t>DSDRONES0</t>
  </si>
  <si>
    <t>2YTLQ760230977</t>
  </si>
  <si>
    <t>THIS LAW ENFORCEMENT AGENCY WOULD UTILIZE THESE ITEMS FOR IT'S SPECIAL RESPONSE TEAM AND ALSO SEARCH AND RESCUE TEAM FOR RESPONSE TO CRITICAL INCIDENTS. THESE ITEMS WOULD BE USED BY SWORN LAW ENFORCEMENT OFFICERS. THANK YOU FOR YOUR CONSIDERATION.</t>
  </si>
  <si>
    <t>LESO will not approve any Night Vision Devices or Optics that have been turned in by a LESO customer meaning DTIDs that start with 2YT OR with a condition code of F, G, or H without the acknowledgement from the requesting agency stating they have contacted the site where the property is located to CONFIRM and ACCEPT condition of night vision devices and or optics.  Confirm and accept statements need to be in the justification comment box.</t>
  </si>
  <si>
    <t>2YTLQT60301710</t>
  </si>
  <si>
    <t>FOR USE BY THIS LEA ONLY. THIS LEA WILL USE THIS TRAILER TO TRANSPORT LAW ENFORCEMENT EQUIPMENT TO AND FROM LEA CONTROLLED SITES AND CRITICAL INCIDENTS REQUIRING LAW ENFORCEMENT RESPONSE.</t>
  </si>
  <si>
    <t>2YT1L560372317</t>
  </si>
  <si>
    <t>FOR USE BY THIS LEA ONLY. FOR USE BY THIS LEAS LEOS TO RESPOND TO HIGH WATER RESCUE SITUATIONS.</t>
  </si>
  <si>
    <t>ASSIGNED TO LSC3266 BY LSC3266</t>
  </si>
  <si>
    <t>2YT1L560301737</t>
  </si>
  <si>
    <t>PSP WILL USE THESE ITEMS FOR SURVEILANCE WHILE CONDUCTING HIGH RISK WARRANT SERVICES.</t>
  </si>
  <si>
    <t>2YTJA960795626</t>
  </si>
  <si>
    <t>LEA has overdue receipts over 30 days. Can not approve until this is corrected.</t>
  </si>
  <si>
    <t>2YTJA960513062</t>
  </si>
  <si>
    <t>2YTJA960513061</t>
  </si>
  <si>
    <t>2YTJA960513060</t>
  </si>
  <si>
    <t>2YTJA960513059</t>
  </si>
  <si>
    <t>2YTJA960513057</t>
  </si>
  <si>
    <t>2YTJA960513056</t>
  </si>
  <si>
    <t>2YTJA960513055</t>
  </si>
  <si>
    <t>2YTJA960513054</t>
  </si>
  <si>
    <t>2YTJA960513053</t>
  </si>
  <si>
    <t>LEA has overdue pending recipts past 30 days. Unable to process until this is corrected.</t>
  </si>
  <si>
    <t>2YTJA960513052</t>
  </si>
  <si>
    <t>2YTJA960513051</t>
  </si>
  <si>
    <t>2YTJA960513050</t>
  </si>
  <si>
    <t>2YTJA960513035</t>
  </si>
  <si>
    <t>2YTJA960513034</t>
  </si>
  <si>
    <t>2YTJA960513033</t>
  </si>
  <si>
    <t>2YTJA960513032</t>
  </si>
  <si>
    <t>2YTJA960513031</t>
  </si>
  <si>
    <t>2YTJA960513030</t>
  </si>
  <si>
    <t>2YTJA960513029</t>
  </si>
  <si>
    <t>2YTJA960513028</t>
  </si>
  <si>
    <t>2YTJA960513027</t>
  </si>
  <si>
    <t>2YTJA960513026</t>
  </si>
  <si>
    <t>2YTJA960513025</t>
  </si>
  <si>
    <t>PSP WILL USE THESE FOR COLD WEATHER HIGH RISK INCIDENT</t>
  </si>
  <si>
    <t>2YTJA960512996</t>
  </si>
  <si>
    <t>2YTJA960512995</t>
  </si>
  <si>
    <t>2YTJA960512994</t>
  </si>
  <si>
    <t>2YTJA960512992</t>
  </si>
  <si>
    <t>2YTJA960512990</t>
  </si>
  <si>
    <t>2YTJA960512989</t>
  </si>
  <si>
    <t>2YTJA960512987</t>
  </si>
  <si>
    <t>2YTJA960512986</t>
  </si>
  <si>
    <t>2YTJA960512985</t>
  </si>
  <si>
    <t>THIS NIGHT VISION WILL ASSIST THE MD STATE POLICE SWAT TEAM SNIPER SECTION WITH THE ABILITY TO ACCURATELY LOCATE AND IDENTIFY POTENTIAL SUSPECTS IN HIDING, AND AID IN BOTH OFFICER AND PUBLIC SAFETY. IT IS UNDERSTOOD THAT SHIPPING WILL BE REQUIRED AND WE ARE PREPARED TO MAKE THAT ACCOMMODATION.</t>
  </si>
  <si>
    <t>2YTPC460372061</t>
  </si>
  <si>
    <t>THIS NIGHT VISION WILL ASSIST THE MD STATE POLICE SWAT TEAM  WITH THE ABILITY TO ACCURATELY LOCATE AND IDENTIFY POTENTIAL SUSPECTS IN HIDING, AND AID IN BOTH OFFICER AND PUBLIC SAFETY</t>
  </si>
  <si>
    <t>2YTPC460372058</t>
  </si>
  <si>
    <t>2YTPC460301836</t>
  </si>
  <si>
    <t>THIS ASSET WOULD BENEFIT THIS AGENCY AND OFFICERS BY ALLOWING US TO UTILIZE IT TO PULL OUR RADAR AND SIGN TRAILERS. THIS ASSET WOULD ASSIST IN TRANSPORT AND PARKING OF TRAILERS FOR TRAFFIC NOTICES AND SPEED AND CRASH REDUCTIONS.   SPOKE WITH FORT AND THIS NEEDS LITTLE WORK TO MAKE OPERABLE</t>
  </si>
  <si>
    <t>Your agency is at their allocation limit or is over allocated for this Commodity, based on number of officers and current property assigned</t>
  </si>
  <si>
    <t>2YTS0860724856</t>
  </si>
  <si>
    <t>THIS ASSET WOULD BENEFIT THIS AGENCY BY ALLOWING US TO UTILIZE IT AS A TRANSPORT VAN TO ASSIST IN ICE OPERATIONS AS WELL AS PRISONER TRANSPORT  SPOKE TO FORT AND THIS VEHICLE IS OPERABLE</t>
  </si>
  <si>
    <t>TRUCK,PANEL</t>
  </si>
  <si>
    <t>2YTS0860724854</t>
  </si>
  <si>
    <t>THIS ASSET WOULD BENEFIT THIS AGENCY AND OFFICERS BY ALLOWING US TO UTILIZE THIS ASSET AS A HAULING VEHICLE FOR PULLING A TRAILER CAR HAULER OR 
EMERGENCY RESPONSE TRAILER TO AND FROM LESO PICKUPS OR TO SCENE WHERE ASSETS ARE NEEDED.  I SPOKE WITH WARNER AND THIS ASSET IS STILL OPERABLE AND MAY ONLY NEED A BOOST TO RUN. WE WOULD REPAIR AND REPLACE ITEMS TO MAKE IT OPERATIONAL</t>
  </si>
  <si>
    <t>Sparta PD currently has 5 cargo trucks and a pickup truck they have received since Nov 2025. Other LEAs need an opportunity to receive this property.</t>
  </si>
  <si>
    <t>2YTS0860371974</t>
  </si>
  <si>
    <t>THE SPALDING COUNTY SHERIFFS OFFICE REQUESTS BLADE AND ROTARY RUDDER COMPONENTS FOR ITS OH58D HELICOPTER TO SUPPORT AVIATION TRAINING AND RESCUE OPERATIONS THESE COMPONENTS ARE ESSENTIAL FOR HANDSON PILOT AND MAINTENANCE TRAINING EMERGENCY PROCEDURE PROFICIENCY AND AIRCRAFT READINESS RECEIVING THESE ITEMS WILL REDUCE MAINTENANCE COSTS MINIMIZE DOWNTIME AND ENHANCE THE AGENCYS ABILITY TO CONDUCT SEARCH AND RESCUE DISASTER RESPONSE TRAINING AND PUBLIC SAFETY MISSIONS</t>
  </si>
  <si>
    <t>Unable to approve due to condition code of property. TN</t>
  </si>
  <si>
    <t>BLADE,ROTARY RUDDER</t>
  </si>
  <si>
    <t>2YTLBT60583306</t>
  </si>
  <si>
    <t>THE SHERBURNE COUNTY SHERIFF'S OFFICE IS REQUESTING ROBOTS FOR USE BY SPECIAL TEAMS AND PATROL.  THE ROBOTS ARE SMALL AND PORTABLE TO HELP WITH RAPID DEPLOYMENT IN AN EMERGENCY.  THE ROBOTS WILL ALLOW OFFICERS TO MAINTAIN A SAFE DISTANCE WHILE INVESTIGATING HIGH RISK SITUATIONS.  THE CONDITION OF THE ROBOTS HAS BEEN VERIFIED AND ARE ACCEPTED AS IS.  THE MANUFACTURER IS HEADQUARTERED IN STATE FOR EASY ACCESS TO REPAIRS.</t>
  </si>
  <si>
    <t>CANCELLED: Due to your state still not completed their annual LESO inventory, the State of MN can not requisition property at this time.</t>
  </si>
  <si>
    <t>2YTK1W60512285</t>
  </si>
  <si>
    <t>2YTK1W60020040</t>
  </si>
  <si>
    <t>2YTK1W60020039</t>
  </si>
  <si>
    <t>THIS ITEM IS BEING REQUESTED BY THE SCREVEN COUNTY SHERIFFS OFFICE TO BE USED BY DEPUTIES FOR LAW ENFORCEMENT PURPOSES. THE TRUCK WILL BE USED BY DEPUTIES TO ACCESS OFF ROAD REMOTE AREAS IN ROUGH TERRAIN.</t>
  </si>
  <si>
    <t>Cancel per LEA. TVS AN</t>
  </si>
  <si>
    <t>2YTKVK60795660</t>
  </si>
  <si>
    <t>THIS ITEM IS BEING REQUESTED BY THE SCREVEN COUNTY SHERIFFS OFFICE TO BE USED BY DEPUTIES FOR LAW ENFORCEMENT PURPOSES. THE TRAILER WILL BE USED BY DEPUTIES TO TRANSPORT BOATS FOR MARITIME OPERATIONS.</t>
  </si>
  <si>
    <t>RECEIPTS: Your Agency has overdue pending receipt(s) in FEPMIS. Please receive the property prior to placing new requisitions.</t>
  </si>
  <si>
    <t>2YTKVK60160545</t>
  </si>
  <si>
    <t>THESE SCOPES WILL BE USED BY THE SAN LUIS OBISPO POLICE AND SWAT TEAM TO CONDUCT HOSTAGE RESCUE, TRAINING, ETC.</t>
  </si>
  <si>
    <t>RECEIPT - This LEAs has an overdue receipt.</t>
  </si>
  <si>
    <t>2YTKPM60937498</t>
  </si>
  <si>
    <t>NVGs in condition code other than A or B requires the LEA to contact the DLA site to verify the condition and if acceptable a comment is required in the justification that the LEA contacted the site and accepts the property as is.</t>
  </si>
  <si>
    <t>2YTKPM60231473</t>
  </si>
  <si>
    <t>THESE UNITS WILL BE USED FOR NIGHT OPERATIONS AND OR PATROL ALONG WITH OUR ERT TEAM.</t>
  </si>
  <si>
    <t>2YTKB560796839</t>
  </si>
  <si>
    <t>SWAT TEAM USE.</t>
  </si>
  <si>
    <t>JUSTIFICATION: Please provide a justification that states these three requirements. We need to know that it will be used by the requesting Law Enforcement Agency, used for a Law Enforcement purpose and be persuasive. Provide specific examples of how the item will be used.</t>
  </si>
  <si>
    <t>2YTKB560725990</t>
  </si>
  <si>
    <t>2YTKAT60584737</t>
  </si>
  <si>
    <t>RCSO NEEDS THIS EQUIPMENT FOR DISASTER PREPAREDNESS AND DRUG ENFORCEMENT FOR THE DESTRUCTION OF OUTDOOR GROW OPERATIONS.  THE ADDITION OF THIS EQUIPMENT WILL ASSIST IN MAINTAINING MISSION READINESS AS THE AGENCY DOES NOT CURRENTLY HAVE THIS EQUIPMENT.</t>
  </si>
  <si>
    <t>2YTJ7860655421</t>
  </si>
  <si>
    <t>SIGHTS WILL BE USED ON 40 MM LAUNCHERS TO AID IN SIGHT PICTURE USE.  SIGHTS WILL ALLOW FOR DEPUTIES TO GET A MORE ACCURATE TARGET AND TO AID IN SAFER USE DISCHARGE.</t>
  </si>
  <si>
    <t>2YTJ5961007791</t>
  </si>
  <si>
    <t>UNDERWATER ROBOTS WILL BE USED OT AID IN RECOVERY  SEARCH EFFORTS IN THE LAKES IN RENVILLE COUNTY RIVER IN RENVILLE COUNTY.  WILL AID IN SEARCH AND RESCUE OPERATIONS.</t>
  </si>
  <si>
    <t>Requisitions for property from Minnesota LEAs has been halted until the FY25 Annual Inventory is completed.</t>
  </si>
  <si>
    <t>2YTJ5960583826</t>
  </si>
  <si>
    <t>ACKN COND H, ACKN CONTACT WITH DLA, RCSO WILL USE THIS DEVICES FOR SAFETY OF THE PUBLIC AND LAW ENFORCEMENT DURING SEARCH AND RESCUE OPERATIONS.</t>
  </si>
  <si>
    <t>2YTJ2H60231035</t>
  </si>
  <si>
    <t>RAMSEY COUNTY SHERIFF DEPT (2YTJ2H)</t>
  </si>
  <si>
    <t>2YTJYC60654273</t>
  </si>
  <si>
    <t>FOR THE PROSPECT POLICE DEPARTMENT TO ISSUE TO AN OFFICER TO WEAR IN THE POOR WEATHER.</t>
  </si>
  <si>
    <t>2YTJYC60654270</t>
  </si>
  <si>
    <t>2YTJYC60654269</t>
  </si>
  <si>
    <t>FOR THE PROSPECT POLICE DEPARTMENT TO ISSUE TO AN OFFICER TO WEAR IN THE COLD WEATHER.</t>
  </si>
  <si>
    <t>BOOTS,COLD WEATHER</t>
  </si>
  <si>
    <t>2YTJYC60654268</t>
  </si>
  <si>
    <t>FOR THE PROSPECT POLICE DEPT TO USE TO TRANSPORT INJURES VICTIMS IN EMERGENCIES.</t>
  </si>
  <si>
    <t>LITTER,DECONTAMINAT</t>
  </si>
  <si>
    <t>2YTJYC60020257</t>
  </si>
  <si>
    <t>THE POLK COUNTY SHERIFF'S OFFICE WILL USE THE REQUESTED PROPERTY DURING ANTI-TERRORISM PREPAREDNESS, PROTECTION, PREVENTION AND RESPONSE OPERATIONS AS WELL AS DISASTER-RELATED EMERGENCIES AND SEARCH AND RESCUE OPERATIONS.</t>
  </si>
  <si>
    <t>PAPERWOK - Station inactive with no user assigned.</t>
  </si>
  <si>
    <t>2YTJS060936916</t>
  </si>
  <si>
    <t>PAPERWORK- Station inactive with no user assigned.</t>
  </si>
  <si>
    <t>2YTJS060846915</t>
  </si>
  <si>
    <t>PAPERWORK -  Station is INACTIVE and no user assigned.</t>
  </si>
  <si>
    <t>2YTJS060846914</t>
  </si>
  <si>
    <t>2YTJNU60725085</t>
  </si>
  <si>
    <t>THIS ITEM WILL BE ISSUED TO THE OFFICERS AT THE PIMA POLICE DEPARTMENT. THIS ITEM WILL BE USED BY POLICE OFFICERS FOR LOADING AND OFF-LOADING EQUIPMENT AND SUPPLIES UNDER THIS PROGRAM AND OTHER PROGRAMS THE PIMA POLICE DEPARTMENT USES. THIS ITEM WILL ALSO BE USED FOR THE POLICE OFFICERS EVIDENCE AND FLEET NEEDS.</t>
  </si>
  <si>
    <t>2YTJNL60161204</t>
  </si>
  <si>
    <t>FOR USE BY PCSO SAR PERSONNEL FOR REMOTE RESCUE AND RECOVERY OPERATIONS.
CONDITION ACCEPTED, VIEWED IN-PERSON.</t>
  </si>
  <si>
    <t>GSA cycle</t>
  </si>
  <si>
    <t>2YTJMP60161257</t>
  </si>
  <si>
    <t>FOR USE ON PATROL RIFLES FOR PIERCE COUNTY SHERIFF'S OFFICE DEPUTIES.</t>
  </si>
  <si>
    <t>CANCELLED: At this time the LESO will not approve any Night Vision Devices or Optics that have been turned in by a LESO customer meaning DTIDs that start with 2YT or with a condition code of F, G, or H without the acknowledgement from the requesting agency stating they have contacted the site where the property is located to CONFIRM and ACCEPT condition of night vision devices and or optics.</t>
  </si>
  <si>
    <t>2YTJMP60160638</t>
  </si>
  <si>
    <t>THE PICKENS COUNTY SHERIFF'S OFFICE SPECIAL OPERATIONS, ALONG WITH THE SWAT TEAM, IS ACQUIRING THIS ITEM TO IMPROVE SIGHT ACQUISITION AND POSITIVELY IDENTIFY TARGETS IN MULTIPLE ENVIRONMENTS AND APPLICATIONS WITHIN OUR DAILY DUTIES. I HAVE READ AND ACCEPTED THE CONDITION CODE G.</t>
  </si>
  <si>
    <t>SC REQUESTED THIS REQUISITION CONCELATION</t>
  </si>
  <si>
    <t>2YTJL960513127</t>
  </si>
  <si>
    <t>TO BE USED BY THE PICKENS POLICE DEPARTMENT BY PICKENS POLICE OFFICERS FOR OFFICIAL USE IN TRAINING, SPECIAL OPERATIONS, AND EMERGENCY RESPONSE.</t>
  </si>
  <si>
    <t>2YTJMC60302466</t>
  </si>
  <si>
    <t>USED TO MOVE TRAFFIC CONES AND BARRELS WHEN WORKING TRAFFIC EVENTS.</t>
  </si>
  <si>
    <t>Justifications needs to state these three requirements. Property will be used by the requested Law Enforcement Agency, used for a Law Enforcement purpose and the statement must be persuasive</t>
  </si>
  <si>
    <t>2YTJEV60583918</t>
  </si>
  <si>
    <t>UNDERCOVER DRUG ENFORCEMENT VEHICLE</t>
  </si>
  <si>
    <t>Justifications need to state these three requirements. Property will be used by the requested Law Enforcement Agency, used for a Law Enforcement purpose and the statement must be persuasive</t>
  </si>
  <si>
    <t>2YTJEV60303897</t>
  </si>
  <si>
    <t>Cycle - This item is in GSA cycle and cannot approve to LESO customers.</t>
  </si>
  <si>
    <t>2YT19C60796884</t>
  </si>
  <si>
    <t>THE OZARK COUNTY SHERIFFS OFFICE IS REQUESTING AN EXPLOSIVE ORDNANCE ROBOT TO SAFELY RESPOND TO SUSPECTED OR CONFIRMED EXPLOSIVE DEVICES. THIS EQUIPMENT WOULD BE DEPLOYED ONLY DURING CREDIBLE THREATS WHERE LOSS OF LIFE IS POSSIBLE. THE ROBOT ALLOWS DEPUTIES TO REMOTELY ASSESS DISRUPT OR REMOVE HAZARDOUS DEVICES REDUCING DIRECT EXPOSURE TO DANGER. THIS CAPABILITY SAFEGUARDS DEPUTIES PROTECTS THE PUBLIC AND PROVIDES CRITICAL STANDOFF DISTANCE DURING HIGH RISK INCIDENTS.</t>
  </si>
  <si>
    <t>CANCELLED: This EOD robot was returned by another LESO customer and is Condition Code H. Please validate the actual condition with the Disposition Services site. If the property is deemed usable, please include that you have contacted the Disp Svcs site in your justification.</t>
  </si>
  <si>
    <t>2YT19C60652174</t>
  </si>
  <si>
    <t>2YT19C60652173</t>
  </si>
  <si>
    <t>THE OZARK COUNTY SHERIFF'S OFFICE IS REQUESTING A 1-TON FLATBED FORD BRUSH TRUCK TO IMPROVE EMERGENCY SERVICES. IT CAN BE USED FOR SEARCH AND RESCUE, TO TOW OUR DEPARTMENT BOAT, AND ASSISTING THE FIRE DEPARTMENTS DURING LOW STAFFING OR EQUIPMENT SHORTAGE. ALTHOUGH LISTED AS NONOPERATIONAL OF CONDITION H, I TAKE ON THE OBLIGATION TO GET IT WORKING AND OPERATIONAL.</t>
  </si>
  <si>
    <t>2YT19C60513038</t>
  </si>
  <si>
    <t>OZARK COUNTY SHERIFFS OFFICE NEEDS THE 2004 SCOTT LIBERTY II MOBILE LIGHT AND AIR TRAILER TO SUPPORT EXTENDED EMERGENCY OPERATIONS. IT PROVIDES RELIABLE SCENE LIGHTING AND CONTINUOUS BREATHING AIR FOR RESPONDERS. WITH FOUR AIR CYLINDERS, A 7.2KW GENERATOR, AND A TELESCOPING LIGHT TOWER, IT IMPROVES SAFETY, READINESS, AND MUTUAL AID RESPONSE DURING CRITICAL INCIDENTS.</t>
  </si>
  <si>
    <t>TRAILER,FIRE FIGHTING</t>
  </si>
  <si>
    <t>2YT19C60303980</t>
  </si>
  <si>
    <t>OZARK COUNTY SHERIFF'S OFFICE IS REQUESTING A ROAD GRADER TO ENSURE RAPID RESPONSE DURING EMERGENCY AND DISASTER SITUATIONS. FOLLOWING SEVERE STORMS, FLOODING, TORNADOES, OR WINTER WEATHER EVENTS, ROADWAYS ARE OFTEN BLOCKED BY DEBRIS, DOWNED TREES, WASHED OUT SURFACES, AND HAZARDOUS CONDITIONS THAT DELAY ACCESS TO STRANDED OR INJURED RESIDENTS. A ROAD GRADER WOULD ALLOW DEPUTIES TO QUICKLY CLEAR AND STABILIZE CRITICAL ROUTES, MAKING IT POSSIBLE TO REACH VICTIMS, DELIVER AID, AND RESCUE VICTIMS.</t>
  </si>
  <si>
    <t>2YT19C60163332</t>
  </si>
  <si>
    <t>Transfers: Your agency has 13 overdue pending transfer in FEPMIS. Please clear up this transfer prior to placing new requisitions for property. Please contact your State Coordinators Office with questions.</t>
  </si>
  <si>
    <t>2YT19C60160376</t>
  </si>
  <si>
    <t>OZARK COUNTY NEEDS A SKID STEER THROUGH THE LESO PROGRAM TO STRENGTHEN EMERGENCY RESPONSE CAPABILITIES. DURING NATURAL DISASTERS SUCH AS FLOODS, TORNADOES, OR SEVERE STORMS, IT WOULD BE USED TO QUICKLY CLEAR DEBRIS, REMOVE DOWNED TREES, AND OPEN BLOCKED ROADS. THIS EQUIPMENT WOULD HELP CREATE AND MAINTAIN SAFE ACCESS ROUTES FOR FIRST RESPONDERS, ALLOWING FASTER RESCUE, EVACUATION, AND DELIVERY OF CRITICAL SUPPLIES.</t>
  </si>
  <si>
    <t>2YT19C60160374</t>
  </si>
  <si>
    <t>OZARK COUNTY REQUESTS THE USE OF A MONITORING TRAILER TO SUPPORT EMERGENCY OPERATIONS DURING NATURAL DISASTERS OR WHEN RADIO COMMUNICATIONS ARE UNAVAILABLE. THE TRAILER WOULD PROVIDE RELIABLE ON-SITE MONITORING, SITUATIONAL AWARENESS, AND COMMUNICATION SUPPORT TO HELP COORDINATE RESPONSE EFFORTS AND PROTECT PUBLIC SAFETY.</t>
  </si>
  <si>
    <t>2YT19C60090348</t>
  </si>
  <si>
    <t>2YT19C60090346</t>
  </si>
  <si>
    <t>OZARK COUNTY RESPECTFULLY REQUESTS THE USE OF A CARGO VAN TO SUPPORT LAW ENFORCEMENT OPERATIONS AND COMMUNITY SAFETY NEEDS. THIS VEHICLE WOULD BE USED TO TRANSPORT OFFICERS EFFICIENTLY FROM POINT A TO POINT B DURING ROUTINE PATROLS, SPECIAL EVENTS, COURT TRANSPORTS, AND EMERGENCY RESPONSES. A CARGO VAN WILL IMPROVE MOBILITY, COORDINATION, AND TIMELY SERVICE THROUGHOUT THE COUNTY.</t>
  </si>
  <si>
    <t>2YT19C60020350</t>
  </si>
  <si>
    <t>FOR USE BY THE SPECIAL OPERATIONS UNIT AND OTHER SPECIALTY UNITS WITHIN THE DEPARTMENT FOR COMMUNICATIONS DURING OPERATIONS AND TRAINING</t>
  </si>
  <si>
    <t>2YT18E60584795</t>
  </si>
  <si>
    <t>POLICE USE IN SEARCH AND RESCUE FUNCTIONS, ACTIVE INCIDENTS, PUBLIC SAFETY.</t>
  </si>
  <si>
    <t>2YT15Y61007746</t>
  </si>
  <si>
    <t>ORLAND HILLS POLICE DEPARTMENT (2YT15Y)</t>
  </si>
  <si>
    <t>POLICE APPLICATION FOR RANGE TRAINING AND OFFICER SHOOTING EFFICIENCY.</t>
  </si>
  <si>
    <t>2YT15Y61007745</t>
  </si>
  <si>
    <t>2YT15P60796879</t>
  </si>
  <si>
    <t>THE OREGON COUNTY SHERIFF'S OFFICE WILL USE THE NIGHT VISION TO ENHANCE AND PROMOTE OFFICER AND CITIZEN SAFETY DURING LOW LIGHT HIGH RISK OPERATIONS.</t>
  </si>
  <si>
    <t>2YT15P60725166</t>
  </si>
  <si>
    <t>THE OREGON COUNTY SHERIFF'S OFFICE WILL USE THE DEVICES TO PRESERVE LIFE AND INCREASE THE SAFETY OF PERSONNEL DURING HIGH RISK LAW ENFORCEMENT OPERATIONS AND DISASTER RESPONSE IN RURAL OREGON COUNTY.</t>
  </si>
  <si>
    <t>2YT15P60654984</t>
  </si>
  <si>
    <t>THE OREGON COUNTY SHERIFF'S OFFICE WILL USE THE TOOLS TO MAINTAIN SHERIFF'S OFFICE VEHICLES AND EQUIPMENT. HE TOOLS WILL ALSO BE USED AS RESCUE EQUIPMENT.</t>
  </si>
  <si>
    <t>Property in GSA cycle</t>
  </si>
  <si>
    <t>2YT15P60544118</t>
  </si>
  <si>
    <t>THE OREGON COUNTY SHERIFF'S OFFICE WILL USE THE CLEANER TO MAINTAIN CLEANLINESS AND READINESS OF THE SHERIFF'S OFFICE EQUIPMENT</t>
  </si>
  <si>
    <t>2YT15P60514072</t>
  </si>
  <si>
    <t>THE OREGON COUNTY SHERIFF'S OFFICE WILL ISSUE THE JACKETS TO DEPUTIES FOR USE IN INCLEMENT WEATHER DURING LAW ENFORCEMENT OPERATIONS.</t>
  </si>
  <si>
    <t>2YT15P60514069</t>
  </si>
  <si>
    <t>THE TRUCK WILL BE USED BY THE OREGON COUNTY SHERIFF'S OFFICE FOR LAW ENFORCEMENT EMERGENCY RESPONSE TO DISASTER SITUATION TO TRANSPORT SUPPLIES AND EQUIPMENT.</t>
  </si>
  <si>
    <t>Transfers: Your agency has one overdue pending transfer in FEPMIS. Please clear up this transfer prior to placing new requisitions for property. Please contact your State Coordinators Office with questions.</t>
  </si>
  <si>
    <t>2YT15P60301538</t>
  </si>
  <si>
    <t>THE OREGON COUNTY SHERIFF'S OFFICE WILL USE THIS TRUCK TO TRANSPORT EQUIPMENT, SUPPLIES, AND PERSONNEL DURING DISASTERS AND TACTICAL EVENTS.</t>
  </si>
  <si>
    <t>2YT15P60231894</t>
  </si>
  <si>
    <t>THESE DEVICES WILL BE UTILIZED BY THE PRECISION MARKSMAN ON OUR AGENCY'S TACTICAL TEAM. THE DEVICES WILL ALLOW OFFICERS TO POSITIVELY IDENTIFY POTENTIAL THREATS IN LOW LIGHT OR NO LIGHT ENVIRONMENTS FURTHER IMPROVING OFFICER SAFETY AND THEIR ABILITY TO PROTECT OUR COMMUNITY.</t>
  </si>
  <si>
    <t>2YT12060583802</t>
  </si>
  <si>
    <t>2YT12060583801</t>
  </si>
  <si>
    <t>THIS VEHICLE WILL BE UTILIZED TO TRANSPORT EQUIPMENT DURING TACTICAL EMERGENCIES.</t>
  </si>
  <si>
    <t>2YT1RJ60574682</t>
  </si>
  <si>
    <t>NORTHPORT POLICE DEPT (2YT1RJ)</t>
  </si>
  <si>
    <t>2YT0M460303989</t>
  </si>
  <si>
    <t>THE NORMANDY POLICE DEPARTMENT WILL UTILIZE THESE TWO BATTERY CHARGERS FOR SWAT TEAM POLICE OFFICERS TO USE FOR THE MULTIPLES BATTERIES IT CURRENTLY POSSESSES FOR ITS MULTIPLE EOD ROBOTS.</t>
  </si>
  <si>
    <t>2YT0M460231878</t>
  </si>
  <si>
    <t>H Condition. No Data Call completed. TVS AN</t>
  </si>
  <si>
    <t>2YTH9H60725896</t>
  </si>
  <si>
    <t>2YTH9H60705352</t>
  </si>
  <si>
    <t>TO BE USED BY THE LEA FOR ISSUANCE WITH LEA FIREARMS.</t>
  </si>
  <si>
    <t>2YTH2G60794472</t>
  </si>
  <si>
    <t>2YTH2G60724473</t>
  </si>
  <si>
    <t>2YTH2G60654471</t>
  </si>
  <si>
    <t>THE MONROE COUNTY SHERIFFS OFFICE IS REQUESTING THIS FOR MANY CRIMINAL SCENARIOS. THIS UNIT WILL BE USED TO LIFT LARGE EVIDENCE AND VEHICLES AT CERTAIN SCENES FOR EVIDENCE PURPOSES. THIS WILL BE OPERATED BY A DEPUTY FROM A RESCUE TEAM. THIS WILL ALSO BE USED IN AREAS WHERE HIKERS ARE LOST ON STEEP AREAS AND CLIFFS WHERE A RESCUE BASKET CAN BE HOISTED AND LOWERED BY THE BOOM. IT WILL ALSO BE USED TO LIFT THE ROOF STRUCTURE WE ARE CONSTRUCTING TO COVER OUR SHOOTING RANGE.</t>
  </si>
  <si>
    <t>CANCELLED -TL has reviewed and determined that this property cannot be approved at this time due to agency need or size when compared to property size and capabilities There appears to be a similar item received through the program.</t>
  </si>
  <si>
    <t>2YTHWY60937097</t>
  </si>
  <si>
    <t>THE MONROE COUNTY SHERIFFS OFFICE IS REQUESTING THIS FOR OUR TRAINING FACILITY. WE ARE SETTING UP NEW TRAINING BUILDINGS AND AIDS TO MAKE OUR TRAINING ENVIRONMENT IMPROVE. THIS MACHINE WILL HELP US WITH ALL HEAVY LIFTING AND MAKING THE BUILDING PROCESS SMOOTHER.</t>
  </si>
  <si>
    <t>JUSTIFICATION: Justification does not meet manufacturers intended purpose. We need to know that it will be used by the requesting agency, used for a Law Enforcement purpose and be persuasive.</t>
  </si>
  <si>
    <t>2YTHWY60936917</t>
  </si>
  <si>
    <t>REQUESTING THIS DRONE TO BE UTILIZED WITHIN OUR AERIAL OPERATIONS UNIT FOR SEARCH AND RESCUE AND TACTICAL OPERATIONS FOR LOCATING AND NAVIGATIONAL ABILITIES. I ACKNOWLEDGE CONDITION AND PICK UP RESPONSIBILITIES.</t>
  </si>
  <si>
    <t>Item is a support system(computer) to a drone. This is not a drone</t>
  </si>
  <si>
    <t>SUPPORT SYSTEM,TACTICAL</t>
  </si>
  <si>
    <t>2YTSZY60442732</t>
  </si>
  <si>
    <t>FURTHER OUR SEARCH AND RESCUE CAPABILITIES IN CONJUNCTION WITH OUR EXISTING DRONE UNIT</t>
  </si>
  <si>
    <t>Cycle- In GSA Cycle unable to approve.</t>
  </si>
  <si>
    <t>2YTHVS60796866</t>
  </si>
  <si>
    <t>MOBILE COUNTY SHERIFFS OFFICE (2YTHVS)</t>
  </si>
  <si>
    <t>THE MEIGS COUNTY SHERIFF'S OFFICE SPECIAL RESPONSE TEAM WOULD GREATLY BENEFIT FROM NVD HELMETS IN HIGH RISK SITUATIONS</t>
  </si>
  <si>
    <t>2YTHJZ60443257</t>
  </si>
  <si>
    <t>THESE GOGGLES WILL BE USED BY OUR SRT OPERATORS, I HAVE CONTACTED THE SITE IN REFERENCE TO THE CONDITION.</t>
  </si>
  <si>
    <t>2YTHDF60654449</t>
  </si>
  <si>
    <t>THIS NIGHT VISION GOGGLE WILL BE USED BY OUR SRT OPERATORS TO UPGRADE THE UNITS WE ARE CURRENTLY USING.</t>
  </si>
  <si>
    <t>2YTHDF60654314</t>
  </si>
  <si>
    <t>THE MARTIN COUNTY SHERIFFS OFFICE WOULD LIKE TO ACQUIRE THE AIR COMPRESSOR.  THIS AIR COMPRESSOR WILL ALLOW US TO MAINTAIN AND KEEP OUR HIGH WATER RESCUE TRUCKS IN SERVICE.  THE COMPRESSOR CAN ALSO BE DEPLOYED WITH OUR TRUCKS DURING EMERGENCIES.  TIRE MAINTENANCE IS ONE OF THE BIGGEST ISSUES WITH OUR HIGH WATER TRUCKS AND THE COMPRESSOR WILL MAKE THAT JOB MUCH EASIER.</t>
  </si>
  <si>
    <t>JUSTIFICATION - The justification does not match the property identified.</t>
  </si>
  <si>
    <t>2YTHDE60726040</t>
  </si>
  <si>
    <t>CANCELLED: At this time the LESO will not approve any Night Vision Devices or Optics that have been turned in by a LESO customer meaning DTIDs that start with 2YT or with a condition code of F, G, or H without the acknowledgement from the requesting agency stating they have (not will) contacted the site where the property is located to CONFIRM and ACCEPT condition of night vision devices and or optics.  Confirm and accept statement needs to be in the justification comment box.</t>
  </si>
  <si>
    <t>2YTG8B60513236</t>
  </si>
  <si>
    <t>2YTG5760724918</t>
  </si>
  <si>
    <t>THE MADISONVILLE POLICE DEPARTMENT IS REQUESTING THIS RUNNING UNIT FOR USE BY OUR OFFICERS. OUR DEPARTMENT IS LOCATED IN A HIGH METH LAB RURAL MOUNTAINOUS AREA WITH OUR LAST LAB BEING LESS THAN A MONTH AGO. DUE TO BUDGET CONSTRAINTS WE ARE CURRENTLY UNABLE TO PURCHASE MUCH NEEDED HAZMAT EQUIPMENT TO KEEP OUR OFFICERS SAFE. THANKS</t>
  </si>
  <si>
    <t>2YTG5760654345</t>
  </si>
  <si>
    <t>THE MADISONVILLE POLICE DEPARTMENT IS REQUESTING THIS EARTH MOVING EQUIPMENT FOR USE BY OUR OFFICERS. THIS PIECE OF EQUIPMENT COULD BE USED TO MOVE LARGE EVIDENCE, HELP CLEAR LARGE SCALE DEBRIS FROM ACCIDENT SCENES, AND LAND UPKEEP AT OUR TRAINING FACILITY. DUE TO BUDGET CONSTRAINTS WE ARE CURRENTLY UNABLE TO PURCHASE VALUABLE EQUIPMENT LIKE THIS UNIT. THANKS</t>
  </si>
  <si>
    <t>2YTG5760371969</t>
  </si>
  <si>
    <t>WE CURRENTLY HAVE 1 OFFICER ON OUR SPECIAL RESPONSE TEAM WITH A SINGLE TUBE NVG. THIS ADDITIONAL NVG WOULD ALLOW THE OFFICER TO HAVE A MUCH WIDER AND CLEARER FIELD OF VIEW DURING CRITICAL OPERATIONS.</t>
  </si>
  <si>
    <t>2YTG2260654771</t>
  </si>
  <si>
    <t>VACUUM PUMPS ARE ESSENTIAL FOR MAINTAINING A CLEAN, SANITARY ENVIRONMENT IN SHERIFFS DEPARTMENT FACILITIES. THEY SUPPORT EFFICIENT REMOVAL OF DEBRIS, FLUIDS, AND CONTAMINANTS FROM VEHICLES, EQUIPMENT, AND WORKSPACES. THIS ENHANCES OFFICER SAFETY, PRESERVES EQUIPMENT, AND ENSURES READINESS FOR DAILY OPERATIONS AND EMERGENCY RESPONSE SITUATIONS.</t>
  </si>
  <si>
    <t>VACUUM PUMPS</t>
  </si>
  <si>
    <t>DSVACPUMP</t>
  </si>
  <si>
    <t>2YTG1760867454</t>
  </si>
  <si>
    <t>COMPUTER HUBS ARE NECESSARY FOR THE SHERIFFS DEPARTMENT TO EXPAND CONNECTIVITY FOR WORKSTATIONS PRINTERS SCANNERS AND OTHER ESSENTIAL EQUIPMENT. THEY SUPPORT EFFICIENT DAILY OPERATIONS IMPROVE WORKFLOW IN SHARED WORK AREAS AND ALLOW STAFF TO SECURELY CONNECT MULTIPLE DEVICES WITHOUT ADDITIONAL COMPUTER REPLACEMENTS ENSURING RELIABLE AND COST EFFECTIVE USE OF EXISTING TECHNOLOGY</t>
  </si>
  <si>
    <t>HUB</t>
  </si>
  <si>
    <t>DSHUB0001</t>
  </si>
  <si>
    <t>2YTG1760302511</t>
  </si>
  <si>
    <t>LOWER ALLEN TOWNSHIP POLICE REQUESTS THESE ITEMS FOR DEPARTMENTAL USE IN CONJUNCTION WITH OUR PATROL COMPUTERS.</t>
  </si>
  <si>
    <t>2YTGZM60796834</t>
  </si>
  <si>
    <t>LEVEL PLAINS POLICE DEPT WOULD UTILIZE DURING POLICE ACTVITIES TO SAVE ON FUEL AS WELL</t>
  </si>
  <si>
    <t>2YTRNR60937027</t>
  </si>
  <si>
    <t>LEVEL PLAINS WOULD USE LOUDSPEAKER AT POLICE EVENTS AND WHEN NEEDED IN DOING POLICE DUTIES AS WELL</t>
  </si>
  <si>
    <t>LOUDSPEAKER,ELECTRO</t>
  </si>
  <si>
    <t>2YTRNR60584337</t>
  </si>
  <si>
    <t>FOR USE ON ISSUED RIFLES BY THE LANSING POLICE DEPARTMENT.  CONTACT HAS BEEN MADE TO VERIFY CONDITION</t>
  </si>
  <si>
    <t>2YTPER60502437</t>
  </si>
  <si>
    <t>LAW ENFORCEMENT AGENCY TO USE WITH SHADOW DRONE SYSTEM FOR LAW ENFORCEMENT SURVEILLANCE IN LONG RANGE COASTLINE AREA</t>
  </si>
  <si>
    <t>CANCELLED: per State Coordinators request.</t>
  </si>
  <si>
    <t>GROUND CONTROL STATION,UNMANNED AIRCRAFT</t>
  </si>
  <si>
    <t>2YTF9L60372345</t>
  </si>
  <si>
    <t>LAW ENFORCEMENT AGENCY HAS REMOTE AREAS THAT REQUIRE DRONE FOR EXTENDED RANGE FOR SURVEILLANCE THAT REQUIRES SUCH EQUIPMENT</t>
  </si>
  <si>
    <t>2YTF9L60302344</t>
  </si>
  <si>
    <t>ITEM TO BE USED FOR INTERMITTENT OVERNIGHT HOUSING FOR SWORN LAW ENFORCEMENT MARINE PATROL PERSONNEL WHEN PATROLLING THE WATER BODIES IN THE OPPOSITE END OF OUR 6,100 SQUARE MILE COUNTY.   THIS WOULD ENABLE ADDITIONAL ACTUAL PATROL TIME TO BE SPENT IN THE AREA RATHER SPENDING 4-HOUR TRAVEL TIME UP AND BACK.</t>
  </si>
  <si>
    <t>2YT0HN60302435</t>
  </si>
  <si>
    <t>THIS ITEM WOULD ASSIST THE KINSEY POLICE DEPARTMENT WHEN CONDUCTING SEARCH WARRANTS AND OTHER INVESTIGATIONS TO HAVE SAFETY FOR OFFICERS AND OFFICERS THAT ARE ASSISTING. THIS WOULD ALSO ASSIST THE KINSEY POLICE DEPARTMENT WHEN OUR JOBS CALLS FOR OFF ROAD ASSIST OR INVESTIGATIONS</t>
  </si>
  <si>
    <t>2YTRAR60866342</t>
  </si>
  <si>
    <t>THIS WOULD ASSIST THE KINSEY POLICE DEPARTMENT IN PUTTING THIS IN OUR MAINTENANCE  SHOP TO WORK ON OUR PATROL VEHICLES AND OTHER EQUIPMENT THAT WE HAVE FROM THE LESO PROGRAM</t>
  </si>
  <si>
    <t>Rejected by S9D4445.  Comments: Item is in GSA cycle and cannot be approved for LESO..</t>
  </si>
  <si>
    <t>TEST SET SUBASSEMBLY,ELECTRICAL AND ELEC</t>
  </si>
  <si>
    <t>2YTRAR60725767</t>
  </si>
  <si>
    <t>THERMAL IMAGING AND MEASUREMENT SYSTEM IS TO BE UTILIZED BY THE KANE COUNTY SHERIFFS OFFICE MAINTENANCE DIVISION FOR CONSTANT UPKEEP OF OUR FACILITIES.  OUR OLDEST BUILDING WAS BUILT IN 1993, ONE OF FOUR ON OUR CAMPUS, AND THEY ALL ARE IN NEED OF CONSTANT REPAIR.  THIS EQUIPMENT WILL HELP US WITH DIAGNOSTICS, MONITORING AND REPAIR OF VITAL SYSTEMS IN THESE STRUCTURES.  THIS WILL HELP LIMIT EQUIPMENT FAILURES AND MAINTAIN EMERGENCY SERVICES.</t>
  </si>
  <si>
    <t>THERMAL IMAGING AND MEASUREMENT SYTEM</t>
  </si>
  <si>
    <t>2YTF3G60584775</t>
  </si>
  <si>
    <t>METER TO BE UTILIZED BY THE KANE COUNTY SHERIFFS OFFICE MAINTENANCE DIVISION FOR CONSTANT UPKEEP OF OUR FACILITIES.  OUR OLDEST BUILDING WAS BUILT IN 1993, ONE OF FOUR ON OUR CAMPUS, AND THEY ALL ARE IN NEED OF CONSTANT REPAIR.  THIS EQUIPMENT WILL HELP US WITH DIAGNOSTICS, MONITORING AND REPAIR OF VITAL SYSTEMS IN THESE STRUCTURES.  THIS WILL HELP LIMIT EQUIPMENT FAILURES AND MAINTAIN EMERGENCY SERVICES.</t>
  </si>
  <si>
    <t>LAB INSTRUMENT METER</t>
  </si>
  <si>
    <t>DSMETER01</t>
  </si>
  <si>
    <t>2YTF3G60584774</t>
  </si>
  <si>
    <t>METER</t>
  </si>
  <si>
    <t>DSMETER00</t>
  </si>
  <si>
    <t>2YTF3G60584773</t>
  </si>
  <si>
    <t>THE JEROME COUNTY SHERIFF'S OFFICE WOULD LIKE THIS VEHICLE TO USE IN TRANSPORTING OUR SRT TEAM.</t>
  </si>
  <si>
    <t>2YTFY460937154</t>
  </si>
  <si>
    <t>THE JEROME COUNTY SHERIFF'S OFFICE WOULD LIKE THIS VEHICLE TO ENFORCE DRUG AND HUMAN TRAFFICKING IN OUR JURISDICTION.</t>
  </si>
  <si>
    <t>2YTFY460937153</t>
  </si>
  <si>
    <t>THESE WOULD BE USED BY LAW ENFORCEMENT TO REPLACE PARTS THAT ARE DAMAGED ON CURRENTLY USED EQUIPMENT. THIS EQUIPMENT IS USED TO MAINTAIN THE JCSO RANGE AND TRAINING FACILITY.</t>
  </si>
  <si>
    <t>2YTFX460584763</t>
  </si>
  <si>
    <t>2YTFX460584762</t>
  </si>
  <si>
    <t>THE JACKSON COUNTY SHERIFF'S OFFICE SWAT TEAM REQUESTS NVGS TO ENHANCE OPERATIONAL EFFECTIVENESS IN LOW LIGHT RURAL AND URBAN ENVIRONMENTS. OUR TEAM ROUTINELY OPERATE IN DARKNESS WHERE VISIBILITY IS LIMITED AND THREATS ARE ELEVATED. NIGHT VISION CAPABILITY WILL INCREASE OFFICER SAFETY, IMPROVE TARGET IDENTIFICATION, AND STRENGTHEN MISSION SUCCESS DURING HIGHT RISK OPERATIONS.</t>
  </si>
  <si>
    <t>2YTFUY60655388</t>
  </si>
  <si>
    <t>JACKSON COUNTY SHERIFFS OFFICE (2YTFUY)</t>
  </si>
  <si>
    <t>ITASCA COUNTY SHERIFF'S OFFICE RECREATION DEPUTY'S WOULD USE THIS OFF-ROAD MOTORCYCLE FOR LAW ENFORCEMENT ACTIVITIES, WITH PREFERENCE FOR PRATROLING THE RECREATIONAL TRAILS AND ENFORCING OFF ROAD VEHICLE LAWS AND REGUALTIONS.  THEY AOULD ALOS AID IN GAINING ACCESS TO AREAS LARGER MOTOR VEHICLES CAN'T DURING DISATER RELATED EMERGENCY.  ITASCA COUNTY UNDERSTANDS IF GRANTED A OFFROAD MOTOCYCLE, WE UNDERSTAND THERE CONDITION AND ACKNOWLEDGE ANY TRANSPORTATION FEES AND REPAIR COSTS.</t>
  </si>
  <si>
    <t>MOTORCYCLE</t>
  </si>
  <si>
    <t>DSMTRCYCL</t>
  </si>
  <si>
    <t>2YTFTX60442816</t>
  </si>
  <si>
    <t>2YTFTX60442813</t>
  </si>
  <si>
    <t>Truck is armored. LEA is not approved for armored cargo truck. TVS AN</t>
  </si>
  <si>
    <t>2YTFMD60866473</t>
  </si>
  <si>
    <t>Frag Kit installed. LESO not authorized to requisition. TVS AN</t>
  </si>
  <si>
    <t>2YTFMD60795882</t>
  </si>
  <si>
    <t>CANCELLED: Property can only be used by employees of the requesting law enforcement agency. Property must be for the requesting agency and cannot be given to other organizations.</t>
  </si>
  <si>
    <t>2YTFMD60513121</t>
  </si>
  <si>
    <t>THIS REQUEST ADDRESSES AN IDENTIFIED CAPABILITY GAP WITHIN THE AGENCY. THE EMERGENCY RESPONSE TEAM CURRENTLY LACKS ARMORED VEHICLE SUPPORT FOR HIGH-RISK LAW ENFORCEMENT OPERATIONS, INCLUDING WARRANT SERVICE, BARRICADED SUBJECTS, AND ACTIVE THREAT INCIDENTS. THE VEHICLE WILL ALSO SUPPORT ALL-HAZARDS RESPONSE, INCLUDING SEVERE WEATHER AND FLOODING EVENTS, ENHANCING RESPONDER SAFETY, PUBLIC PROTECTION, AND OPERATIONAL READINESS CONSISTENT WITH LESO PUBLIC SAFETY OBJECTIVES.</t>
  </si>
  <si>
    <t>2YTFMD60372524</t>
  </si>
  <si>
    <t>WE ARE REQUESTING THIS VEHICLE TO ENHANCE THE SAFETY AND EFFECTIVENESS OF OUR SWAT TEAM WHILE PROTECTING THE GENERAL PUBLIC. ITS COMBINED ARMORED AND UTILITY CAPABILITIES MAKE IT WELL SUITED FOR HIGH-RISK OPERATIONS. OUR CURRENT ARMORED VEHICLE HAS BEEN OUT OF SERVICE FOR SEVERAL YEARS DUE TO MAINTENANCE ISSUES, CREATING A CRITICAL CAPABILITY GAP. GIVEN THE CHALLENGING TERRAIN IN OUR COUNTY, AN ADDITIONAL 4X4 ARMORED VEHICLE WOULD BE A VITAL OPERATIONAL ASSET.</t>
  </si>
  <si>
    <t>No approved packet on file for this vehicle.  RLS</t>
  </si>
  <si>
    <t>2YTFMD60302293</t>
  </si>
  <si>
    <t>WOULD BE KEPT IN PATROL CARS FOR HUBBARD POLICE OFFICERS TO USE IN MEDICAL EMERGENCIES WHEN FIRST ON SCENE INVOLVING CARDIAC ARREST.</t>
  </si>
  <si>
    <t>2YTFK760161188</t>
  </si>
  <si>
    <t>HCSO IS A LAW ENFORCEMENT AGENCY. HCSO WILL USE THE REQUESTED CHEVROLET SUBURBAN TO SUPPORT INVESTIGATIVE OPERATIONS THROUGHOUT HOWELL COUNTY. INVESTIGATORS RESPOND TO CRIME SCENES, TRANSPORT EQUIPMENT AND EVIDENCE, AND COORDINATE WITH PARTNER AGENCIES. A RELIABLE SUV IMPROVES MOBILITY IN RURAL AREAS, ENHANCES RESPONSE CAPABILITY, AND ENSURES INVESTIGATORS CAN EFFECTIVELY CONDUCT INVESTIGATIONS AND SERVE VICTIMS.</t>
  </si>
  <si>
    <t>2YTFKX60936993</t>
  </si>
  <si>
    <t>2YTFKX60936992</t>
  </si>
  <si>
    <t>HCSO IS A LAW ENFORCEMENT AGENCY. HCSO WILL USE THE REQUESTED GO BAGS TO STAGE ESSENTIAL EQUIPMENT FOR RAPID DEPLOYMENT DURING PATROL, TACTICAL INCIDENTS, AND DISASTER RESPONSE. THESE BAGS ALLOW DEPUTIES TO QUICKLY ACCESS MEDICAL SUPPLIES, TOOLS, AND MISSION-CRITICAL GEAR. PRE-STAGED GO BAGS IMPROVE RESPONSE TIMES, ENHANCE ORGANIZATION, AND ENSURE DEPUTIES ARE PREPARED FOR A WIDE RANGE OF EMERGENCY SITUATIONS.</t>
  </si>
  <si>
    <t>BAG ASSEMBLY</t>
  </si>
  <si>
    <t>DSBAGASSY</t>
  </si>
  <si>
    <t>2YTFKX60796822</t>
  </si>
  <si>
    <t>HCSO IS A LAW ENFORCEMENT AGENCY. HCSO WILL USE THE REQUESTED HANDHELD THERMAL IMAGER TO ASSIST WITH SEARCH AND RESCUE, SUSPECT APPREHENSION, AND DISASTER RESPONSE. THERMAL IMAGING ALLOWS DEPUTIES TO LOCATE INDIVIDUALS IN DARKNESS, HEAVY VEGETATION, OR HAZARDOUS CONDITIONS. THIS TECHNOLOGY IMPROVES SITUATIONAL AWARENESS, INCREASES SAFETY, AND ENHANCES THE ABILITY TO QUICKLY LOCATE MISSING OR ENDANGERED PERSONS IN RURAL AREAS.</t>
  </si>
  <si>
    <t>2YTFKX60795828</t>
  </si>
  <si>
    <t>HCSO IS A LAW ENFORCEMENT AGENCY. HCSO WILL USE THE REQUESTED NIGHT VISION DEVICES TO ENHANCE DEPUTY SAFETY AND EFFECTIVENESS DURING NIGHTTIME AND LOW-LIGHT OPERATIONS. NIGHT VISION IMPROVES THREAT IDENTIFICATION, MOVEMENT IN RURAL TERRAIN, AND TACTICAL COORDINATION. THIS EQUIPMENT STRENGTHENS PATROL, SEARCH, AND DISASTER RESPONSE CAPABILITIES. WE PREVIOUSLY HAVE CONTACTED THE DLA DISPOSITION SERVICES SITE AND WILL ACCEPT THE ITEMS IN THEIR CURRENT CONDITION AND PAY SHIPPING COSTS.</t>
  </si>
  <si>
    <t>2YTFKX60655025</t>
  </si>
  <si>
    <t>HCSO IS A LAW ENFORCEMENT AGENCY. HCSO WILL USE THE REQUESTED NIGHT VISION EQUIPMENT TO ENHANCE DEPUTY SAFETY AND EFFECTIVENESS DURING NIGHTTIME AND LOW-LIGHT OPERATIONS. NIGHT VISION ALLOWS FOR IMPROVED THREAT IDENTIFICATION, SAFER MOVEMENT IN RURAL OR WOODED AREAS, AND BETTER COORDINATION DURING TACTICAL RESPONSES. THIS CAPABILITY STRENGTHENS PATROL OPERATIONS, SEARCH EFFORTS, AND DISASTER RESPONSE WHILE REDUCING RISK TO DEPUTIES AND THE PUBLIC.</t>
  </si>
  <si>
    <t>2YTFKX60654963</t>
  </si>
  <si>
    <t>HCSO IS A LAW ENFORCEMENT AGENCY. HCSO WILL USE THE REQUESTED SLINGS FOR PATROL RIFLES AND LESS LETHAL SHOTGUNS TO IMPROVE WEAPON RETENTION AND OPERATIONAL SAFETY. SLINGS ALLOW DEPUTIES TO SECURELY CARRY LONG GUNS WHILE KEEPING HANDS FREE FOR MEDICAL AID, SUSPECT CONTROL, OR OTHER TASKS. THIS EQUIPMENT IMPROVES CONTROL, REDUCES THE RISK OF DROPS, AND ENHANCES READINESS DURING CRITICAL INCIDENTS AND DISASTER RESPONSE OPERATIONS.</t>
  </si>
  <si>
    <t>2YTFKX60585961</t>
  </si>
  <si>
    <t>THE HOWELL COUNTY SHERIFFS OFFICE IS A LAW ENFORCEMENT AGENCY. HCSO WILL USE THE REQUESTED CARPENTER TOOL KITS FOR MAINTENANCE AND REPAIR AT SHERIFFS OFFICE BUILDINGS. THESE KITS WILL ALLOW STAFF TO ADDRESS MINOR STRUCTURAL REPAIRS, SAFETY ISSUES, AND DAMAGE CAUSED BY DAILY WEAR. HAVING ON HAND TOOLS IMPROVES EFFICIENCY, REDUCES REPAIR DELAYS, AND HELPS ENSURE OUR FACILITIES REMAIN SAFE AND OPERATIONAL.</t>
  </si>
  <si>
    <t>CANCELLED: LESO HQ is unable to approve THIS property as the Unit of Issue (UI) is Lot (LT), Set (ST), or Kit (KT).  The reason for this is LESO cannot identify quantity and content.</t>
  </si>
  <si>
    <t>2YTFKX60513986</t>
  </si>
  <si>
    <t>THE HOWELL COUNTY SHERIFFS OFFICE IS A LAW ENFORCEMENT AGENCY. HCSO WILL USE THE REQUESTED SMALL ARMS REPAIR KITS TO PERFORM ROUTINE MAINTENANCE AND MINOR REPAIRS ON DUTY FIREARMS. THESE KITS ALLOW ARMORERS TO QUICKLY ADDRESS WEAR OR MALFUNCTIONS, REDUCE DOWNTIME, AND ENSURE ISSUED WEAPONS REMAIN SAFE AND RELIABLE. MAINTAINING SERVICEABLE FIREARMS IS CRITICAL TO DEPUTY SAFETY, TRAINING READINESS, AND EFFECTIVE LAW ENFORCEMENT OPERATIONS.</t>
  </si>
  <si>
    <t>2YTFKX60303985</t>
  </si>
  <si>
    <t>THE HOWELL COUNTY SHERIFF'S OFFICE IS A LAW ENFORCEMENT AGENCY. HCSO WILL USE THE REQUESTED LOADER AT THE SHERIFF'S OFFICE TRAINING RANGE TO SAFELY MAINTAIN AND IMPROVE INFRASTRUCTURE, INCLUDING BUILDING AND REPAIRING BERMS, MAINTAINING ROADWAYS. IN ADDITION, THIS EQUIPMENT WILL BE DEPLOYED FOR DISASTER RESPONSE EFFORTS SUCH AS DEBRIS REMOVAL, CLEARING ACCESS ROUTES, AND STORM RECOVERY. THIS LOADER WILL INCREASE SAFETY, EFFICIENCY, AND READINESS FOR BOTH TRAINING AND EMERGENCY RESPONSE NEEDS.</t>
  </si>
  <si>
    <t>CYCLE: This item has moved into the unapproved Donation cycle and cannot be approved to LESO customers.</t>
  </si>
  <si>
    <t>2YTFKX60163346</t>
  </si>
  <si>
    <t>THIS EQUIPMENT ENHANCES TARGET DETECTION, IDENTIFICATION, AND NAVIGATION IN LOW-LIGHT AND NO-LIGHT ENVIRONMENTS. IT INCREASES OFFICER SAFETY AND OPERATIONAL EFFECTIVENESS DURING RURAL SEARCHES, BARRICADED SUBJECTS, AND HIGH-RISK WARRANT SERVICE. NIGHT VISION REDUCES RELIANCE ON WHITE LIGHT, PRESERVES TACTICAL ADVANTAGE, AND SUPPORTS SAFE RESOLUTION OF CRITICAL INCIDENTS.</t>
  </si>
  <si>
    <t>2YTFKS60724839</t>
  </si>
  <si>
    <t>THIS OPTIC ENHANCES ACCURACY, TARGET IDENTIFICATION, AND ENGAGEMENT CAPABILITY FOR OUR DESIGNATED MARKSMEN AND SNIPERS. IT INCREASES OPERATIONAL EFFECTIVENESS AND OFFICER SAFETY DURING RURAL MANHUNTS, BARRICADED SUBJECTS, AND HIGH-RISK WARRANT SERVICE. THE OPTIC SUPPORTS PRECISION FIRE, REDUCES COLLATERAL RISK, AND IMPROVES MISSION SUCCESS.</t>
  </si>
  <si>
    <t>2YTFKS60724838</t>
  </si>
  <si>
    <t>2YTFHS60654563</t>
  </si>
  <si>
    <t>THE HOLYOKE POLICE DEPARTMENT WILL BE MOVING TO A NEW BUILDING IN 2026. THE NEW BUILDING, LOCATED AT 520 S INTEROCEAN AVE. IN HOLYOKE IS ITS OWN BUILDING. CURRENTLY THIS BUILDING DOES NOT HAVE ANY BACK UP POWER SOURCE. THIS GENERATOR WOULD BENEFIT THE POLICE DEPARTMENT BY INSURING POWER TO THE BUILDING 24 7. POWER IS NEEDED FOR THIS BUILDING TO RUN OUR REFRIGERATORS WHICH HOLD EVIDENCE, EMERGENCY EXHAUST FANS FOR AIR BORN SUBSTANCES LIKE FENTANYL, AND TO MAINTAIN AN INCIDENT COMMAND CENTER.</t>
  </si>
  <si>
    <t>2YTFHS60584558</t>
  </si>
  <si>
    <t>WE ARE A SHERIFF DEPT WITH A LIMITED BUDGET, WE ARE IN NEED OF THIS EQUIPMENT FOR OUR OFFICERS TO USE CLEARING ROADWAYS AFTER SEVERE WEATHER SO THE OFFICERS CAN RESPOND TO CALLS FOR ASSISTANCE.</t>
  </si>
  <si>
    <t>CANCELLED: Agency has assigned - closed-like items on their property book that can satisfy what is being asked for in their justification. Please let the LESO know the status of the closed property and why the requested property is needed.</t>
  </si>
  <si>
    <t>2YTE4H61007821</t>
  </si>
  <si>
    <t>HANNIBAL POLICE DEPARTMENT SRT TEAM NEEDS THESE TO MOUNT RECENTLY ACQUIRED NVG'S TO HELMETS TO AID IN TACTICAL AND RESCUE OPERATIONS IN DARK AND LOW LIGHT ENVIRONMENTS.</t>
  </si>
  <si>
    <t>This item has moved into the unapproved Federal Excess Personal Property (FEPP) cycle and cannot be approved to LESO customers</t>
  </si>
  <si>
    <t>2YTE3N60352374</t>
  </si>
  <si>
    <t>ITEMS TO BE USED BY GROSSE POINTE FARMS OFFICERS WITH EASTERN WAYNE COUNTY SRT. THERMAL OPTICS ARE CRITICAL FOR ENHANCING OFFICER SAFETY AND OPERATIONAL EFFECTIVENESS DURING HIGH-RISK INCIDENTS BY ALLOWING OFFICERS TO HAVE THE ABILITY OBSERVE SUBJECTS IN LOW VISIBILITY, HIGH THREAT ENVIRONMENTS.</t>
  </si>
  <si>
    <t>2YTEWV60301551</t>
  </si>
  <si>
    <t>TO BE ISSUED TO SWORN OFFICERS ON DUTY FOR LIFE SAVING PURPOSES OF CIVILIANS AND OFFICERS.</t>
  </si>
  <si>
    <t>TOURNIQUET,NONPNEUMATIC</t>
  </si>
  <si>
    <t>2YTEQK60020352</t>
  </si>
  <si>
    <t>2YTEJX60372940</t>
  </si>
  <si>
    <t>THIS ITEM WILL BE USED BY THE POLICE DEPARTMENT TO PROVIDE POWER SERVICE AT THE TRAINING RANGE THAT WE ARE BUILIDNG ON VILLAGE PROPERTY IN SUPPORT OF POLICE OPPERATIONS.</t>
  </si>
  <si>
    <t>in GSA cycle</t>
  </si>
  <si>
    <t>2YTEJX60342454</t>
  </si>
  <si>
    <t>2YTEJX60342453</t>
  </si>
  <si>
    <t>THE FULTON COUNTY SHERIFFS OFFICE IS REQUESTING THIS TRACTOR SO WE CAN USE IT TO HELP MAINTAIN OUR OUTDOOR TRAINING AREA.</t>
  </si>
  <si>
    <t>CANCELLED:  Agency has pending like items that can satisfy what is being asked in their justification.</t>
  </si>
  <si>
    <t>2YTEED60936938</t>
  </si>
  <si>
    <t>THE FULTON COUNTY SHERIFFS OFFICE IS REQUESTING THIS EXCAVATOR SO WE CA MAINTAIN AND BUILD OUR OUTDOOR SHOOTING RANGE AND TRAINING AREA</t>
  </si>
  <si>
    <t>2YTEED60936932</t>
  </si>
  <si>
    <t>2YTEC860583694</t>
  </si>
  <si>
    <t>SUCTION APPARATUS,O</t>
  </si>
  <si>
    <t>2YTEC860302198</t>
  </si>
  <si>
    <t>FOR USE BY OUR POLICE MEDICS TO HELP IN ASSESSING PATIENTS IN THE COMMUNITY AND THEIR PARTNERS.</t>
  </si>
  <si>
    <t>CUFF SET,SPHYGMOMAN</t>
  </si>
  <si>
    <t>2YTEC860029919</t>
  </si>
  <si>
    <t>STETHOSCOPE</t>
  </si>
  <si>
    <t>2YTEC860029918</t>
  </si>
  <si>
    <t>2YTEC860029856</t>
  </si>
  <si>
    <t>FOR USE BY OUR POLICE OFFICERS TO AID THEIR PARTNERS AND THE CITIZENS OF OUR COMMUNITY. OUR OFFICERS REGULARLY RECEIVE TRAINING ON THIS ITEM.</t>
  </si>
  <si>
    <t>2YTEC853609156</t>
  </si>
  <si>
    <t>2YTEBB60371716</t>
  </si>
  <si>
    <t>2YTEBB60371714</t>
  </si>
  <si>
    <t xml:space="preserve">WE HAVE BEEN TRYING TO UPDATE THE ITEMS IN OUR CRUISER TRUNKS. THESE TENTS WILL GO TOWARDS UPDATING THE TRUCKS AND HAVE MANY GREAT USES. OFFICERS WILL EACH BE ISSUED TO KEEP IN THEIR CRUISERS SO THAT THEY CAN BE USED TO HELP THE COMMUNITY TO SET UP AS A MOBILE PRIVACY AREA TO BE DEPLOYED FROM CRUISERS WHILE ROADSIDE, TO ASSIST THE HOMELESS, TO BE USED ON LARGE SCALE SCENES FOR FAMILY AS PRIVACY, DURING MARKSMAN TRAINING DAYS AS SHADE COVER AREAS, AND FOR SNIPER HIDES  
</t>
  </si>
  <si>
    <t>2YTD8U60795951</t>
  </si>
  <si>
    <t>FORT THOMAS POLICE DEPT (2YTD8U)</t>
  </si>
  <si>
    <t>THESE HATS WILL BE ISSUED TO SWAT OFFICERS AND RANGE OFFICERS  TO WEAR WHILE AT THE RANGE DURING TRAINING EXERCISES. THESE HATS ARE ESPECIALLY HELPFUL DURING SUMMER MONTHS WHEN BEING IN THE HOT SUN FOR LONG HOURS CAN BE DANGEROUS. THESE HATS WILL PROVIDE SHADE AND COOL TEMPERATURES.</t>
  </si>
  <si>
    <t>HAT,SUN</t>
  </si>
  <si>
    <t>2YTD8U60795950</t>
  </si>
  <si>
    <t>THESE MIDWEIGHT JACKETS ARE WINDPROOF AND WATER PROOF. DUE TO THE MATERIAL OF THESE JACKETS, THEY ARE ABLE TO BE PACKED VERY SMALL TO FIT INTO OFFICERS' DUTY BACKPACKS. THESE JACKETS ARE A HUGE IMPROVEMENT TO OFFICERS' CURRENT BULKY COATS. THESE CAN EASILY BE STORED AND DEPLOYED WHEN NEEDED, AS WELL AS VERY WARM FOR THE SIZE. LOOKING TO OUTFIT DESIGNATED MARKSMAN UNITS AND SWAT OFFICERS WITH INCLEMENT WEATHER CLOTHING.</t>
  </si>
  <si>
    <t>2YTD8U60795944</t>
  </si>
  <si>
    <t>2YTD8U60795943</t>
  </si>
  <si>
    <t xml:space="preserve">DUE TO INCLEMENT WEATHER, OFFICERS HAVE BEEN KEEPING BLANKETS IN THE CRUISERS TO ASSIST STANDARD MOTORISTS. THESE SLEEPING BAGS WOULD GREATLY ASSIST BY BEING ABLE TO HAVE MORE THAN ONE BLANKET PER CRUISER. 
</t>
  </si>
  <si>
    <t>2YTD8U60725960</t>
  </si>
  <si>
    <t>2YTD8U60725959</t>
  </si>
  <si>
    <t xml:space="preserve">OFFICERS WILL BE ASSIGNED THESE COATS TO SPECIAL UNITS SUCH AS DETECTIVES AND RECONSTRUCTION WHERE OFFICERS WILL BE OUTSIDE FOR LONG PERIODS OF TIME IN INCLEMENT WEATHER. THIS WEATHER RESISTANT INSULATED COAT IS BUILT TO WITHSTAND HARSH CONDITIONS TO KEEP OFFICERS DRY AND WARM FOR PROLONGED EXPOSURE TO THE ELEMENTS. 
THESE ARE THE OLDER STYLE WITH THE EXTRA THICK OUTER SHELL AND LINED HOOD. THESE ARE MUCH WARMER THAN ANY OTHER COAT THAT WE HAVE ACCESS TO. 
</t>
  </si>
  <si>
    <t>2YTD8U60725958</t>
  </si>
  <si>
    <t>2YTD8U60725957</t>
  </si>
  <si>
    <t xml:space="preserve">THESE BINOCULARS WILL BE ISSUED TO DESIGNATED MARKSMAN, AS THEY HAVE BETTER RANGE CAPACITY THAN THE SCOPES WE HAVE, AS WELL AS BETTER GLASS CLARITY. THESE ARE PERFECT BINOCULARS TO BE USED AS A CLOSE RANGE SPOTTING SCOPE, AS THEY COVER BOTH EYES FOR BETTER FIELD OF VIEW WHILE BEING SMALLER AND LIGHTER THAN A LARGE SPOTTING SCOPE. THESE ARE THE EXACT THING THAT OUR MARKSMEN TEAMS NEEDS FOR FIELD USE. 
</t>
  </si>
  <si>
    <t>2YTD8U60725956</t>
  </si>
  <si>
    <t>THESE PANTS ARE THE EXACT RANGE PANTS THAT OFFICERS USE. OFFICERS WILL BE ISSUED THESE PANTS TO USE FOR RANGE TRAINING, SWAT DAYS, DESIGNATED MARKSMAN TRAINING, AND CALL OUTS. THESE PANTS ALLOW FOR BUILT IN KNEE PADS SUITS TO PROTECT OFFICERS KNEES.</t>
  </si>
  <si>
    <t>2YTD8U60725955</t>
  </si>
  <si>
    <t>2YTD8U60725954</t>
  </si>
  <si>
    <t>THIS ASSAULT STYLE BAG WILL BE ISSUED TO SWAT OFFICERS SO THAT THEY CAN STORE THEIR HELMET AND NIGHT VISION WITH OTHER GEAR SUCH AS MAGAZINES, TRAUMA KIT, GLOVES AND SO ON. THIS BAG IS MEANT TO HOLD SUCH ITEMS AND HAS A SPECIFICALLY DESIGNED HELMET AREA.</t>
  </si>
  <si>
    <t>2YTD8U60725953</t>
  </si>
  <si>
    <t>2YTD8U60725952</t>
  </si>
  <si>
    <t>THIS WEATHER AND RAIN-RESISTANT INSULATED PARKA WILL BE ISSUED TO SWAT OFFICERS AND DESIGNATED MARKSMEN TO BE USED WHILE ON PATROL AND DURING CALL-OUTS. THEY ARE THIN ENOUGH TO MAINTAIN WARMTH AND ALSO REPEL INCLEMENT WEATHER, BUT CAN BE WORN UNDER A VEST. INCLEMENT WEATHER GEAR IS EXTREMELY IMPORTANT FOR THESE ROLES, BUT HAS NOT BEEN PROVIDED DUE TO COST.</t>
  </si>
  <si>
    <t>2YTD8U60725949</t>
  </si>
  <si>
    <t>2YTD8U60725948</t>
  </si>
  <si>
    <t>2YTD8U60725947</t>
  </si>
  <si>
    <t>2YTD8U60725946</t>
  </si>
  <si>
    <t>2YTD8U60725945</t>
  </si>
  <si>
    <t>2YTD8U60725942</t>
  </si>
  <si>
    <t>THESE BINOCULARS WILL BE ISSUED TO DESIGNATED MARKSMAN, AS THEY HAVE BETTER RANGE CAPACITY THAN THE SCOPES WE HAVE, AS WELL AS BETTER GLASS CLARITY. THESE ARE PERFECT BINOCULARS TO BE USED AS A CLOSE RANGE SPOTTING SCOPE, AS THEY COVER BOTH EYES FOR BETTER FIELD OF VIEW WHILE BEING SMALLER AND LIGHTER THAN A LARGE SPOTTING SCOPE. THESE ARE THE EXACT THING THAT OUR MARKSMEN TEAMS NEEDS FOR FIELD USE.</t>
  </si>
  <si>
    <t>2YTD8U60725941</t>
  </si>
  <si>
    <t>THE FLINT TOWNSHIP POLICE DEPARTMENT IS REQUESTING REFLEX SIGHTS FOR OUR PATROL RIFLES. WE PATROL A LARGE AREA THAT HAS MULTIPLE SCHOOLS, BUSINESSES, AND A SHOPPING DISTRICT. WE ARE REQUESTING THESE ITEMS SO WE CAN BE BETTER EQUIPPED TO RESPOND TO AN ACTIVE SHOOTER INCIDENT.  
SITE HAS BEEN EMAILED TO VERIFY CONDITION</t>
  </si>
  <si>
    <t>2YTD4K60302329</t>
  </si>
  <si>
    <t>USED BY LAW ENFORCEMENT OFFICERS TO EXTEND THE BASE STATION EMERGENCY RADIO TO OTHER AREAS OF THE POLICE DEPARTMENT SO OFFICERS CAN MONITOR THE EMERGENCY RADIO FROM ALL AREAS OF THE POLICE DEPARTMENT</t>
  </si>
  <si>
    <t>2YTD1X60443123</t>
  </si>
  <si>
    <t>officer count in FEPMIS is 3. Requsition with same NSN has already been approved at LESO HQ  level for 3ea.</t>
  </si>
  <si>
    <t>2YTD1D60301555</t>
  </si>
  <si>
    <t>2YTD1D60301554</t>
  </si>
  <si>
    <t>officer count in FEPMIS is 3. Three requsitions with same NSN has already been approved at LESO HQ level.</t>
  </si>
  <si>
    <t>2YTD1D60301405</t>
  </si>
  <si>
    <t>2YTD1D60301403</t>
  </si>
  <si>
    <t>2YTD1D60301400</t>
  </si>
  <si>
    <t>RESPECTFULLY REQUEST ONE SMALL ARMS ILLUMINATOR FOR USE BY THE FCSO PATROL DIVISION TO ENHANCE ISSUED PATROL RIFLES TO ENHANCE FUNCTIONALITY DURING LOW OR NO LIGHT LAW ENFORCEMENT OPERATIONS. CURRENTLY THE FCSO DOES NOT HAVE THIS CAPABILITY.</t>
  </si>
  <si>
    <t>2YTDYY60160729</t>
  </si>
  <si>
    <t>FAIRFIELD POLICE DEPARTMENT IS A LAW ENFORCEMENT AGENCY AND THIS ITEM WILL BE USED FOR LAW ENFORCEMENT PURPOSES ONLY.
OUR AGENCY WOULD USE THIS PRODUCT FOR AREAL SURVEILLANCE OF CRIME SCENES, EVENTS, AND FLEEING SUSPECTS. OUR AGENCY WILL ALSO USE THIS PRODUCT TO SURVEY PROPERTIES FOR ISSUANCE OF SEARCH WARRANTS AND PRODUCING PLANS OF ENTRY INTO BUILDINGS.</t>
  </si>
  <si>
    <t>The drone is not included/missing from each system.</t>
  </si>
  <si>
    <t>2YTTBM60796771</t>
  </si>
  <si>
    <t>FOR USE BY INDIVIDUAL FAIRFIELD COUNTY SHERIFF DEPUTIES FOR USE TO LIFT AND REPAIR VEHICLES AND EQUIPMENT THAT WAS OBTAINED FROM RTD</t>
  </si>
  <si>
    <t>Property is in GSA cycle</t>
  </si>
  <si>
    <t>2YTDXH60514101</t>
  </si>
  <si>
    <t>MRAP ENHANCES OFFICER AND CIVILIAN SAFETY DURING HIGH RISK INCIDENTS SUCH AS ACTIVE SHOOTERS, HOSTAGE SITUATIONS, BARRICADED SUSPECTS AND NATURAL DISASTERS. ITS ARMORED PROTECTION ALLOWS OFFICERS TO SAFELY RESCUE INJURED CIVILIANS, EVACUATE NEIGHBORHOODS, AND APPROACH DANGEROUS SCENES WHERE STANDARD PATROL VEHICLES OFFER NO PROTECTION. MRAP ALSO SUPPORTS REGIONAL MUTUAL AID RESPONSES AND CRITICAL INCIDENT MANAGEMENT.</t>
  </si>
  <si>
    <t>"H" condition. No approved packet on file. No data call conducted. TVS AN</t>
  </si>
  <si>
    <t>2YTDSS60725523</t>
  </si>
  <si>
    <t>EMMET COUNTY SHERIFF OFFICE (2YTDSS)</t>
  </si>
  <si>
    <t>THESE ARE NEED FOR OUR AGENCY SWAT TEAM. WE CURRENTLY HAVE NO NVG CAPABILITIES FOR NO LIGHT OPERATION. OUR TEAM IS COMPRISED OF 20 OPERATORS AND IS A CITY ONLY TEAM.</t>
  </si>
  <si>
    <t>2YTDSG60655348</t>
  </si>
  <si>
    <t>THIS ITEM IS BEING REQUESTED BY THE EATON POLICE DEPARTMENT TO BE USED BY OFFICERS FOR LAW ENFORCEMENT PURPOSES. THIS RANGE FINDER WILL BE USED TO PROTECT LIFE AND FOR TRAINING</t>
  </si>
  <si>
    <t>2YTDL961007773</t>
  </si>
  <si>
    <t>THIS ITEM IS BEING REQUESTED BY THE EATON POLICE DEPARTMENT TO BE USED BY OFFICERS FOR LAW ENFORCEMENT PURPOSES. THE REQUESTED DESK WILL BE UTILIZED BY OFFICERS FOR TRAINING NEEDS AND THE PROTECTION OF LIFE.</t>
  </si>
  <si>
    <t>2YTDL960584501</t>
  </si>
  <si>
    <t>THIS ITEM IS BEING REQUESTED BY THE EATON POLICE DEPARTMENT TO BE USED BY OFFICERS FOR LAW ENFORCEMENT PURPOSES. THE REQUESTED SIGHTS WILL BE UTILIZED BY OFFICERS FOR TRAINING NEEDS AND THE PROTECTION OF LIFE.</t>
  </si>
  <si>
    <t>2YTDL960514143</t>
  </si>
  <si>
    <t xml:space="preserve">USMS  WILL USE JACKET, WET WEATHER AS ISSUED EQUIPMENT TO DEPUTIES FOR USE DURING SPECIAL OPERATIONS IN RURAL AREAS OF THE COUNTY DURING INCLEMENT WEATHER EVENTS.
</t>
  </si>
  <si>
    <t>2YTPYU60655539</t>
  </si>
  <si>
    <t>2YTPYU60655538</t>
  </si>
  <si>
    <t>2YTPYU60655536</t>
  </si>
  <si>
    <t>USMS TROUSERS, WET WEATHER AS ISSUED EQUIPMENT TO DEPUTIES FOR USE DURING SPECIAL OPERATIONS IN RURAL AREAS</t>
  </si>
  <si>
    <t>2YTPYU60655535</t>
  </si>
  <si>
    <t>REQUESTED BY FBI NEWARK SWAT TEAM TO ENHANCE OFFICER ABILITY TO TRAIN AND CONDUCT ENFORCEMENT OPERATIONS IN COLD WEATHER.</t>
  </si>
  <si>
    <t>In GSA cycle. Can not approve</t>
  </si>
  <si>
    <t>2YTRW560443497</t>
  </si>
  <si>
    <t>CONTROL BOX REQUESTED FOR FBI CLEVELAND TASK FORCE AND NARCOTICS DIVISION SQUADS. ITEMS WOULD BE ISSUED TO ACTIVE LAW ENFORCEMENT TO UTILIZE WITH RADIOS ON MISSION AND ARREST OPERATIONS.</t>
  </si>
  <si>
    <t>ADAPTER,HEADSET-MICROPHONE</t>
  </si>
  <si>
    <t>2YTMRH60442879</t>
  </si>
  <si>
    <t>REQUEST FOR COLD WEATHER PARKA. ITEM WOULD BE ISSUED FOR THE WINTER. FBI CLEVELAND EXPERIENCES COLD WEATHER AND ADVERSE CONDITIONS. PARKA WOULD BE PROVIDED TO LAW ENFORCEMENT MEMBERS FOR OFFICIAL PURPOSES ONLY.</t>
  </si>
  <si>
    <t>2YTMRH60442876</t>
  </si>
  <si>
    <t>2YTMRH60442874</t>
  </si>
  <si>
    <t>2YTMRH60442873</t>
  </si>
  <si>
    <t>REQUEST FOR FBI CLEVELAND SWAT MEMBERS TO BE UTILIZED AS UNIFORMS. HIGH OPERATIONAL TEMPO AND WEEKLY TRAINING REQUIRES CONSTANT REPLACEMENT OF CRYE PRECISION UNIFORM, MULTICAM UNIFORMS. ITEMS WOULD BE ISSUED AND USED FOR LAW ENFORCEMENT PURPOSES ONLY</t>
  </si>
  <si>
    <t>2YTMRH60442872</t>
  </si>
  <si>
    <t>REQUEST FOR 20 BRACKETS TO ACCOMMODATE FBI CLEVELAND SWAT MEMBERS. ITEMS WOULD BE UTILIZED FOR TRAINING AND OFFICIAL MISSION SETS, WHICH INCLUDE HIGH RISK WARRANT SERVICE AND ARRESTS OF VIOLENT FEDERAL OFFENDERS</t>
  </si>
  <si>
    <t>2YTMRH60442870</t>
  </si>
  <si>
    <t>REQUEST FOR BRACKET TO ACCOMMODATE FBI CLEVELAND SWAT MEMBERS. ITEMS WOULD BE ISSUED ONLY TO ACTIVE MEMBERS AND FOR LAW ENFORCEMENT PURPOSE ONLY. MISSIONS INCLUDE HIGH RISK WARRANT SERVICE AND ARREST OF VIOLENT FEDERAL OFFENDERS</t>
  </si>
  <si>
    <t>2YTMRH60442866</t>
  </si>
  <si>
    <t>REQUEST FOR FBI SWAT DRONE PILOTS AND UAS OPERATORS. ITEM WOULD BE ISSUED TO ACTIVE MEMBERS.</t>
  </si>
  <si>
    <t>2YTMRH60372279</t>
  </si>
  <si>
    <t>REQUEST FOR FBI CLEVELAND ELECTRONIC TECHNICIANS AND SUPPORT MEMBERS. ISSUED DUFFEL BAGS WOULD PERMIT USER TO CARRY VARIOUS ITEMS FOR MISSIONS AND TRAVEL. FOR LAW ENFORCEMENT SUPPORT STAFF ONLY.</t>
  </si>
  <si>
    <t>2YTMRH60372278</t>
  </si>
  <si>
    <t>RUCK SACK REQUEST FOR FBI CLEVELAND SNIPER TEAM. RUCK SACK WOULD BE A PART OF OFFICIAL UNIFORM, TO BE USED IN OPERATION AND TRAINING PURPOSES. FBI SNIPER TEAM TRAIN IN RURAL ENVIRONMENTS, URBAN, METROPOLITAN, AND VARIOUS TERRAIN WHERE A RUCKSACK WOULD ASSIST IN FUNCTION AND MISSION OPERATIONS. ITEMS WOULD ONLY BE USED FOR LE PURPOSE AND PROVIDED TO ACTIVE MEMBERS.</t>
  </si>
  <si>
    <t>2YTMRH60372273</t>
  </si>
  <si>
    <t>REQUEST FOR FBI CLEVELAND FOR CRISIS NEGOTIATORS. ITEMS WOULD BE USED IN COLD WEATHER MISSIONS. TEAM MEMBERS RESPOND TO VARIOUS CALL OUTS IN ADVERSE WEATHER CONDITIONS. ITEMS WOULD BE ISSUED TO LE FOR LE PURPOSE ONLY</t>
  </si>
  <si>
    <t>2YTMRH60372272</t>
  </si>
  <si>
    <t>SNOW PARKA REQUEST TO BE ISSUED TO FBI CLEVELAND SNIPER TEAM FOR RURAL TRAINING AND REAL-TIME OPERATIONS. ITEM WOULD BE FOR LAW ENFORCEMENT PURPOSES AND ISSUED ONLY TO ACTIVE MEMBERS. THE PARKA WOULD BE USEFUL FOR COMFORT AND WARMTH WHILE TRAVERSING AND EXTREME CONDITIONS.</t>
  </si>
  <si>
    <t>PARKA,SNOW CAMOUFLA</t>
  </si>
  <si>
    <t>2YTMRH60160535</t>
  </si>
  <si>
    <t>MITTEN SET WOULD BE ISSUED TO FBI CLEVELAND AGENT FOR USE DURING WINTER SEASONS AND OPERATIONS IN ADVERSE WEATHER. ITEM WOULD BE ESSENTIAL AND ISSUED TO ACTIVE MEMBERS INVOLVED IN FEDERAL INVESTIGATIONS.</t>
  </si>
  <si>
    <t>2YTMRH60160534</t>
  </si>
  <si>
    <t>EXTREME MITTENS WOULD BE ISSUED TO FBI CLEVELAND MEMBERS. DUE TO COLD WEATHER CONDITIONS IN NORTHERN OHIO, A PAIR OF MITTENS WOULD BE USEFUL DURING THE WINTER FOR VARIOUS OPERATIONS SET. GLOVES WOULD BE ISSUED TO ACTIVE MEMBERS.</t>
  </si>
  <si>
    <t>2YTMRH60160531</t>
  </si>
  <si>
    <t>FLASHLIGHTS TO BE ISSUED TO FBI CLEVELAND AGENTS FOR USE DURING DAILY OPERATIONS AND INVESTIGATION OF CRIMINAL ACTIVITY. ITEMS WOULD BE ISSUED TO ACTIVE MEMBERS AND FOR LAW ENFORCEMENT PURPOSES ONLY</t>
  </si>
  <si>
    <t>2YTMRH60160529</t>
  </si>
  <si>
    <t>REQUEST FOR DUFFEL BAGS TO HOUSE EQUIPMENT FOR FBI AGENTS IN CLEVELAND. ITEMS WOULD BE ISSUED TO ACTIVE MEMBERS TO USE TO STORE MISCELLANEOUS GEAR AND EQUIPMENT TO BETTER SUPPORT MISSIONS AND OPERATIONS.</t>
  </si>
  <si>
    <t>2YTMRH60160524</t>
  </si>
  <si>
    <t>REQUEST FOR A PAIR OF MITTENS TO BE UTILIZED BY FBI CLEVELAND AGENTS FOR MISSIONS TO INCLUDE ARREST AND, OR SEARCH WARRANTS WITH FEDERAL VIOLATIONS. ITEMS WOULD BE FOR LAW ENFORCEMENT ACTIVITY AND ISSUED ONLY TO ACTIVE MEMBERS</t>
  </si>
  <si>
    <t>2YTMRH60160521</t>
  </si>
  <si>
    <t>REQUEST FOR 2 PAIRS OF MITTENS TO BE UTILIZED BY FBI CLEVELAND AGENTS FOR MISSIONS TO INCLUDE ARREST AND, OR SEARCH WARRANTS WITH FEDERAL VIOLATIONS. ITEMS WOULD BE FOR LAW ENFORCEMENT ACTIVITY AND ISSUED ONLY TO ACTIVE MEMBERS</t>
  </si>
  <si>
    <t>2YTMRH60160520</t>
  </si>
  <si>
    <t>REQUEST FOR FBI SNIPER TEAM, FOR RURAL OPERATIONS, EXFIL AND INFIL. ITEMS WOULD BE ISSUED TO ACTIVE MEMBERS. OFFICIAL UNIFORM IS MULTICAM AND OCP. RUCKSACK WOULD CARRY ESSENTIAL EQUIPMENT FOR RURAL OPERATIONS</t>
  </si>
  <si>
    <t>2YTMRH60090537</t>
  </si>
  <si>
    <t>THIS EQUIPMENT IS NEEDED FOR OPERATIONAL USE IN CONJUNCTION WITH NIGHT VISION APPARATUS'S DURING THE APPREHENSION OF HIGH VALUE TARGET. LEA TO CONFIRM AND ACCEPTE CONDITION OF DEVICE</t>
  </si>
  <si>
    <t>2YTRTP60090581</t>
  </si>
  <si>
    <t>FOR USE WITH OUR FEDERAL LE SPECIAL RESPONSE TEAM IN NIGHT OPERATIONS CONDUCTING BORDER SECURITY</t>
  </si>
  <si>
    <t>2YTRGK60442781</t>
  </si>
  <si>
    <t>2YTRGK60442780</t>
  </si>
  <si>
    <t>2YTRGK60302253</t>
  </si>
  <si>
    <t>2YTRGK60302252</t>
  </si>
  <si>
    <t>COUPLING HALF,QUICK</t>
  </si>
  <si>
    <t>2YTRGK60229969</t>
  </si>
  <si>
    <t>INDIVIDUAL EQUIPMEN</t>
  </si>
  <si>
    <t>2YTRGK60220276</t>
  </si>
  <si>
    <t>THE DELAVAN POLICE DEPARTMENT IS REQUESTING NIGHT VISION IMAGING DEVICE TO SUPPORT PATROL AND OPERATIONAL FUNCTIONS. THE NIGHT VISION WILL BE USED DURING SEARCHES FOR MISSING PERSONS, SUSPECT DETECTION, PERIMETER SECURITY, AND LOW-VISIBILITY INCIDENTS TO ENHANCE SITUATIONAL AWARENESS AND OFFICER SAFETY. THIS EQUIPMENT ALLOWS DETECTION WITHOUT DIRECT CONTACT AND WILL BE INVENTORIED AND USED SOLELY FOR LAW ENFORCEMENT PURPOSES.</t>
  </si>
  <si>
    <t>2YTC8P60654394</t>
  </si>
  <si>
    <t>2YTC8P60654393</t>
  </si>
  <si>
    <t>2YTC8P60654392</t>
  </si>
  <si>
    <t>2YTC8P60654391</t>
  </si>
  <si>
    <t>THIS ITEM IS BEING REQUESTED FOR LAW ENFORCEMENT ONLY. POLICE OFFICERS WILL UTILIZE FILING CABINETS TO STORE IMPORTANT POLICE RELATED DOCUMENTS</t>
  </si>
  <si>
    <t>2YTC6Y60302488</t>
  </si>
  <si>
    <t>2YTC6Y60302484</t>
  </si>
  <si>
    <t>CCSO, WOULD REQUEST THESE ICE CHEST FOR THE NORMAL REASONS OF HAVING ICE AND COLD DRINKS AVAILABLE DURING LONG DAYS ON THE RANGE.
THANK YOU</t>
  </si>
  <si>
    <t>CHEST,ICE STORAGE</t>
  </si>
  <si>
    <t>2YTC2B60655555</t>
  </si>
  <si>
    <t>CCSO, WOULD REQUEST THESE NIGHT VISION MONOCULARS  FOR USE BY OUR DEPUTIES TO USE DURING LOW LIGHT ENCOUNTERS,
THANK YOU</t>
  </si>
  <si>
    <t>2YTC2B60513461</t>
  </si>
  <si>
    <t>CCSO, WOULD REQUEST THESE NIGHT VISION DEVICES FOR OUR OFFICE TO BE USED BY OUR DEPUTIES DURING LOW LIGHT OPERATIONS WHILE ENGAGED IB LAW ENFORCEMENT DUTIES.
THANK YOU</t>
  </si>
  <si>
    <t>2YTC2B60513320</t>
  </si>
  <si>
    <t>CCSO, WOULD REQUEST THIS ROPE FOR USE BY OUR OFFICE AS IT MAY SEEM NECESSARY DURING DAILY OPERATIONS.
THANK YOU</t>
  </si>
  <si>
    <t>RL</t>
  </si>
  <si>
    <t>2YTC2B60443462</t>
  </si>
  <si>
    <t>2YTC2B60303953</t>
  </si>
  <si>
    <t>CCSO, WOULD REQUEST THIS SNOW BLOWER FOR USE BY OUR OFFICE PERSONAL FOR THE PURPOSE OF CLEANING WALKWAYS AND PARKING AREAS TO IMPROVE TRACTION AND REDUCE FALLING.
THANK YOU</t>
  </si>
  <si>
    <t>This item has moved into the unapproved General Services Administration (GSA) cycle and cannot be approved to LESO customers</t>
  </si>
  <si>
    <t>SNOW BLOWER</t>
  </si>
  <si>
    <t>DSNOWBLOW</t>
  </si>
  <si>
    <t>2YTC2B60161124</t>
  </si>
  <si>
    <t>2YTC2B60161122</t>
  </si>
  <si>
    <t>CCSO, WOULD REQUEST THESE CLOTHING ITEMS FOR OUR PERSONAL TO ALLOW DEPUTIES TO OPERATE IN INCLEMENT WEATHER CONDITIONS STAYING DRY AND WARM.
THANK YOU</t>
  </si>
  <si>
    <t>RECEIPTS-LEA has overdue receipts.
TRANSFER-LEA has overdue pending transfer.</t>
  </si>
  <si>
    <t>2YTC2B60160724</t>
  </si>
  <si>
    <t>Receipts, LEA has overdue receipts.
Transfers, LEA has overdue pending transfer.</t>
  </si>
  <si>
    <t>2YTC2B60160723</t>
  </si>
  <si>
    <t>2YTC2B60160722</t>
  </si>
  <si>
    <t>2YTC2B60160720</t>
  </si>
  <si>
    <t>2YTC2B60160719</t>
  </si>
  <si>
    <t>2YTC2B60160718</t>
  </si>
  <si>
    <t>2YTC2B60160717</t>
  </si>
  <si>
    <t>2YTC2B60160716</t>
  </si>
  <si>
    <t>2YTC2B60160715</t>
  </si>
  <si>
    <t>2YTC2B60160714</t>
  </si>
  <si>
    <t>2YTC2B60160713</t>
  </si>
  <si>
    <t>2YTC2B60160711</t>
  </si>
  <si>
    <t>CCSO, WOULD REQUEST THESE TROUSERS FOR OUR PERSONAL TO ALLOW DEPUTIES TO OPERATE IN INCLEMENT WEATHER CONDITIONS STAYING DRY AND WARM.
THANK YOU</t>
  </si>
  <si>
    <t>2YTC2B60160708</t>
  </si>
  <si>
    <t>2YTC2B60160707</t>
  </si>
  <si>
    <t>2YTC2B60160706</t>
  </si>
  <si>
    <t>CCSO, WOULD REQUEST THIS SET FOR THE PURPOSE OF COMPLETING OUR GENERATOR THAT WE HAVE RECEIVED IN THE PAST MAKE A COMPLETE SET.
THANK YOU</t>
  </si>
  <si>
    <t>RECEIPTS LEA has overdue receipts
TRANSFER LEA has overdue pending transfer</t>
  </si>
  <si>
    <t>KIT SERVICE 10KW</t>
  </si>
  <si>
    <t>2YTC2B60160702</t>
  </si>
  <si>
    <t>CCSO, WOULD REQUEST THIS WASHER FOR THE MAINTENANCE OF OUR VEHICLES AND OUTDOOR EQUIPMENT,
THANK YOU</t>
  </si>
  <si>
    <t>2YTC2B60160699</t>
  </si>
  <si>
    <t>CCSO, WOULD REQUEST THIS WASHER FOR THE MAINTENANCE OF OUR VEHICLES AND OUTDOOR EQUIPMENT.
THANK YOU</t>
  </si>
  <si>
    <t>2YTC2B60160698</t>
  </si>
  <si>
    <t>CCSO, WOULD REQUEST THIS SNOW BLOWER FOR THE PURPOSE OF CLEARING OUR PARKING LOTS, THIS ITEM WOULD BE USED BY OUR OFFICE PERSONAL DURING THE WINTER MONTHS.
THANK YOU</t>
  </si>
  <si>
    <t>2YTC2B60160457</t>
  </si>
  <si>
    <t>CCSO, WOULD REQUEST THESE ADAPTERS FOR USE IN OUR OFFICE FOR THE DISTRIBUTION OF POWER TO OFFICE EQUIPMENT.
THANK YOU</t>
  </si>
  <si>
    <t>Receipts LEA has overdue receipts
Transfers LEA has overdue pending transfer</t>
  </si>
  <si>
    <t>POWER ADAPTERS</t>
  </si>
  <si>
    <t>DSADAPTE2</t>
  </si>
  <si>
    <t>2YTC2B60090725</t>
  </si>
  <si>
    <t>THE COLUMBUS POLICE DEPARTMENT WILL USE THESE UTV'S TO RESPOND TO AREAS OF NATURAL DISASTERS AND ASSIST IN SEARCH AND RESCUE IN RURAL AREAS. PRIOR UTV'S HAVE HAD ENGINE OR SUSPENSION ISSUES.</t>
  </si>
  <si>
    <t>CANCELLED - Item has already been approved for another agency.</t>
  </si>
  <si>
    <t>2YTCPL60936965</t>
  </si>
  <si>
    <t>THE COLUMBUS POLICE DEPARTMENT WILL USE THESE KITS TO TRAIN OFFICERS FOR ACTIVE THREAT CALLS FOR SERVICE, USING FORCE ON FORCE SCENARIO TRAINING.</t>
  </si>
  <si>
    <t>LEA has over due pending receipts over 30 days. Resubmit after property is receipted for.</t>
  </si>
  <si>
    <t>2YTCPL60583530</t>
  </si>
  <si>
    <t>THIS VEHICLE WILL BE USED FOR LAW ENFORCEMENT PURPOSES ONLY BY THE CHIDESTER POLICE DEPARTMENT. VEHICLE WILL BE USED DURING TIMES OF INCLEMENT WEATHER AND FOR AREAS THAT A HARD TO ACCESS.</t>
  </si>
  <si>
    <t>LEA over allocated with requisition. TVS AN</t>
  </si>
  <si>
    <t>2YTCCF60372852</t>
  </si>
  <si>
    <t>CHIDESTER POLICE DEPT (2YTCCF)</t>
  </si>
  <si>
    <t>CHICAGO POLICE SWAT WILL USE THIS EQUIPMENT FOR TRAINING AND FOR REAL WORLD EVENTS.</t>
  </si>
  <si>
    <t>2YTCB460866837</t>
  </si>
  <si>
    <t>FOR USE ON LOW LIGHT POLICE OPERATIONS.</t>
  </si>
  <si>
    <t>2YTB4X60231206</t>
  </si>
  <si>
    <t>USEFUL ITEMS FOR ROPE RESCUE</t>
  </si>
  <si>
    <t>CLIMBER'S EQUIPMENT</t>
  </si>
  <si>
    <t>2YTBQQ60726075</t>
  </si>
  <si>
    <t>THE BURNS POLICE DEPARTMENT REQUESTS TWO UNMANNED AIRCRAFT SYSTEMS TO ENHANCE OFFICER SAFETY, IMPROVE SEARCH AND RESCUE OPERATIONS, SUPPORT WILDFIRE AND DISASTER RESPONSE, AND ASSIST IN RURAL PATROL OVER LARGE GEOGRAPHIC AREAS. THESE SYSTEMS WILL PROVIDE CRITICAL AERIAL SITUATIONAL AWARENESS, REDUCING RISK TO PERSONNEL WHILE INCREASING OPERATIONAL EFFICIENCY IN HARNEY COUNTYS REMOTE AND UNDERSERVED REGIONS.</t>
  </si>
  <si>
    <t>2YTR7060796870</t>
  </si>
  <si>
    <t>THE BRISTOL POLICE DEPARTMENT WOULD USE THIS BACKHOE TO HELP WITH FIRING RANGE IMPROVEMENTS THAT WILL BE DONE BY POLICE PERSONNEL. THE BASE STATES IT RUNS AND IS OPERATIONAL.</t>
  </si>
  <si>
    <t>2YTBJQ60936978</t>
  </si>
  <si>
    <t>THIS TRUCK WILL BE USED BY SHERIFF'S OFFICE DEPUTIES FOR SEARCH AND RESCUE MISSIONS</t>
  </si>
  <si>
    <t>NSN on Data Plate does not match NSN listed in the Information. TVS TN</t>
  </si>
  <si>
    <t>2YTBDC60513244</t>
  </si>
  <si>
    <t xml:space="preserve">THESE DOORS WILL BE USED TO REPLACE WORN OUT DOORS ON DEPARTMENT MILITARY VEHICLES
</t>
  </si>
  <si>
    <t>2YTBDC60302461</t>
  </si>
  <si>
    <t>THESE DOORS WILL BE USED TO REPLACE WORN OUT DOORS ON SHERIFF'S OFFICE VEHICLES</t>
  </si>
  <si>
    <t>JUSTIFICATION: Justification does not meet manufacturers intended purpose. Please provide a justification that states these three requirements. We need to know that it will be used by the requested Law Enforcement Agency, used for a Law Enforcement purpose and be persuasive. Provide specific examples of how the item will be used.</t>
  </si>
  <si>
    <t>2YTBDC60301755</t>
  </si>
  <si>
    <t>THESE PANTS WILL BE ISSUED TO SHERIFF'S OFFICE SEARCH AND RESCUE FOR WET WEATHER OPERATIONS.</t>
  </si>
  <si>
    <t>2YTBDC60211760</t>
  </si>
  <si>
    <t>THESE PANTS WILL BE ISSUED TO SHERIFF'S OFFICE SEARCH AND RESCUE FOR COLD WEATHER OPERATIONS.</t>
  </si>
  <si>
    <t>2YTBDC60211759</t>
  </si>
  <si>
    <t>2YTBDC60211758</t>
  </si>
  <si>
    <t>THESE JACKETS WILL BE USED BY SHERIFF'S OFFICE SEARCH AND RESCUE FOR COLD WEATHER OPERATIONS.</t>
  </si>
  <si>
    <t>2YTBDC60211757</t>
  </si>
  <si>
    <t>THESE JACKETS WILL BE ISSUED TO SHERIFF'S OFFICE SEARCH AND RESCUE FOR WET WEATHER OPERATIONS</t>
  </si>
  <si>
    <t>2YTBDC60211756</t>
  </si>
  <si>
    <t>2YTA5D60230911</t>
  </si>
  <si>
    <t>THIS EQUIPMENT WOULD LOWER OFFICER SAFETY ISSUES DURING HIGH RISK SITUATIONS.  IT COULD HELP TO IDENTIFY OR COMMUNICATE WITH A SUSPECT IN SUCH CASES AS A BARRICADE OR HOSTAGE SITUATION WHERE PERSONNEL OR K9'S WOULD BE AN ALTERNATIVE.</t>
  </si>
  <si>
    <t>ROBOT,EOD</t>
  </si>
  <si>
    <t>2YTA1A60936748</t>
  </si>
  <si>
    <t>BEAVER COUNTY SHERIFF OFFICE (2YTA1A)</t>
  </si>
  <si>
    <t>THIS TRAILER WILL PROVIDE RESPITE CARE TO ASHLAND COUNTY FIRST RESPONDERS AND OTHER AGENCIES RESPONDING TO NATURAL DISASTERS AND EMERGENCIES WITHIN ASHLAND COUNTY AND OR SURROUNDING AREAS.</t>
  </si>
  <si>
    <t>2YTA0M60654327</t>
  </si>
  <si>
    <t>THE ASHE COUNTY SHERIFF'S OFFICE REQUEST THESE ITEMS FOR USE IN COUNTER-DRUG OPERATIONS. THESE SCOPES WOULD ALLOW OUR SWORN DEPUTIES ENHANCED AIMING CAPABILITY DURING WARRANT SERVICE ACTIVITY.</t>
  </si>
  <si>
    <t>2YTA0F60725093</t>
  </si>
  <si>
    <t>THIS EQUIPMENT WILL BE UTILIZED BY THE ANTHONY ,TEXAS POLICE DEPARTMENT FOR LAW ENFORCEMENT PURPOSE OF GRADING THE POLICE DEPARTMENT IMPOUND AND EVIDENCE LOT, AND WHEN IT FLOODS TO RESCUE DURING THE MONSOON SEASON.</t>
  </si>
  <si>
    <t>in gsa cycle</t>
  </si>
  <si>
    <t>EXCAVATOR,UTILITY,TRUCK MOUNTED</t>
  </si>
  <si>
    <t>2YTAK060342429</t>
  </si>
  <si>
    <t>THE ANGIER POLICE DEPARTMENT IS REQUESTING THIS UTILITY VEHICLE FOR THE UTILIZATION OF SEARCH AND RESCUE OF MISSING AND ENDANGERED PERSONS THAT MAY LEAD US OFF ROAD.</t>
  </si>
  <si>
    <t>2YTAJ160867517</t>
  </si>
  <si>
    <t>ANGIER PD (2YTAJ1)</t>
  </si>
  <si>
    <t>EYE PROTECTION FOR TEAM PROJECTS AND TRAINING</t>
  </si>
  <si>
    <t>GOGGLES,SAFETY</t>
  </si>
  <si>
    <t>2YTN5E60443366</t>
  </si>
  <si>
    <t>ALLEGHENY VALLEY REGIONAL POLICE DEPARTMENT WILL USE THE SIGHT FOR NIGHTTIME OPERATION.</t>
  </si>
  <si>
    <t>2YTRW360937673</t>
  </si>
  <si>
    <t>ALLEGHENY VALLEY REGIONAL PD (2YTRW3)</t>
  </si>
  <si>
    <t>THE ADAMSVILLE POLICE DEPARTMENT WILL UTILIZE THIS VEHICLE AS A PUBLIC EDUCATION TOOL AT COMMUNITY EVENTS AND PUBLIC SAFETY EVENTS PUT ON BY THE ADAMSVILLE POLICE DEPARTMENT THAT PRIORITIZE TRAFFIC SAFETY, FIRST RESPONDER SAFETY, AND RESPONDING TO MOTOR VEHICLE ACCIDENT DEMONSTRATIONS.</t>
  </si>
  <si>
    <t>CANCELLED: This item is a Fire Truck with Fire Fighting capabilities (i.e. pumps, tanks for putting out fires) and cannot be approved to LESO customers.</t>
  </si>
  <si>
    <t>2YTP7K60936972</t>
  </si>
  <si>
    <t>THE ADAMSVILLE POLICE DEPARTMENT WILL UTILIZE THIS VEHICLE AS AN UNDERCOVER OPERATIONS VEHICLE FOR OUR INVESTIGATIONS DEPARTMENT DURING ILLEGAL NARCOTICS DISTRIBUTION CASES AND OTHER CRIMINAL CASES REQUIRING UNDERCOVER SURVEILLANCE</t>
  </si>
  <si>
    <t>2YTP7K60654292</t>
  </si>
  <si>
    <t>MEMBERS OF THE YONKERS POLICE DEPARTMENT WILL USE THESE SIGHTS ON DEPARTMENT ISSUES RIFLES TO HELP IMPROVE OUR SHOOTING CAPABILITIES</t>
  </si>
  <si>
    <t>2YTNZL61076065</t>
  </si>
  <si>
    <t>LEA</t>
  </si>
  <si>
    <t>2YTNZL60866300</t>
  </si>
  <si>
    <t>MEMBERS OF THE YONKERS POLICE DEPARTMENT WILL USE THESE FILTERS TO PROTECT THE OFFICERS AIRWAY DURING EMERGENCIES AND POSSIBLE VIRUS OUTBREAKS</t>
  </si>
  <si>
    <t>2YTNZL60655271</t>
  </si>
  <si>
    <t>MEMBERS OF THE YONKERS POLICE DEPARTMENT WILL USE THESE SUITS AT CRIME SCENE TO PREVENT CONTAMINATION OF THE SCENE.</t>
  </si>
  <si>
    <t>2YTNZL60655266</t>
  </si>
  <si>
    <t>MEMBERS OF THE YONKERS POLICE DEPARTMENT WILL USE THESE WEAPON LIGHTS ON THEIR DEPARTMENT ISSUED RIFLES TO HELP SEE DURING NIGHT TIME AND LOW LIGHT SITUATIONS</t>
  </si>
  <si>
    <t>2YTNZL60584646</t>
  </si>
  <si>
    <t>2YTNZL60372220</t>
  </si>
  <si>
    <t>THE WILKESBORO POLICE DEPARTMENT NEEDS THIS EQUIPMENT FOR COUNTER-DRUG AND COUNTER-TERRORISM OPERATIONS. I HAVE CONTACTED THE SITE AND ACCEPT THEM IN THEIR CURRENT CONDITION.</t>
  </si>
  <si>
    <t>2YTNPG60722791</t>
  </si>
  <si>
    <t>2YTNPG60722790</t>
  </si>
  <si>
    <t>2YTNPG60722789</t>
  </si>
  <si>
    <t>2YTNPG60722788</t>
  </si>
  <si>
    <t>THESE UNITS WILL ASSIST THE UNION COUNTY SHERIFF'S OFFICE WITH ASSISTING DEPUTIES WITH FIRST AID DURING AN EMERGENCY LIFE SAVING INCIDENT.</t>
  </si>
  <si>
    <t>2YTL5R60725429</t>
  </si>
  <si>
    <t>THIS ITEM WILL BE USED BY OFFICERS ON THE DEPARTMENT. THE ITEM WILL BE USED FOR CHARGING BATTERIES ON OUR FLEET VEHICLES</t>
  </si>
  <si>
    <t>2YTLV360796863</t>
  </si>
  <si>
    <t>THIS ITEM WILL BE USED BY OFFICERS ON THE DEPARTMENT. IT WILL BE USED FOR SERVICING ITEMS ON THE DEPARTMENT.</t>
  </si>
  <si>
    <t>2YTLV360655158</t>
  </si>
  <si>
    <t>WILL BE USED BY DEPARTMENT OFFICERS IN EXTREME COLD WEATHER CONDITIONS ON PATROL AND SPECIAL DETAILS</t>
  </si>
  <si>
    <t>2YTLV360301889</t>
  </si>
  <si>
    <t>WILL BE USED BY OFFICERS TO HAUL GEAR TO AND FROM OPERATIONS.</t>
  </si>
  <si>
    <t>2YTLV360231891</t>
  </si>
  <si>
    <t>2YTLQT60322490</t>
  </si>
  <si>
    <t>PSP WILL USE THIS ITEM FOR RANGE MAINTENANCE AND WOODED TERRAIN SEARCHES FOR WANTED SUBJECTS.</t>
  </si>
  <si>
    <t>2YTJA960371928</t>
  </si>
  <si>
    <t>PSP WILL USE THESE FOR WOODED TERRAIN SEARCHED.</t>
  </si>
  <si>
    <t>2YTJA960301674</t>
  </si>
  <si>
    <t>THIS ITEM IS BEING REQUESTED BY THE SCREVEN COUNTY SHERIFFS OFFICE TO BE USED BY DEPUTIES FOR LAW ENFORCEMENT PURPOSES. THE TRAILER WILL BE USED BY DEPUTIES TO TRANSPORT BOATS AS NEEDED FOR MARITIME OPERATIONS.</t>
  </si>
  <si>
    <t>2YTKVK60160544</t>
  </si>
  <si>
    <t>RCSO NEEDS THIS EQUIPMENT TO ASSIST WITH DISASTER RELATED EMERGENCY RESPONSE AND PREPAREDNESS AS WELL AS FOR SEARCH AND RESCUE OPERATIONS.  THE AGENCY DOES NOT POSSESS SUCH EQUIPMENT AND THE ADDITION OF SUCH WOULD ENABLE THE AGENCY TO MAINTAIN A HIGH LEVEL OF READINESS.</t>
  </si>
  <si>
    <t>2YTJ7860654699</t>
  </si>
  <si>
    <t>WILL BE USED FOR TACTICAL OPERATIONS FOR SWAT TEAM SNIPER.</t>
  </si>
  <si>
    <t>2YTJ5960231129</t>
  </si>
  <si>
    <t>FOR THE PROSPECT POLICE DEPARTMENT TO USE TO TRANSPORT OFFICERS AND EQUIPMENT OFF THE ROAD.</t>
  </si>
  <si>
    <t>2YTJYC60937012</t>
  </si>
  <si>
    <t>2YTJYC60936967</t>
  </si>
  <si>
    <t>2YTJYC60936961</t>
  </si>
  <si>
    <t>2YTJYC60936959</t>
  </si>
  <si>
    <t>FOR THE PROSPECT POLICE DEPARTMENT TO USE TO TRANSPORT POLICE EQUIPMENT.</t>
  </si>
  <si>
    <t>2YTJYC60866112</t>
  </si>
  <si>
    <t>2YTJYC60866109</t>
  </si>
  <si>
    <t>FOR THE PROSPECT POLICE DEPARTMENT TO USE TO TRANSPORT EQUIPMENT FOR SPECIAL EVENTS OR EMERGENCIES.</t>
  </si>
  <si>
    <t>2YTJYC60654272</t>
  </si>
  <si>
    <t>FOR USE BY THIS LEA ONLY FOR POWERING OUR AC POWERED TETHERED DRONE.</t>
  </si>
  <si>
    <t>2YTJFH60584575</t>
  </si>
  <si>
    <t>2YTJFH60584574</t>
  </si>
  <si>
    <t>FOR USE BY THIS LEA ONLY FOR STORAGE OF RANGE QUALIFICATION MATERIALS, ALONG WITH MISCELLANEOUS LE EQUIPMENT.</t>
  </si>
  <si>
    <t>2YTJFH60584571</t>
  </si>
  <si>
    <t>OZARK COUNTY RESPECTFULLY REQUESTS A SKID STEER TO SUPPORT PUBLIC SAFETY AND EMERGENCY OPERATIONS. THIS EQUIPMENT WOULD BE USED FOR DEBRIS REMOVAL, ROAD CLEARING, FLOOD RESPONSE, AND MAINTAINING ACCESS TO CRITICAL AREAS DURING SEVERE WEATHER AND NATURAL DISASTERS. A SKID STEER WILL IMPROVE RESPONSE TIME, REDUCE LABOR DEMANDS, AND HELP RESTORE NORMAL OPERATIONS QUICKLY.</t>
  </si>
  <si>
    <t>2YT19C60020351</t>
  </si>
  <si>
    <t>THE VILLAGE OF OWEGO POLICE DEPARTMENT WOULD USE THIS PROPERTY TO SUPPLEMENT ITS CURRENT WEAPON PLATFORM. THESE ITEMS ARE USED IN EMERGENCY SITUATIONS AND SECURITY PURPOSES IN DISASTER MITIGATION</t>
  </si>
  <si>
    <t>2YT18K60372343</t>
  </si>
  <si>
    <t>THE VILLAGE OF OWEGO POLICE DEPARTMENT WOULD USE THIS PROPERTY TO HELP EQUIP ITS OFFICERS DURING EMERGENCY SITUATIONS AND IN DISASTER MITIGATION.</t>
  </si>
  <si>
    <t>2YT18K60160382</t>
  </si>
  <si>
    <t>THE OREGON COUNTY SHERIFF'S OFFICE WILL USE THE WELDING SHOP TO PERFORM REPAIRS AND MAINTENANCE ON PREVIOUSLY AWARDED EQUIPMENT AND VEHICLES TO PROMOTE THE LAW ENFORCEMENT MISSION OF OUR OFFICE.</t>
  </si>
  <si>
    <t>2YT15P60866691</t>
  </si>
  <si>
    <t>2YT15P60796878</t>
  </si>
  <si>
    <t>FOR THE USE BY THIS LAW ENFORCEMENT AGENCY, ORANGE POLICE ONLY. THE TARGET AIMING LASER WILL BE UTILIZED BY SPECIAL RESPONSE OPERATORS DURING NIGHT OPERATIONS IN EXECUTION OF SEARCH WARRANTS. IT ENHANCES SITUATIONAL AWARENESS BY PROVIDING VISIBILITY IN LOW- OR NO-LIGHT ENVIRONMENTS, ALLOWING CONTROLLED AND DELIBERATE TACTICAL RESPONSES WHILE PROMOTING OFFICER SAFETY. BASE PERSONNEL CONFIRMED THE OPTICS ARE REPAIRABLE, FUNCTIONAL, AND MEET OPERATIONAL STANDARDS..</t>
  </si>
  <si>
    <t>2YT15D61007724</t>
  </si>
  <si>
    <t>2YT15D61007722</t>
  </si>
  <si>
    <t>2YT12Q60443078</t>
  </si>
  <si>
    <t>THE OLEAN POLICE DEPARTMENT WILL THIS VEHICLE FOR OUR EMERGENCY RESPONSE TEAM FOR TRANSPORTATION PURPOSES.</t>
  </si>
  <si>
    <t>2YT12Q60160409</t>
  </si>
  <si>
    <t>THESE TREADMILLS WILL BE USED BY THE OLDHAM COUNTY POLICE DEPT TO OUTFIT A NEW FITNESS FACILITY. THE TREADMILLS WILL BE AN INTEGRAL PART OF THE FITNESS CENTER THAT WILL ALLOW OFFICERS TO IMPROVE THEIR HEALTH AND CONDITIONING WHICH WILL IN TURN HELP THEM BETTER SERVE OUR COMMUNITY.</t>
  </si>
  <si>
    <t>2YT12060937131</t>
  </si>
  <si>
    <t>THE NORMANDY POLICE DEPARTMENT WILL UTILIZE THESE RECONNAISSANCE CAMERAS FOR POLICE OFFICERS ASSIGNED TO PATROL DUTY FOR SEARCHING AND LOCATING DANGEROUS WANTED SUBJECTS THAT FLEE FROM APPREHENSION.</t>
  </si>
  <si>
    <t>2YT0M460442955</t>
  </si>
  <si>
    <t>FOR MISSOULA COUNTY EOD TEAM</t>
  </si>
  <si>
    <t>2YTHT860584784</t>
  </si>
  <si>
    <t>MISSOULA CTY SHERIFF DEPT (2YTHT8)</t>
  </si>
  <si>
    <t>TO PROVIDE A TRAILER FOR THE MIDVILLE POLICE DEPARTMENT THAT COULD BE UTILIZED AS A TRAFFIC COMMAND CENTER DURING CERTAIN TRAFFIC EVENTS, ALONG WITH CERTAIN DISASTERS.</t>
  </si>
  <si>
    <t>2YTHQD60795911</t>
  </si>
  <si>
    <t>TO PROVIDE LIFE SAVING SUPPLIES TO THE OFFICERS OF THE MAGNOLIA POLICE DEPARTMENT. THEY WOULD ONLY BE USED BY SWORN OFFICERS FOR OFFICIAL REASONS.</t>
  </si>
  <si>
    <t>2YTG6G60513319</t>
  </si>
  <si>
    <t>PIPE CABLE AND SONDE DETECTOR EQUIPMENT IS ESSENTIAL FOR THE SHERIFFS DEPARTMENT TO ACCURATELY LOCATE AND TRACE UNDERGROUND UTILITIES, CONDUIT, AND DRAINAGE LINES DURING FACILITY MAINTENANCE, CONSTRUCTION PROJECTS, AND EMERGENCY REPAIRS. THIS EQUIPMENT PREVENTS ACCIDENTAL DAMAGE TO INFRASTRUCTURE, REDUCES REPAIR COSTS, AND ENHANCES SAFETY FOR PERSONNEL AND THE PUBLIC.</t>
  </si>
  <si>
    <t>2YTG1760583725</t>
  </si>
  <si>
    <t>THESE ITEMS WOULD BE ISSUED TO LAW ENFORCEMENT OFFICERS WITH OUR DEPARTMENT SWAT TEAM. THESE ITEMS WOULD BE USED FOR LOW LIGHT, NO LIGHT OPERATIONS BY SWAT OFFICERS TO ENHANCE OPERATOR SAFETY AND MAKE THEM MORE EFFICIENT. OUR JURISDICTION IS HEAVILY WOODED. REQUIRING SWAT OFFICERS TO MANEUVER EXTENDED DISTANCES IN DARK WOODED AREAS IN ORDER REACH SAFE OPERATING LOCATIONS.  
THESE WOULD REPLACE NIGHT VISION KITS WE CURRENTLY POSSESS THROUGH LESO.</t>
  </si>
  <si>
    <t>2YTFXU60230961</t>
  </si>
  <si>
    <t>ITASCA COUNTY SHERIFF'S OFFICE SWAT TEAM MEMBERS WOULD USE THOSE FOR LAW ENFORCEMENT ACTIVITIES IN NORTHERN MN WINTERS, WITH PREFERENCE FOR COUNTER DRUG AND COUNTER TERRORISM, DISASTER RELATED EMERGENCY PREPAREDNESS AND OR BORDER SECURITY ACTIVITIES.  ITASCA COUNTY ACKNOWLEDGES THERE CONDITION B, AND ACCEPTS ANY ASSOCIATED EXPENSES WITH REPAIR AND SHIPPING.</t>
  </si>
  <si>
    <t>2YTFTX60372823</t>
  </si>
  <si>
    <t>THE HUMPHREYS COUNTY SHERIFFS OFFICE IS REQUESTING THESE PORTABLE FLOODLIGHT SETS TO PROVIDE SCENE LIGHTING FOR LARGE SCALE INCIDENTS REQUIRING EXTENDED OR OVERNIGHT OPERATIONS. THESE UNITS WILL SUPPORT LAW ENFORCEMENT, EMERGENCY RESPONSE, AND INVESTIGATIVE ACTIVITIES BY IMPROVING VISIBILITY, SAFETY, AND EFFICIENCY DURING NIGHTTIME OR LOW LIGHT CONDITIONS, ENHANCING OPERATIONAL CAPABILITY AND PUBLIC SAFETY.</t>
  </si>
  <si>
    <t>2YTFMD61007715</t>
  </si>
  <si>
    <t>THE HUMPHREYS COUNTY SHERIFFS OFFICE IS REQUESTING THIS TRUCK TO SUPPORT AGENCY ROAD CREW AND OPERATIONAL SUPPORT FUNCTIONS. THE AGENCY HAS EXPERIENCED THE MECHANICAL FAILURE AND LOSS OF ONE VEHICLE, WHILE THE REMAINING UNIT IS NEARING FAILURE. THIS VEHICLE WILL REPLACE AND SUPPLEMENT THE CURRENT FLEET, ENSURING CONTINUITY OF OPERATIONS, TRANSPORTATION OF EQUIPMENT, AND SUPPORT FOR DAILY AND EMERGENCY RESPONSE ACTIVITIES.</t>
  </si>
  <si>
    <t>2YTFMD61007598</t>
  </si>
  <si>
    <t>2YTFMD60584355</t>
  </si>
  <si>
    <t>TO USE IN CONJUNCTION WITH NIGHT VISION DEVICES ON REGIONAL SWAT TEAM.</t>
  </si>
  <si>
    <t>2YTFK660724846</t>
  </si>
  <si>
    <t>HCSO IS A LAW ENFORCEMENT AGENCY. HCSO WILL USE THE REQUESTED 4X4 FIRE TRUCK AT THE TRAINING RANGE, WHERE LIVE-FIRE EXERCISES CAN CAUSE GRASS OR BRUSH FIRES, AND FOR FLOOD AND DISASTER RESPONSE. THE 4X4 CAPABILITY ALLOWS ACCESS TO REMOTE AND FLOODED AREAS, PROVIDING FIRE SUPPRESSION, RESCUE SUPPORT, AND EQUIPMENT TRANSPORT. THIS VEHICLE ENHANCES SAFETY, IMPROVES RESPONSE TIME, AND ENSURES HCSO CAN EFFECTIVELY OPERATE DURING EMERGENCIES.</t>
  </si>
  <si>
    <t>2YTFKX61007593</t>
  </si>
  <si>
    <t>2YTFKX60513340</t>
  </si>
  <si>
    <t>HICKMAN COUNTY IS A FEDERAL DECLEARED DISASTER AREA. THIS TRAILER WILL AID THE SHERIFF'S OFFICE TO MOVE HEAVY EQUIPMENT INTO DISASTER AREAS TO HELP WITH DEBRIS REMOVAL. TRAILER WILL BE REPAIRED.</t>
  </si>
  <si>
    <t>2YTFC260937413</t>
  </si>
  <si>
    <t>2YTEY460795821</t>
  </si>
  <si>
    <t>FOR USE BY THIS LEA ONLY. TO BE USED BY THE LEOS OF THIS AGENCY. THIS RANGE FINDER WILL BE UTILIZED DURING LAW ENFORCEMENT OPERATIONS, TRAINING, AND TACTICAL RESPONSE TO ENHANCE ACCURACY AND OPERATIONAL EFFECTIVENESS.</t>
  </si>
  <si>
    <t>2YTEY460725136</t>
  </si>
  <si>
    <t>OUR SWAT TEAM WOULD LIKE BOTH CONTAINERS TO BE PLACED AT THE FIRE ARMS AND EXPLOSIVE BREACHING TRAINING RANGE TO STORE EQUIPMENT. WE HAVE NO SECURE STORAGE AREAS CURRENTLY AND WOULD LIKE TO KEEP ITEMS OUT OF THE WEATHER DURING SNOW OR RAIN CONDITIONS SO IT DOESN'T GET DAMAGED OR ROT. THE CITY HAS A TRUCK AND TRAILER SO WE CAN PICKUP THESE CONTAINERS AND ARE ONLY 7 HRS FROM THE DRMO SITE.</t>
  </si>
  <si>
    <t>2YTES760866543</t>
  </si>
  <si>
    <t>2YTES760866542</t>
  </si>
  <si>
    <t>NIGHT VISION DEVICES ARE REQUESTED FROM LESO TO SUPPORT SWAT OPERATIONS IN LOW-LIGHT AND NIGHTTIME ENVIRONMENTS. THESE SYSTEMS PROVIDE THE ABILITY TO NAVIGATE, IDENTIFY THREATS, AND OPERATE WITHOUT VISIBLE LIGHT, ENHANCING OFFICER SAFETY AND TACTICAL EFFECTIVENESS. ISSUANCE WILL REDUCE RISK TO OFFICERS AND CIVILIANS, IMPROVE SITUATIONAL AWARENESS, AND SUPPORT SAFE EXECUTION OF HIGH-RISK WARRANTS, SEARCHES, AND CRITICAL INCIDENT RESPONSES.</t>
  </si>
  <si>
    <t>2YTEPE60867515</t>
  </si>
  <si>
    <t>THIS EQUIPMENT WILL BE UTILIZED FOR LAW ENFORCEMENT USE ONLY. LEOS AT THIS LEA WILL UTILIZE THE MOTOR VEHICLE FOR ROAD CLOSURES, RESPOND TO EMERGENCIES, AND ASSIST DURING ROAD CONSTRUCTION.</t>
  </si>
  <si>
    <t>2YTECD60795567</t>
  </si>
  <si>
    <t>THIS LAW ENFORCEMENT AGENCY WILL USE THE TOOL KIT FOR LAW ENFORCEMENT ONLY. DETECTIVES AND PATROL OFFICERS WILL UTILIZE THE TOOL KIT TO FIX DEPLOYED COVERT CAMERAS, PATROL VEHICLES, POLICE DEPARTMENT TRAILERS AND EQUIPMENT. THE TOOLS WOULD BE USED BY LAW ENFORCEMENT OFFICERS ONLY.</t>
  </si>
  <si>
    <t>2YTECD60514084</t>
  </si>
  <si>
    <t>SIGHTUNIT</t>
  </si>
  <si>
    <t>2YTQ7360301526</t>
  </si>
  <si>
    <t>2YTQ7360231020</t>
  </si>
  <si>
    <t>2YTQQS60725076</t>
  </si>
  <si>
    <t>2YTQQS60230971</t>
  </si>
  <si>
    <t>REQUIRED FOR SPECIAL RESPONSE TEAM OPERATIONS- MAGNIFICATION FOR OPTICS</t>
  </si>
  <si>
    <t>2YTMN860655214</t>
  </si>
  <si>
    <t>WILL BE USED FOR IN TOWN EMERGENCY SERVICES UNIT IN A 61 OFFICER DEPARTMENT.</t>
  </si>
  <si>
    <t>2YTCJB60654511</t>
  </si>
  <si>
    <t>2YTB6760654644</t>
  </si>
  <si>
    <t>FOR USE WITH NIGHT VISION SYSTEMS USED IN LOW LIGHT POLICE OPERATIONS. I HAVE REVIEWED THE CURRENT CONDITION AND ACCEPT THE ITEMS AS THEY ARE.</t>
  </si>
  <si>
    <t>2YTB4X60654492</t>
  </si>
  <si>
    <t>FOR USE ON SWAT TEAM SNIPER RIFLE FOR LOW LIGHT IDENTIFICATION OF SUBJECTS DURING OPERATIONS.</t>
  </si>
  <si>
    <t>2YTB4X60231051</t>
  </si>
  <si>
    <t>THIS WILL BE USED BY THE SHERIFF'S OFFICE TO PULL LARGE TRAILERS HAULING EMERGENCY EQUIPMENT DURING STORM AND EMERGENCY DISASTER SITUATIONS. WE WILL ALSO US THIS VEHICLE TO TRANSPORT EQUIPMENT RECEIVED THROUGH LESO.</t>
  </si>
  <si>
    <t>2YTA6K60725040</t>
  </si>
  <si>
    <t>THESE ITEMS WOULD BE UTILIZED BY THE BENTON COUNTY SHERIFF'S OFFICE SWORN DEPUTIES FOR THE PURPOSE PROMOTING PUBLIC SAFETY DURING NIGHT TIME OPERATIONS WHILE UTILIZING NIGHT VISION DEVISES.</t>
  </si>
  <si>
    <t>2YTQQY60442786</t>
  </si>
  <si>
    <t>2YTA1A60936749</t>
  </si>
  <si>
    <t>THE AUGUSTA POLICE DEPARTMENT WOULD USE THIS ATV TO PATROL AREA RECREATIONAL AND BICYCLE TRAILS THAT ARE INACCESSIBLE TO TRADITIONAL PATROL VEHICLES</t>
  </si>
  <si>
    <t>2YTRJ560866551</t>
  </si>
  <si>
    <t>THE AUGUSTA POLICE DEPARTMENT WOULD USE THIS ATV TO PATROL AREA RECREATIONAL TRAILS AND BICYCLE TRAILS THAT ARE NOT ACCESSIBLE TO TRADITIONAL PATROL VEHICLES.</t>
  </si>
  <si>
    <t>2YTRJ560796553</t>
  </si>
  <si>
    <t>ALPENA COUNTY SHERIFFS DEPARTMENT - THIS BOAT WOULD BE USED FOR MARINE PATROL DUTIES</t>
  </si>
  <si>
    <t>2YTAG361007736</t>
  </si>
  <si>
    <t>THE ADAMSVILLE POLICE DEPARTMENT WILL UTILIZE THIS VEHICLE DURING TIMES OF NATURAL DISASTER OR SIGNIFICANT WEATHER EVENTS TO MOVE AND REMOVE DEBRIS AND OTHER OBSTRUCTIONS SO THAT AREAS WITHIN OUR JURISDICTION THAT ARE IMPENETRABLE CAN BE ACCESSED</t>
  </si>
  <si>
    <t>2YTP7K60654541</t>
  </si>
  <si>
    <t>2YTP7K60654293</t>
  </si>
  <si>
    <t>REASON CANCELLED</t>
  </si>
  <si>
    <t>DATE LAST UPDATED</t>
  </si>
  <si>
    <t>DATE REQUESTED</t>
  </si>
  <si>
    <t>CANCELLED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</si>
</sst>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8"/>
      <color theme="1"/>
      <name val="Tahoma"/>
      <family val="2"/>
    </font>
    <font>
      <sz val="8"/>
      <name val="Tahoma"/>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0" fontId="18"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left" vertical="center"/>
    </xf>
    <xf numFmtId="14" fontId="18" fillId="0" borderId="0" xfId="0" applyNumberFormat="1" applyFont="1" applyAlignment="1">
      <alignment vertical="center"/>
    </xf>
    <xf numFmtId="0" fontId="19" fillId="0" borderId="0" xfId="0" applyFont="1" applyAlignment="1">
      <alignmen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A6752-8AA1-4610-ADD3-67B401AC2577}">
  <dimension ref="A1:K2021"/>
  <sheetViews>
    <sheetView tabSelected="1" workbookViewId="0">
      <selection activeCell="B1" sqref="B1"/>
    </sheetView>
  </sheetViews>
  <sheetFormatPr defaultRowHeight="10" x14ac:dyDescent="0.35"/>
  <cols>
    <col min="1" max="1" width="5.81640625" style="1" bestFit="1" customWidth="1"/>
    <col min="2" max="2" width="44.1796875" style="1" bestFit="1" customWidth="1"/>
    <col min="3" max="3" width="16.1796875" style="1" bestFit="1" customWidth="1"/>
    <col min="4" max="4" width="4.81640625" style="1" bestFit="1" customWidth="1"/>
    <col min="5" max="5" width="12.6328125" style="1" bestFit="1" customWidth="1"/>
    <col min="6" max="6" width="44.81640625" style="1" bestFit="1" customWidth="1"/>
    <col min="7" max="7" width="3.36328125" style="1" bestFit="1" customWidth="1"/>
    <col min="8" max="8" width="9.36328125" style="1" bestFit="1" customWidth="1"/>
    <col min="9" max="9" width="17.81640625" style="3" bestFit="1" customWidth="1"/>
    <col min="10" max="10" width="12.81640625" style="1" bestFit="1" customWidth="1"/>
    <col min="11" max="11" width="255.6328125" style="1" bestFit="1" customWidth="1"/>
    <col min="12" max="16384" width="8.7265625" style="1"/>
  </cols>
  <sheetData>
    <row r="1" spans="1:11" x14ac:dyDescent="0.35">
      <c r="A1" s="1" t="s">
        <v>0</v>
      </c>
      <c r="B1" s="1" t="s">
        <v>1</v>
      </c>
      <c r="C1" s="1" t="s">
        <v>2</v>
      </c>
      <c r="D1" s="1" t="s">
        <v>3</v>
      </c>
      <c r="E1" s="1" t="s">
        <v>4</v>
      </c>
      <c r="F1" s="1" t="s">
        <v>5</v>
      </c>
      <c r="G1" s="1" t="s">
        <v>6</v>
      </c>
      <c r="H1" s="1" t="s">
        <v>7</v>
      </c>
      <c r="I1" s="2" t="s">
        <v>8</v>
      </c>
      <c r="J1" s="1" t="s">
        <v>9</v>
      </c>
      <c r="K1" s="1" t="s">
        <v>10</v>
      </c>
    </row>
    <row r="2" spans="1:11" x14ac:dyDescent="0.35">
      <c r="A2" s="1" t="s">
        <v>11</v>
      </c>
      <c r="B2" s="1" t="s">
        <v>57</v>
      </c>
      <c r="C2" s="1" t="s">
        <v>58</v>
      </c>
      <c r="D2" s="1" t="str">
        <f>"3770"</f>
        <v>3770</v>
      </c>
      <c r="E2" s="1" t="str">
        <f>"016140683"</f>
        <v>016140683</v>
      </c>
      <c r="F2" s="1" t="s">
        <v>14</v>
      </c>
      <c r="G2" s="1" t="s">
        <v>15</v>
      </c>
      <c r="H2" s="1" t="str">
        <f>"8"</f>
        <v>8</v>
      </c>
      <c r="I2" s="3">
        <v>1878.96</v>
      </c>
      <c r="J2" s="4">
        <v>46036</v>
      </c>
      <c r="K2" s="1" t="s">
        <v>59</v>
      </c>
    </row>
    <row r="3" spans="1:11" x14ac:dyDescent="0.35">
      <c r="A3" s="1" t="s">
        <v>11</v>
      </c>
      <c r="B3" s="1" t="s">
        <v>12</v>
      </c>
      <c r="C3" s="1" t="s">
        <v>13</v>
      </c>
      <c r="D3" s="1" t="str">
        <f>"3770"</f>
        <v>3770</v>
      </c>
      <c r="E3" s="1" t="str">
        <f>"016140683"</f>
        <v>016140683</v>
      </c>
      <c r="F3" s="1" t="s">
        <v>14</v>
      </c>
      <c r="G3" s="1" t="s">
        <v>15</v>
      </c>
      <c r="H3" s="1" t="str">
        <f>"10"</f>
        <v>10</v>
      </c>
      <c r="I3" s="3">
        <v>1878.96</v>
      </c>
      <c r="J3" s="4">
        <v>46042</v>
      </c>
      <c r="K3" s="1" t="s">
        <v>16</v>
      </c>
    </row>
    <row r="4" spans="1:11" x14ac:dyDescent="0.35">
      <c r="A4" s="1" t="s">
        <v>11</v>
      </c>
      <c r="B4" s="1" t="s">
        <v>12</v>
      </c>
      <c r="C4" s="1" t="s">
        <v>51</v>
      </c>
      <c r="D4" s="1" t="str">
        <f>"8465"</f>
        <v>8465</v>
      </c>
      <c r="E4" s="1" t="str">
        <f>"016046541"</f>
        <v>016046541</v>
      </c>
      <c r="F4" s="1" t="s">
        <v>52</v>
      </c>
      <c r="G4" s="1" t="s">
        <v>15</v>
      </c>
      <c r="H4" s="1" t="str">
        <f>"17"</f>
        <v>17</v>
      </c>
      <c r="I4" s="3">
        <v>40.270000000000003</v>
      </c>
      <c r="J4" s="4">
        <v>46042</v>
      </c>
      <c r="K4" s="1" t="s">
        <v>53</v>
      </c>
    </row>
    <row r="5" spans="1:11" x14ac:dyDescent="0.35">
      <c r="A5" s="1" t="s">
        <v>11</v>
      </c>
      <c r="B5" s="1" t="s">
        <v>12</v>
      </c>
      <c r="C5" s="1" t="s">
        <v>54</v>
      </c>
      <c r="D5" s="1" t="str">
        <f>"8465"</f>
        <v>8465</v>
      </c>
      <c r="E5" s="1" t="str">
        <f>"013985428"</f>
        <v>013985428</v>
      </c>
      <c r="F5" s="1" t="s">
        <v>55</v>
      </c>
      <c r="G5" s="1" t="s">
        <v>15</v>
      </c>
      <c r="H5" s="1" t="str">
        <f>"42"</f>
        <v>42</v>
      </c>
      <c r="I5" s="3">
        <v>16.239999999999998</v>
      </c>
      <c r="J5" s="4">
        <v>46042</v>
      </c>
      <c r="K5" s="1" t="s">
        <v>56</v>
      </c>
    </row>
    <row r="6" spans="1:11" x14ac:dyDescent="0.35">
      <c r="A6" s="1" t="s">
        <v>11</v>
      </c>
      <c r="B6" s="1" t="s">
        <v>69</v>
      </c>
      <c r="C6" s="1" t="s">
        <v>70</v>
      </c>
      <c r="D6" s="1" t="str">
        <f>"1240"</f>
        <v>1240</v>
      </c>
      <c r="E6" s="1" t="str">
        <f>"014111265"</f>
        <v>014111265</v>
      </c>
      <c r="F6" s="1" t="s">
        <v>71</v>
      </c>
      <c r="G6" s="1" t="s">
        <v>15</v>
      </c>
      <c r="H6" s="1" t="str">
        <f>"9"</f>
        <v>9</v>
      </c>
      <c r="I6" s="3" t="str">
        <f>"339"</f>
        <v>339</v>
      </c>
      <c r="J6" s="4">
        <v>46045</v>
      </c>
      <c r="K6" s="1" t="s">
        <v>72</v>
      </c>
    </row>
    <row r="7" spans="1:11" x14ac:dyDescent="0.35">
      <c r="A7" s="1" t="s">
        <v>11</v>
      </c>
      <c r="B7" s="1" t="s">
        <v>57</v>
      </c>
      <c r="C7" s="1" t="s">
        <v>60</v>
      </c>
      <c r="D7" s="1" t="str">
        <f>"5970"</f>
        <v>5970</v>
      </c>
      <c r="E7" s="1" t="str">
        <f>"009559976"</f>
        <v>009559976</v>
      </c>
      <c r="F7" s="1" t="s">
        <v>61</v>
      </c>
      <c r="G7" s="1" t="s">
        <v>62</v>
      </c>
      <c r="H7" s="1" t="str">
        <f>"72"</f>
        <v>72</v>
      </c>
      <c r="I7" s="3">
        <v>9.9</v>
      </c>
      <c r="J7" s="4">
        <v>46064</v>
      </c>
      <c r="K7" s="1" t="s">
        <v>63</v>
      </c>
    </row>
    <row r="8" spans="1:11" x14ac:dyDescent="0.35">
      <c r="A8" s="1" t="s">
        <v>11</v>
      </c>
      <c r="B8" s="1" t="s">
        <v>57</v>
      </c>
      <c r="C8" s="1" t="s">
        <v>64</v>
      </c>
      <c r="D8" s="1" t="str">
        <f>"5970"</f>
        <v>5970</v>
      </c>
      <c r="E8" s="1" t="str">
        <f>"012581216"</f>
        <v>012581216</v>
      </c>
      <c r="F8" s="1" t="s">
        <v>65</v>
      </c>
      <c r="G8" s="1" t="s">
        <v>62</v>
      </c>
      <c r="H8" s="1" t="str">
        <f>"27"</f>
        <v>27</v>
      </c>
      <c r="I8" s="3">
        <v>31.73</v>
      </c>
      <c r="J8" s="4">
        <v>46064</v>
      </c>
      <c r="K8" s="1" t="s">
        <v>66</v>
      </c>
    </row>
    <row r="9" spans="1:11" x14ac:dyDescent="0.35">
      <c r="A9" s="1" t="s">
        <v>11</v>
      </c>
      <c r="B9" s="1" t="s">
        <v>57</v>
      </c>
      <c r="C9" s="1" t="s">
        <v>67</v>
      </c>
      <c r="D9" s="1" t="str">
        <f>"8465"</f>
        <v>8465</v>
      </c>
      <c r="E9" s="1" t="str">
        <f>"016046541"</f>
        <v>016046541</v>
      </c>
      <c r="F9" s="1" t="s">
        <v>52</v>
      </c>
      <c r="G9" s="1" t="s">
        <v>15</v>
      </c>
      <c r="H9" s="1" t="str">
        <f>"8"</f>
        <v>8</v>
      </c>
      <c r="I9" s="3">
        <v>40.270000000000003</v>
      </c>
      <c r="J9" s="4">
        <v>46064</v>
      </c>
      <c r="K9" s="1" t="s">
        <v>68</v>
      </c>
    </row>
    <row r="10" spans="1:11" x14ac:dyDescent="0.35">
      <c r="A10" s="1" t="s">
        <v>11</v>
      </c>
      <c r="B10" s="1" t="s">
        <v>12</v>
      </c>
      <c r="C10" s="1" t="s">
        <v>17</v>
      </c>
      <c r="D10" s="1" t="str">
        <f t="shared" ref="D10:D34" si="0">"8415"</f>
        <v>8415</v>
      </c>
      <c r="E10" s="1" t="str">
        <f>"015387764"</f>
        <v>015387764</v>
      </c>
      <c r="F10" s="1" t="s">
        <v>18</v>
      </c>
      <c r="G10" s="1" t="s">
        <v>15</v>
      </c>
      <c r="H10" s="1" t="str">
        <f t="shared" ref="H10:H15" si="1">"1"</f>
        <v>1</v>
      </c>
      <c r="I10" s="3">
        <v>111.26</v>
      </c>
      <c r="J10" s="4">
        <v>46085</v>
      </c>
      <c r="K10" s="1" t="s">
        <v>19</v>
      </c>
    </row>
    <row r="11" spans="1:11" x14ac:dyDescent="0.35">
      <c r="A11" s="1" t="s">
        <v>11</v>
      </c>
      <c r="B11" s="1" t="s">
        <v>12</v>
      </c>
      <c r="C11" s="1" t="s">
        <v>20</v>
      </c>
      <c r="D11" s="1" t="str">
        <f t="shared" si="0"/>
        <v>8415</v>
      </c>
      <c r="E11" s="1" t="str">
        <f>"015387761"</f>
        <v>015387761</v>
      </c>
      <c r="F11" s="1" t="s">
        <v>18</v>
      </c>
      <c r="G11" s="1" t="s">
        <v>15</v>
      </c>
      <c r="H11" s="1" t="str">
        <f t="shared" si="1"/>
        <v>1</v>
      </c>
      <c r="I11" s="3">
        <v>111.26</v>
      </c>
      <c r="J11" s="4">
        <v>46085</v>
      </c>
      <c r="K11" s="1" t="s">
        <v>19</v>
      </c>
    </row>
    <row r="12" spans="1:11" x14ac:dyDescent="0.35">
      <c r="A12" s="1" t="s">
        <v>11</v>
      </c>
      <c r="B12" s="1" t="s">
        <v>12</v>
      </c>
      <c r="C12" s="1" t="s">
        <v>21</v>
      </c>
      <c r="D12" s="1" t="str">
        <f t="shared" si="0"/>
        <v>8415</v>
      </c>
      <c r="E12" s="1" t="str">
        <f>"015386681"</f>
        <v>015386681</v>
      </c>
      <c r="F12" s="1" t="s">
        <v>22</v>
      </c>
      <c r="G12" s="1" t="s">
        <v>15</v>
      </c>
      <c r="H12" s="1" t="str">
        <f t="shared" si="1"/>
        <v>1</v>
      </c>
      <c r="I12" s="3">
        <v>93.46</v>
      </c>
      <c r="J12" s="4">
        <v>46085</v>
      </c>
      <c r="K12" s="1" t="s">
        <v>23</v>
      </c>
    </row>
    <row r="13" spans="1:11" x14ac:dyDescent="0.35">
      <c r="A13" s="1" t="s">
        <v>11</v>
      </c>
      <c r="B13" s="1" t="s">
        <v>12</v>
      </c>
      <c r="C13" s="1" t="s">
        <v>24</v>
      </c>
      <c r="D13" s="1" t="str">
        <f t="shared" si="0"/>
        <v>8415</v>
      </c>
      <c r="E13" s="1" t="str">
        <f>"015386683"</f>
        <v>015386683</v>
      </c>
      <c r="F13" s="1" t="s">
        <v>22</v>
      </c>
      <c r="G13" s="1" t="s">
        <v>15</v>
      </c>
      <c r="H13" s="1" t="str">
        <f t="shared" si="1"/>
        <v>1</v>
      </c>
      <c r="I13" s="3">
        <v>96.1</v>
      </c>
      <c r="J13" s="4">
        <v>46085</v>
      </c>
      <c r="K13" s="1" t="s">
        <v>23</v>
      </c>
    </row>
    <row r="14" spans="1:11" x14ac:dyDescent="0.35">
      <c r="A14" s="1" t="s">
        <v>11</v>
      </c>
      <c r="B14" s="1" t="s">
        <v>12</v>
      </c>
      <c r="C14" s="1" t="s">
        <v>25</v>
      </c>
      <c r="D14" s="1" t="str">
        <f t="shared" si="0"/>
        <v>8415</v>
      </c>
      <c r="E14" s="1" t="str">
        <f>"015386683"</f>
        <v>015386683</v>
      </c>
      <c r="F14" s="1" t="s">
        <v>22</v>
      </c>
      <c r="G14" s="1" t="s">
        <v>15</v>
      </c>
      <c r="H14" s="1" t="str">
        <f t="shared" si="1"/>
        <v>1</v>
      </c>
      <c r="I14" s="3">
        <v>96.1</v>
      </c>
      <c r="J14" s="4">
        <v>46085</v>
      </c>
      <c r="K14" s="1" t="s">
        <v>23</v>
      </c>
    </row>
    <row r="15" spans="1:11" x14ac:dyDescent="0.35">
      <c r="A15" s="1" t="s">
        <v>11</v>
      </c>
      <c r="B15" s="1" t="s">
        <v>12</v>
      </c>
      <c r="C15" s="1" t="s">
        <v>26</v>
      </c>
      <c r="D15" s="1" t="str">
        <f t="shared" si="0"/>
        <v>8415</v>
      </c>
      <c r="E15" s="1" t="str">
        <f>"015386679"</f>
        <v>015386679</v>
      </c>
      <c r="F15" s="1" t="s">
        <v>22</v>
      </c>
      <c r="G15" s="1" t="s">
        <v>15</v>
      </c>
      <c r="H15" s="1" t="str">
        <f t="shared" si="1"/>
        <v>1</v>
      </c>
      <c r="I15" s="3">
        <v>93.46</v>
      </c>
      <c r="J15" s="4">
        <v>46085</v>
      </c>
      <c r="K15" s="1" t="s">
        <v>23</v>
      </c>
    </row>
    <row r="16" spans="1:11" x14ac:dyDescent="0.35">
      <c r="A16" s="1" t="s">
        <v>11</v>
      </c>
      <c r="B16" s="1" t="s">
        <v>12</v>
      </c>
      <c r="C16" s="1" t="s">
        <v>27</v>
      </c>
      <c r="D16" s="1" t="str">
        <f t="shared" si="0"/>
        <v>8415</v>
      </c>
      <c r="E16" s="1" t="str">
        <f>"015387761"</f>
        <v>015387761</v>
      </c>
      <c r="F16" s="1" t="s">
        <v>18</v>
      </c>
      <c r="G16" s="1" t="s">
        <v>15</v>
      </c>
      <c r="H16" s="1" t="str">
        <f>"3"</f>
        <v>3</v>
      </c>
      <c r="I16" s="3">
        <v>111.26</v>
      </c>
      <c r="J16" s="4">
        <v>46085</v>
      </c>
      <c r="K16" s="1" t="s">
        <v>19</v>
      </c>
    </row>
    <row r="17" spans="1:11" x14ac:dyDescent="0.35">
      <c r="A17" s="1" t="s">
        <v>11</v>
      </c>
      <c r="B17" s="1" t="s">
        <v>12</v>
      </c>
      <c r="C17" s="1" t="s">
        <v>28</v>
      </c>
      <c r="D17" s="1" t="str">
        <f t="shared" si="0"/>
        <v>8415</v>
      </c>
      <c r="E17" s="1" t="str">
        <f>"015387012"</f>
        <v>015387012</v>
      </c>
      <c r="F17" s="1" t="s">
        <v>18</v>
      </c>
      <c r="G17" s="1" t="s">
        <v>15</v>
      </c>
      <c r="H17" s="1" t="str">
        <f>"3"</f>
        <v>3</v>
      </c>
      <c r="I17" s="3">
        <v>111.26</v>
      </c>
      <c r="J17" s="4">
        <v>46085</v>
      </c>
      <c r="K17" s="1" t="s">
        <v>19</v>
      </c>
    </row>
    <row r="18" spans="1:11" x14ac:dyDescent="0.35">
      <c r="A18" s="1" t="s">
        <v>11</v>
      </c>
      <c r="B18" s="1" t="s">
        <v>12</v>
      </c>
      <c r="C18" s="1" t="s">
        <v>29</v>
      </c>
      <c r="D18" s="1" t="str">
        <f t="shared" si="0"/>
        <v>8415</v>
      </c>
      <c r="E18" s="1" t="str">
        <f>"015387764"</f>
        <v>015387764</v>
      </c>
      <c r="F18" s="1" t="s">
        <v>18</v>
      </c>
      <c r="G18" s="1" t="s">
        <v>15</v>
      </c>
      <c r="H18" s="1" t="str">
        <f>"1"</f>
        <v>1</v>
      </c>
      <c r="I18" s="3">
        <v>111.26</v>
      </c>
      <c r="J18" s="4">
        <v>46085</v>
      </c>
      <c r="K18" s="1" t="s">
        <v>19</v>
      </c>
    </row>
    <row r="19" spans="1:11" x14ac:dyDescent="0.35">
      <c r="A19" s="1" t="s">
        <v>11</v>
      </c>
      <c r="B19" s="1" t="s">
        <v>12</v>
      </c>
      <c r="C19" s="1" t="s">
        <v>30</v>
      </c>
      <c r="D19" s="1" t="str">
        <f t="shared" si="0"/>
        <v>8415</v>
      </c>
      <c r="E19" s="1" t="str">
        <f>"015386677"</f>
        <v>015386677</v>
      </c>
      <c r="F19" s="1" t="s">
        <v>22</v>
      </c>
      <c r="G19" s="1" t="s">
        <v>15</v>
      </c>
      <c r="H19" s="1" t="str">
        <f>"2"</f>
        <v>2</v>
      </c>
      <c r="I19" s="3">
        <v>93.46</v>
      </c>
      <c r="J19" s="4">
        <v>46085</v>
      </c>
      <c r="K19" s="1" t="s">
        <v>23</v>
      </c>
    </row>
    <row r="20" spans="1:11" x14ac:dyDescent="0.35">
      <c r="A20" s="1" t="s">
        <v>11</v>
      </c>
      <c r="B20" s="1" t="s">
        <v>12</v>
      </c>
      <c r="C20" s="1" t="s">
        <v>31</v>
      </c>
      <c r="D20" s="1" t="str">
        <f t="shared" si="0"/>
        <v>8415</v>
      </c>
      <c r="E20" s="1" t="str">
        <f>"015387769"</f>
        <v>015387769</v>
      </c>
      <c r="F20" s="1" t="s">
        <v>18</v>
      </c>
      <c r="G20" s="1" t="s">
        <v>15</v>
      </c>
      <c r="H20" s="1" t="str">
        <f t="shared" ref="H20:H26" si="2">"1"</f>
        <v>1</v>
      </c>
      <c r="I20" s="3">
        <v>111.26</v>
      </c>
      <c r="J20" s="4">
        <v>46085</v>
      </c>
      <c r="K20" s="1" t="s">
        <v>19</v>
      </c>
    </row>
    <row r="21" spans="1:11" x14ac:dyDescent="0.35">
      <c r="A21" s="1" t="s">
        <v>11</v>
      </c>
      <c r="B21" s="1" t="s">
        <v>12</v>
      </c>
      <c r="C21" s="1" t="s">
        <v>32</v>
      </c>
      <c r="D21" s="1" t="str">
        <f t="shared" si="0"/>
        <v>8415</v>
      </c>
      <c r="E21" s="1" t="str">
        <f>"015387764"</f>
        <v>015387764</v>
      </c>
      <c r="F21" s="1" t="s">
        <v>18</v>
      </c>
      <c r="G21" s="1" t="s">
        <v>15</v>
      </c>
      <c r="H21" s="1" t="str">
        <f t="shared" si="2"/>
        <v>1</v>
      </c>
      <c r="I21" s="3">
        <v>111.26</v>
      </c>
      <c r="J21" s="4">
        <v>46085</v>
      </c>
      <c r="K21" s="1" t="s">
        <v>19</v>
      </c>
    </row>
    <row r="22" spans="1:11" x14ac:dyDescent="0.35">
      <c r="A22" s="1" t="s">
        <v>11</v>
      </c>
      <c r="B22" s="1" t="s">
        <v>12</v>
      </c>
      <c r="C22" s="1" t="s">
        <v>33</v>
      </c>
      <c r="D22" s="1" t="str">
        <f t="shared" si="0"/>
        <v>8415</v>
      </c>
      <c r="E22" s="1" t="str">
        <f>"015387761"</f>
        <v>015387761</v>
      </c>
      <c r="F22" s="1" t="s">
        <v>18</v>
      </c>
      <c r="G22" s="1" t="s">
        <v>15</v>
      </c>
      <c r="H22" s="1" t="str">
        <f t="shared" si="2"/>
        <v>1</v>
      </c>
      <c r="I22" s="3">
        <v>111.26</v>
      </c>
      <c r="J22" s="4">
        <v>46085</v>
      </c>
      <c r="K22" s="1" t="s">
        <v>19</v>
      </c>
    </row>
    <row r="23" spans="1:11" x14ac:dyDescent="0.35">
      <c r="A23" s="1" t="s">
        <v>11</v>
      </c>
      <c r="B23" s="1" t="s">
        <v>12</v>
      </c>
      <c r="C23" s="1" t="s">
        <v>34</v>
      </c>
      <c r="D23" s="1" t="str">
        <f t="shared" si="0"/>
        <v>8415</v>
      </c>
      <c r="E23" s="1" t="str">
        <f>"015386681"</f>
        <v>015386681</v>
      </c>
      <c r="F23" s="1" t="s">
        <v>22</v>
      </c>
      <c r="G23" s="1" t="s">
        <v>15</v>
      </c>
      <c r="H23" s="1" t="str">
        <f t="shared" si="2"/>
        <v>1</v>
      </c>
      <c r="I23" s="3">
        <v>93.46</v>
      </c>
      <c r="J23" s="4">
        <v>46085</v>
      </c>
      <c r="K23" s="1" t="s">
        <v>23</v>
      </c>
    </row>
    <row r="24" spans="1:11" x14ac:dyDescent="0.35">
      <c r="A24" s="1" t="s">
        <v>11</v>
      </c>
      <c r="B24" s="1" t="s">
        <v>12</v>
      </c>
      <c r="C24" s="1" t="s">
        <v>35</v>
      </c>
      <c r="D24" s="1" t="str">
        <f t="shared" si="0"/>
        <v>8415</v>
      </c>
      <c r="E24" s="1" t="str">
        <f>"015387764"</f>
        <v>015387764</v>
      </c>
      <c r="F24" s="1" t="s">
        <v>18</v>
      </c>
      <c r="G24" s="1" t="s">
        <v>15</v>
      </c>
      <c r="H24" s="1" t="str">
        <f t="shared" si="2"/>
        <v>1</v>
      </c>
      <c r="I24" s="3">
        <v>111.26</v>
      </c>
      <c r="J24" s="4">
        <v>46085</v>
      </c>
      <c r="K24" s="1" t="s">
        <v>19</v>
      </c>
    </row>
    <row r="25" spans="1:11" x14ac:dyDescent="0.35">
      <c r="A25" s="1" t="s">
        <v>11</v>
      </c>
      <c r="B25" s="1" t="s">
        <v>12</v>
      </c>
      <c r="C25" s="1" t="s">
        <v>36</v>
      </c>
      <c r="D25" s="1" t="str">
        <f t="shared" si="0"/>
        <v>8415</v>
      </c>
      <c r="E25" s="1" t="str">
        <f>"015387001"</f>
        <v>015387001</v>
      </c>
      <c r="F25" s="1" t="s">
        <v>18</v>
      </c>
      <c r="G25" s="1" t="s">
        <v>15</v>
      </c>
      <c r="H25" s="1" t="str">
        <f t="shared" si="2"/>
        <v>1</v>
      </c>
      <c r="I25" s="3">
        <v>111.26</v>
      </c>
      <c r="J25" s="4">
        <v>46085</v>
      </c>
      <c r="K25" s="1" t="s">
        <v>37</v>
      </c>
    </row>
    <row r="26" spans="1:11" x14ac:dyDescent="0.35">
      <c r="A26" s="1" t="s">
        <v>11</v>
      </c>
      <c r="B26" s="1" t="s">
        <v>12</v>
      </c>
      <c r="C26" s="1" t="s">
        <v>38</v>
      </c>
      <c r="D26" s="1" t="str">
        <f t="shared" si="0"/>
        <v>8415</v>
      </c>
      <c r="E26" s="1" t="str">
        <f>"015387012"</f>
        <v>015387012</v>
      </c>
      <c r="F26" s="1" t="s">
        <v>18</v>
      </c>
      <c r="G26" s="1" t="s">
        <v>15</v>
      </c>
      <c r="H26" s="1" t="str">
        <f t="shared" si="2"/>
        <v>1</v>
      </c>
      <c r="I26" s="3">
        <v>111.26</v>
      </c>
      <c r="J26" s="4">
        <v>46085</v>
      </c>
      <c r="K26" s="1" t="s">
        <v>19</v>
      </c>
    </row>
    <row r="27" spans="1:11" x14ac:dyDescent="0.35">
      <c r="A27" s="1" t="s">
        <v>11</v>
      </c>
      <c r="B27" s="1" t="s">
        <v>12</v>
      </c>
      <c r="C27" s="1" t="s">
        <v>39</v>
      </c>
      <c r="D27" s="1" t="str">
        <f t="shared" si="0"/>
        <v>8415</v>
      </c>
      <c r="E27" s="1" t="str">
        <f>"015386680"</f>
        <v>015386680</v>
      </c>
      <c r="F27" s="1" t="s">
        <v>22</v>
      </c>
      <c r="G27" s="1" t="s">
        <v>15</v>
      </c>
      <c r="H27" s="1" t="str">
        <f>"2"</f>
        <v>2</v>
      </c>
      <c r="I27" s="3">
        <v>93.46</v>
      </c>
      <c r="J27" s="4">
        <v>46085</v>
      </c>
      <c r="K27" s="1" t="s">
        <v>23</v>
      </c>
    </row>
    <row r="28" spans="1:11" x14ac:dyDescent="0.35">
      <c r="A28" s="1" t="s">
        <v>11</v>
      </c>
      <c r="B28" s="1" t="s">
        <v>12</v>
      </c>
      <c r="C28" s="1" t="s">
        <v>40</v>
      </c>
      <c r="D28" s="1" t="str">
        <f t="shared" si="0"/>
        <v>8415</v>
      </c>
      <c r="E28" s="1" t="str">
        <f>"015387012"</f>
        <v>015387012</v>
      </c>
      <c r="F28" s="1" t="s">
        <v>18</v>
      </c>
      <c r="G28" s="1" t="s">
        <v>15</v>
      </c>
      <c r="H28" s="1" t="str">
        <f>"4"</f>
        <v>4</v>
      </c>
      <c r="I28" s="3">
        <v>111.26</v>
      </c>
      <c r="J28" s="4">
        <v>46085</v>
      </c>
      <c r="K28" s="1" t="s">
        <v>19</v>
      </c>
    </row>
    <row r="29" spans="1:11" x14ac:dyDescent="0.35">
      <c r="A29" s="1" t="s">
        <v>11</v>
      </c>
      <c r="B29" s="1" t="s">
        <v>12</v>
      </c>
      <c r="C29" s="1" t="s">
        <v>41</v>
      </c>
      <c r="D29" s="1" t="str">
        <f t="shared" si="0"/>
        <v>8415</v>
      </c>
      <c r="E29" s="1" t="str">
        <f>"015274616"</f>
        <v>015274616</v>
      </c>
      <c r="F29" s="1" t="s">
        <v>42</v>
      </c>
      <c r="G29" s="1" t="s">
        <v>15</v>
      </c>
      <c r="H29" s="1" t="str">
        <f>"4"</f>
        <v>4</v>
      </c>
      <c r="I29" s="3" t="str">
        <f>"77"</f>
        <v>77</v>
      </c>
      <c r="J29" s="4">
        <v>46085</v>
      </c>
      <c r="K29" s="1" t="s">
        <v>43</v>
      </c>
    </row>
    <row r="30" spans="1:11" x14ac:dyDescent="0.35">
      <c r="A30" s="1" t="s">
        <v>11</v>
      </c>
      <c r="B30" s="1" t="s">
        <v>12</v>
      </c>
      <c r="C30" s="1" t="s">
        <v>44</v>
      </c>
      <c r="D30" s="1" t="str">
        <f t="shared" si="0"/>
        <v>8415</v>
      </c>
      <c r="E30" s="1" t="str">
        <f>"015274614"</f>
        <v>015274614</v>
      </c>
      <c r="F30" s="1" t="s">
        <v>42</v>
      </c>
      <c r="G30" s="1" t="s">
        <v>15</v>
      </c>
      <c r="H30" s="1" t="str">
        <f>"3"</f>
        <v>3</v>
      </c>
      <c r="I30" s="3" t="str">
        <f>"77"</f>
        <v>77</v>
      </c>
      <c r="J30" s="4">
        <v>46085</v>
      </c>
      <c r="K30" s="1" t="s">
        <v>43</v>
      </c>
    </row>
    <row r="31" spans="1:11" x14ac:dyDescent="0.35">
      <c r="A31" s="1" t="s">
        <v>11</v>
      </c>
      <c r="B31" s="1" t="s">
        <v>12</v>
      </c>
      <c r="C31" s="1" t="s">
        <v>45</v>
      </c>
      <c r="D31" s="1" t="str">
        <f t="shared" si="0"/>
        <v>8415</v>
      </c>
      <c r="E31" s="1" t="str">
        <f>"015386679"</f>
        <v>015386679</v>
      </c>
      <c r="F31" s="1" t="s">
        <v>22</v>
      </c>
      <c r="G31" s="1" t="s">
        <v>15</v>
      </c>
      <c r="H31" s="1" t="str">
        <f>"2"</f>
        <v>2</v>
      </c>
      <c r="I31" s="3">
        <v>93.46</v>
      </c>
      <c r="J31" s="4">
        <v>46085</v>
      </c>
      <c r="K31" s="1" t="s">
        <v>23</v>
      </c>
    </row>
    <row r="32" spans="1:11" x14ac:dyDescent="0.35">
      <c r="A32" s="1" t="s">
        <v>11</v>
      </c>
      <c r="B32" s="1" t="s">
        <v>12</v>
      </c>
      <c r="C32" s="1" t="s">
        <v>46</v>
      </c>
      <c r="D32" s="1" t="str">
        <f t="shared" si="0"/>
        <v>8415</v>
      </c>
      <c r="E32" s="1" t="str">
        <f>"015271555"</f>
        <v>015271555</v>
      </c>
      <c r="F32" s="1" t="s">
        <v>22</v>
      </c>
      <c r="G32" s="1" t="s">
        <v>47</v>
      </c>
      <c r="H32" s="1" t="str">
        <f>"3"</f>
        <v>3</v>
      </c>
      <c r="I32" s="3">
        <v>54.06</v>
      </c>
      <c r="J32" s="4">
        <v>46085</v>
      </c>
      <c r="K32" s="1" t="s">
        <v>23</v>
      </c>
    </row>
    <row r="33" spans="1:11" x14ac:dyDescent="0.35">
      <c r="A33" s="1" t="s">
        <v>11</v>
      </c>
      <c r="B33" s="1" t="s">
        <v>12</v>
      </c>
      <c r="C33" s="1" t="s">
        <v>48</v>
      </c>
      <c r="D33" s="1" t="str">
        <f t="shared" si="0"/>
        <v>8415</v>
      </c>
      <c r="E33" s="1" t="str">
        <f>"015271551"</f>
        <v>015271551</v>
      </c>
      <c r="F33" s="1" t="s">
        <v>49</v>
      </c>
      <c r="G33" s="1" t="s">
        <v>47</v>
      </c>
      <c r="H33" s="1" t="str">
        <f>"2"</f>
        <v>2</v>
      </c>
      <c r="I33" s="3">
        <v>54.06</v>
      </c>
      <c r="J33" s="4">
        <v>46085</v>
      </c>
      <c r="K33" s="1" t="s">
        <v>23</v>
      </c>
    </row>
    <row r="34" spans="1:11" x14ac:dyDescent="0.35">
      <c r="A34" s="1" t="s">
        <v>11</v>
      </c>
      <c r="B34" s="1" t="s">
        <v>12</v>
      </c>
      <c r="C34" s="1" t="s">
        <v>50</v>
      </c>
      <c r="D34" s="1" t="str">
        <f t="shared" si="0"/>
        <v>8415</v>
      </c>
      <c r="E34" s="1" t="str">
        <f>"015271551"</f>
        <v>015271551</v>
      </c>
      <c r="F34" s="1" t="s">
        <v>49</v>
      </c>
      <c r="G34" s="1" t="s">
        <v>47</v>
      </c>
      <c r="H34" s="1" t="str">
        <f>"3"</f>
        <v>3</v>
      </c>
      <c r="I34" s="3">
        <v>54.06</v>
      </c>
      <c r="J34" s="4">
        <v>46085</v>
      </c>
      <c r="K34" s="1" t="s">
        <v>23</v>
      </c>
    </row>
    <row r="35" spans="1:11" x14ac:dyDescent="0.35">
      <c r="A35" s="1" t="s">
        <v>73</v>
      </c>
      <c r="B35" s="1" t="s">
        <v>177</v>
      </c>
      <c r="C35" s="1" t="s">
        <v>185</v>
      </c>
      <c r="D35" s="1" t="str">
        <f>"6710"</f>
        <v>6710</v>
      </c>
      <c r="E35" s="1" t="s">
        <v>186</v>
      </c>
      <c r="F35" s="1" t="s">
        <v>187</v>
      </c>
      <c r="G35" s="1" t="s">
        <v>15</v>
      </c>
      <c r="H35" s="1" t="str">
        <f>"1"</f>
        <v>1</v>
      </c>
      <c r="I35" s="3">
        <v>10781.4</v>
      </c>
      <c r="J35" s="4">
        <v>46029</v>
      </c>
      <c r="K35" s="1" t="s">
        <v>188</v>
      </c>
    </row>
    <row r="36" spans="1:11" x14ac:dyDescent="0.35">
      <c r="A36" s="1" t="s">
        <v>73</v>
      </c>
      <c r="B36" s="1" t="s">
        <v>81</v>
      </c>
      <c r="C36" s="1" t="s">
        <v>82</v>
      </c>
      <c r="D36" s="1" t="str">
        <f>"1520"</f>
        <v>1520</v>
      </c>
      <c r="E36" s="1" t="s">
        <v>83</v>
      </c>
      <c r="F36" s="1" t="s">
        <v>84</v>
      </c>
      <c r="G36" s="1" t="s">
        <v>15</v>
      </c>
      <c r="H36" s="1" t="str">
        <f>"1"</f>
        <v>1</v>
      </c>
      <c r="I36" s="3" t="str">
        <f>"1200000"</f>
        <v>1200000</v>
      </c>
      <c r="J36" s="4">
        <v>46037</v>
      </c>
      <c r="K36" s="1" t="s">
        <v>85</v>
      </c>
    </row>
    <row r="37" spans="1:11" x14ac:dyDescent="0.35">
      <c r="A37" s="1" t="s">
        <v>73</v>
      </c>
      <c r="B37" s="1" t="s">
        <v>86</v>
      </c>
      <c r="C37" s="1" t="s">
        <v>87</v>
      </c>
      <c r="D37" s="1" t="str">
        <f>"1520"</f>
        <v>1520</v>
      </c>
      <c r="E37" s="1" t="s">
        <v>83</v>
      </c>
      <c r="F37" s="1" t="s">
        <v>84</v>
      </c>
      <c r="G37" s="1" t="s">
        <v>15</v>
      </c>
      <c r="H37" s="1" t="str">
        <f>"2"</f>
        <v>2</v>
      </c>
      <c r="I37" s="3" t="str">
        <f>"1200000"</f>
        <v>1200000</v>
      </c>
      <c r="J37" s="4">
        <v>46037</v>
      </c>
      <c r="K37" s="1" t="s">
        <v>88</v>
      </c>
    </row>
    <row r="38" spans="1:11" x14ac:dyDescent="0.35">
      <c r="A38" s="1" t="s">
        <v>73</v>
      </c>
      <c r="B38" s="1" t="s">
        <v>224</v>
      </c>
      <c r="C38" s="1" t="s">
        <v>228</v>
      </c>
      <c r="D38" s="1" t="str">
        <f>"1740"</f>
        <v>1740</v>
      </c>
      <c r="E38" s="1" t="str">
        <f>"014685158"</f>
        <v>014685158</v>
      </c>
      <c r="F38" s="1" t="s">
        <v>226</v>
      </c>
      <c r="G38" s="1" t="s">
        <v>15</v>
      </c>
      <c r="H38" s="1" t="str">
        <f>"1"</f>
        <v>1</v>
      </c>
      <c r="I38" s="3" t="str">
        <f>"32982"</f>
        <v>32982</v>
      </c>
      <c r="J38" s="4">
        <v>46037</v>
      </c>
      <c r="K38" s="1" t="s">
        <v>229</v>
      </c>
    </row>
    <row r="39" spans="1:11" x14ac:dyDescent="0.35">
      <c r="A39" s="1" t="s">
        <v>73</v>
      </c>
      <c r="B39" s="1" t="s">
        <v>224</v>
      </c>
      <c r="C39" s="1" t="s">
        <v>230</v>
      </c>
      <c r="D39" s="1" t="str">
        <f>"1740"</f>
        <v>1740</v>
      </c>
      <c r="E39" s="1" t="str">
        <f>"014685158"</f>
        <v>014685158</v>
      </c>
      <c r="F39" s="1" t="s">
        <v>226</v>
      </c>
      <c r="G39" s="1" t="s">
        <v>15</v>
      </c>
      <c r="H39" s="1" t="str">
        <f>"1"</f>
        <v>1</v>
      </c>
      <c r="I39" s="3" t="str">
        <f>"32982"</f>
        <v>32982</v>
      </c>
      <c r="J39" s="4">
        <v>46037</v>
      </c>
      <c r="K39" s="1" t="s">
        <v>229</v>
      </c>
    </row>
    <row r="40" spans="1:11" x14ac:dyDescent="0.35">
      <c r="A40" s="1" t="s">
        <v>73</v>
      </c>
      <c r="B40" s="1" t="s">
        <v>224</v>
      </c>
      <c r="C40" s="1" t="s">
        <v>235</v>
      </c>
      <c r="D40" s="1" t="str">
        <f>"2330"</f>
        <v>2330</v>
      </c>
      <c r="E40" s="1" t="s">
        <v>104</v>
      </c>
      <c r="F40" s="1" t="s">
        <v>105</v>
      </c>
      <c r="G40" s="1" t="s">
        <v>15</v>
      </c>
      <c r="H40" s="1" t="str">
        <f>"4"</f>
        <v>4</v>
      </c>
      <c r="I40" s="3" t="str">
        <f>"3265"</f>
        <v>3265</v>
      </c>
      <c r="J40" s="4">
        <v>46037</v>
      </c>
      <c r="K40" s="1" t="s">
        <v>236</v>
      </c>
    </row>
    <row r="41" spans="1:11" x14ac:dyDescent="0.35">
      <c r="A41" s="1" t="s">
        <v>73</v>
      </c>
      <c r="B41" s="1" t="s">
        <v>224</v>
      </c>
      <c r="C41" s="1" t="s">
        <v>237</v>
      </c>
      <c r="D41" s="1" t="str">
        <f>"3433"</f>
        <v>3433</v>
      </c>
      <c r="E41" s="1" t="s">
        <v>238</v>
      </c>
      <c r="F41" s="1" t="s">
        <v>239</v>
      </c>
      <c r="G41" s="1" t="s">
        <v>15</v>
      </c>
      <c r="H41" s="1" t="str">
        <f>"1"</f>
        <v>1</v>
      </c>
      <c r="I41" s="3">
        <v>199.67</v>
      </c>
      <c r="J41" s="4">
        <v>46037</v>
      </c>
      <c r="K41" s="1" t="s">
        <v>240</v>
      </c>
    </row>
    <row r="42" spans="1:11" x14ac:dyDescent="0.35">
      <c r="A42" s="1" t="s">
        <v>73</v>
      </c>
      <c r="B42" s="1" t="s">
        <v>224</v>
      </c>
      <c r="C42" s="1" t="s">
        <v>241</v>
      </c>
      <c r="D42" s="1" t="str">
        <f>"3433"</f>
        <v>3433</v>
      </c>
      <c r="E42" s="1" t="s">
        <v>238</v>
      </c>
      <c r="F42" s="1" t="s">
        <v>239</v>
      </c>
      <c r="G42" s="1" t="s">
        <v>15</v>
      </c>
      <c r="H42" s="1" t="str">
        <f>"5"</f>
        <v>5</v>
      </c>
      <c r="I42" s="3" t="str">
        <f>"100"</f>
        <v>100</v>
      </c>
      <c r="J42" s="4">
        <v>46037</v>
      </c>
      <c r="K42" s="1" t="s">
        <v>240</v>
      </c>
    </row>
    <row r="43" spans="1:11" x14ac:dyDescent="0.35">
      <c r="A43" s="1" t="s">
        <v>73</v>
      </c>
      <c r="B43" s="1" t="s">
        <v>224</v>
      </c>
      <c r="C43" s="1" t="s">
        <v>242</v>
      </c>
      <c r="D43" s="1" t="str">
        <f>"3433"</f>
        <v>3433</v>
      </c>
      <c r="E43" s="1" t="s">
        <v>238</v>
      </c>
      <c r="F43" s="1" t="s">
        <v>239</v>
      </c>
      <c r="G43" s="1" t="s">
        <v>15</v>
      </c>
      <c r="H43" s="1" t="str">
        <f>"1"</f>
        <v>1</v>
      </c>
      <c r="I43" s="3" t="str">
        <f>"2234"</f>
        <v>2234</v>
      </c>
      <c r="J43" s="4">
        <v>46037</v>
      </c>
      <c r="K43" s="1" t="s">
        <v>240</v>
      </c>
    </row>
    <row r="44" spans="1:11" x14ac:dyDescent="0.35">
      <c r="A44" s="1" t="s">
        <v>73</v>
      </c>
      <c r="B44" s="1" t="s">
        <v>224</v>
      </c>
      <c r="C44" s="1" t="s">
        <v>243</v>
      </c>
      <c r="D44" s="1" t="str">
        <f>"3445"</f>
        <v>3445</v>
      </c>
      <c r="E44" s="1" t="s">
        <v>244</v>
      </c>
      <c r="F44" s="1" t="s">
        <v>245</v>
      </c>
      <c r="G44" s="1" t="s">
        <v>15</v>
      </c>
      <c r="H44" s="1" t="str">
        <f>"1"</f>
        <v>1</v>
      </c>
      <c r="I44" s="3" t="str">
        <f>"1539"</f>
        <v>1539</v>
      </c>
      <c r="J44" s="4">
        <v>46037</v>
      </c>
      <c r="K44" s="1" t="s">
        <v>240</v>
      </c>
    </row>
    <row r="45" spans="1:11" x14ac:dyDescent="0.35">
      <c r="A45" s="1" t="s">
        <v>73</v>
      </c>
      <c r="B45" s="1" t="s">
        <v>224</v>
      </c>
      <c r="C45" s="1" t="s">
        <v>246</v>
      </c>
      <c r="D45" s="1" t="str">
        <f>"3950"</f>
        <v>3950</v>
      </c>
      <c r="E45" s="1" t="str">
        <f>"012709542"</f>
        <v>012709542</v>
      </c>
      <c r="F45" s="1" t="s">
        <v>247</v>
      </c>
      <c r="G45" s="1" t="s">
        <v>15</v>
      </c>
      <c r="H45" s="1" t="str">
        <f>"2"</f>
        <v>2</v>
      </c>
      <c r="I45" s="3">
        <v>710.67</v>
      </c>
      <c r="J45" s="4">
        <v>46037</v>
      </c>
      <c r="K45" s="1" t="s">
        <v>240</v>
      </c>
    </row>
    <row r="46" spans="1:11" x14ac:dyDescent="0.35">
      <c r="A46" s="1" t="s">
        <v>73</v>
      </c>
      <c r="B46" s="1" t="s">
        <v>224</v>
      </c>
      <c r="C46" s="1" t="s">
        <v>251</v>
      </c>
      <c r="D46" s="1" t="str">
        <f>"4710"</f>
        <v>4710</v>
      </c>
      <c r="E46" s="1" t="s">
        <v>252</v>
      </c>
      <c r="F46" s="1" t="s">
        <v>253</v>
      </c>
      <c r="G46" s="1" t="s">
        <v>15</v>
      </c>
      <c r="H46" s="1" t="str">
        <f>"25"</f>
        <v>25</v>
      </c>
      <c r="I46" s="3">
        <v>45.63</v>
      </c>
      <c r="J46" s="4">
        <v>46037</v>
      </c>
      <c r="K46" s="1" t="s">
        <v>254</v>
      </c>
    </row>
    <row r="47" spans="1:11" x14ac:dyDescent="0.35">
      <c r="A47" s="1" t="s">
        <v>73</v>
      </c>
      <c r="B47" s="1" t="s">
        <v>224</v>
      </c>
      <c r="C47" s="1" t="s">
        <v>255</v>
      </c>
      <c r="D47" s="1" t="str">
        <f>"5120"</f>
        <v>5120</v>
      </c>
      <c r="E47" s="1" t="str">
        <f>"013351506"</f>
        <v>013351506</v>
      </c>
      <c r="F47" s="1" t="s">
        <v>256</v>
      </c>
      <c r="G47" s="1" t="s">
        <v>257</v>
      </c>
      <c r="H47" s="1" t="str">
        <f>"1"</f>
        <v>1</v>
      </c>
      <c r="I47" s="3">
        <v>26.84</v>
      </c>
      <c r="J47" s="4">
        <v>46037</v>
      </c>
      <c r="K47" s="1" t="s">
        <v>258</v>
      </c>
    </row>
    <row r="48" spans="1:11" x14ac:dyDescent="0.35">
      <c r="A48" s="1" t="s">
        <v>73</v>
      </c>
      <c r="B48" s="1" t="s">
        <v>224</v>
      </c>
      <c r="C48" s="1" t="s">
        <v>259</v>
      </c>
      <c r="D48" s="1" t="str">
        <f>"5120"</f>
        <v>5120</v>
      </c>
      <c r="E48" s="1" t="str">
        <f>"009943803"</f>
        <v>009943803</v>
      </c>
      <c r="F48" s="1" t="s">
        <v>260</v>
      </c>
      <c r="G48" s="1" t="s">
        <v>15</v>
      </c>
      <c r="H48" s="1" t="str">
        <f>"5"</f>
        <v>5</v>
      </c>
      <c r="I48" s="3">
        <v>284.97000000000003</v>
      </c>
      <c r="J48" s="4">
        <v>46037</v>
      </c>
      <c r="K48" s="1" t="s">
        <v>240</v>
      </c>
    </row>
    <row r="49" spans="1:11" x14ac:dyDescent="0.35">
      <c r="A49" s="1" t="s">
        <v>73</v>
      </c>
      <c r="B49" s="1" t="s">
        <v>224</v>
      </c>
      <c r="C49" s="1" t="s">
        <v>261</v>
      </c>
      <c r="D49" s="1" t="str">
        <f>"5130"</f>
        <v>5130</v>
      </c>
      <c r="E49" s="1" t="str">
        <f>"001776876"</f>
        <v>001776876</v>
      </c>
      <c r="F49" s="1" t="s">
        <v>262</v>
      </c>
      <c r="G49" s="1" t="s">
        <v>15</v>
      </c>
      <c r="H49" s="1" t="str">
        <f t="shared" ref="H49:H55" si="3">"1"</f>
        <v>1</v>
      </c>
      <c r="I49" s="3">
        <v>267.44</v>
      </c>
      <c r="J49" s="4">
        <v>46037</v>
      </c>
      <c r="K49" s="1" t="s">
        <v>258</v>
      </c>
    </row>
    <row r="50" spans="1:11" x14ac:dyDescent="0.35">
      <c r="A50" s="1" t="s">
        <v>73</v>
      </c>
      <c r="B50" s="1" t="s">
        <v>224</v>
      </c>
      <c r="C50" s="1" t="s">
        <v>263</v>
      </c>
      <c r="D50" s="1" t="str">
        <f>"5136"</f>
        <v>5136</v>
      </c>
      <c r="E50" s="1" t="str">
        <f>"014297466"</f>
        <v>014297466</v>
      </c>
      <c r="F50" s="1" t="s">
        <v>264</v>
      </c>
      <c r="G50" s="1" t="s">
        <v>257</v>
      </c>
      <c r="H50" s="1" t="str">
        <f t="shared" si="3"/>
        <v>1</v>
      </c>
      <c r="I50" s="3">
        <v>138.77000000000001</v>
      </c>
      <c r="J50" s="4">
        <v>46037</v>
      </c>
      <c r="K50" s="1" t="s">
        <v>258</v>
      </c>
    </row>
    <row r="51" spans="1:11" x14ac:dyDescent="0.35">
      <c r="A51" s="1" t="s">
        <v>73</v>
      </c>
      <c r="B51" s="1" t="s">
        <v>224</v>
      </c>
      <c r="C51" s="1" t="s">
        <v>265</v>
      </c>
      <c r="D51" s="1" t="str">
        <f>"5180"</f>
        <v>5180</v>
      </c>
      <c r="E51" s="1" t="str">
        <f>"002932873"</f>
        <v>002932873</v>
      </c>
      <c r="F51" s="1" t="s">
        <v>266</v>
      </c>
      <c r="G51" s="1" t="s">
        <v>168</v>
      </c>
      <c r="H51" s="1" t="str">
        <f t="shared" si="3"/>
        <v>1</v>
      </c>
      <c r="I51" s="3" t="str">
        <f>"1452"</f>
        <v>1452</v>
      </c>
      <c r="J51" s="4">
        <v>46037</v>
      </c>
      <c r="K51" s="1" t="s">
        <v>258</v>
      </c>
    </row>
    <row r="52" spans="1:11" x14ac:dyDescent="0.35">
      <c r="A52" s="1" t="s">
        <v>73</v>
      </c>
      <c r="B52" s="1" t="s">
        <v>224</v>
      </c>
      <c r="C52" s="1" t="s">
        <v>267</v>
      </c>
      <c r="D52" s="1" t="str">
        <f>"5180"</f>
        <v>5180</v>
      </c>
      <c r="E52" s="1" t="s">
        <v>268</v>
      </c>
      <c r="F52" s="1" t="s">
        <v>269</v>
      </c>
      <c r="G52" s="1" t="s">
        <v>15</v>
      </c>
      <c r="H52" s="1" t="str">
        <f t="shared" si="3"/>
        <v>1</v>
      </c>
      <c r="I52" s="3" t="str">
        <f>"861"</f>
        <v>861</v>
      </c>
      <c r="J52" s="4">
        <v>46037</v>
      </c>
      <c r="K52" s="1" t="s">
        <v>270</v>
      </c>
    </row>
    <row r="53" spans="1:11" x14ac:dyDescent="0.35">
      <c r="A53" s="1" t="s">
        <v>73</v>
      </c>
      <c r="B53" s="1" t="s">
        <v>224</v>
      </c>
      <c r="C53" s="1" t="s">
        <v>271</v>
      </c>
      <c r="D53" s="1" t="str">
        <f>"5180"</f>
        <v>5180</v>
      </c>
      <c r="E53" s="1" t="s">
        <v>268</v>
      </c>
      <c r="F53" s="1" t="s">
        <v>269</v>
      </c>
      <c r="G53" s="1" t="s">
        <v>15</v>
      </c>
      <c r="H53" s="1" t="str">
        <f t="shared" si="3"/>
        <v>1</v>
      </c>
      <c r="I53" s="3">
        <v>556.25</v>
      </c>
      <c r="J53" s="4">
        <v>46037</v>
      </c>
      <c r="K53" s="1" t="s">
        <v>270</v>
      </c>
    </row>
    <row r="54" spans="1:11" x14ac:dyDescent="0.35">
      <c r="A54" s="1" t="s">
        <v>73</v>
      </c>
      <c r="B54" s="1" t="s">
        <v>224</v>
      </c>
      <c r="C54" s="1" t="s">
        <v>272</v>
      </c>
      <c r="D54" s="1" t="str">
        <f>"5180"</f>
        <v>5180</v>
      </c>
      <c r="E54" s="1" t="s">
        <v>268</v>
      </c>
      <c r="F54" s="1" t="s">
        <v>269</v>
      </c>
      <c r="G54" s="1" t="s">
        <v>15</v>
      </c>
      <c r="H54" s="1" t="str">
        <f t="shared" si="3"/>
        <v>1</v>
      </c>
      <c r="I54" s="3">
        <v>396.94</v>
      </c>
      <c r="J54" s="4">
        <v>46037</v>
      </c>
      <c r="K54" s="1" t="s">
        <v>270</v>
      </c>
    </row>
    <row r="55" spans="1:11" x14ac:dyDescent="0.35">
      <c r="A55" s="1" t="s">
        <v>73</v>
      </c>
      <c r="B55" s="1" t="s">
        <v>224</v>
      </c>
      <c r="C55" s="1" t="s">
        <v>275</v>
      </c>
      <c r="D55" s="1" t="str">
        <f>"5180"</f>
        <v>5180</v>
      </c>
      <c r="E55" s="1" t="s">
        <v>268</v>
      </c>
      <c r="F55" s="1" t="s">
        <v>269</v>
      </c>
      <c r="G55" s="1" t="s">
        <v>15</v>
      </c>
      <c r="H55" s="1" t="str">
        <f t="shared" si="3"/>
        <v>1</v>
      </c>
      <c r="I55" s="3">
        <v>182.81</v>
      </c>
      <c r="J55" s="4">
        <v>46037</v>
      </c>
      <c r="K55" s="1" t="s">
        <v>270</v>
      </c>
    </row>
    <row r="56" spans="1:11" x14ac:dyDescent="0.35">
      <c r="A56" s="1" t="s">
        <v>73</v>
      </c>
      <c r="B56" s="1" t="s">
        <v>224</v>
      </c>
      <c r="C56" s="1" t="s">
        <v>276</v>
      </c>
      <c r="D56" s="1" t="str">
        <f>"6150"</f>
        <v>6150</v>
      </c>
      <c r="E56" s="1" t="str">
        <f>"015984021"</f>
        <v>015984021</v>
      </c>
      <c r="F56" s="1" t="s">
        <v>277</v>
      </c>
      <c r="G56" s="1" t="s">
        <v>15</v>
      </c>
      <c r="H56" s="1" t="str">
        <f>"6"</f>
        <v>6</v>
      </c>
      <c r="I56" s="3">
        <v>68.38</v>
      </c>
      <c r="J56" s="4">
        <v>46037</v>
      </c>
      <c r="K56" s="1" t="s">
        <v>240</v>
      </c>
    </row>
    <row r="57" spans="1:11" x14ac:dyDescent="0.35">
      <c r="A57" s="1" t="s">
        <v>73</v>
      </c>
      <c r="B57" s="1" t="s">
        <v>224</v>
      </c>
      <c r="C57" s="1" t="s">
        <v>278</v>
      </c>
      <c r="D57" s="1" t="str">
        <f t="shared" ref="D57:D65" si="4">"6510"</f>
        <v>6510</v>
      </c>
      <c r="E57" s="1" t="str">
        <f>"009268883"</f>
        <v>009268883</v>
      </c>
      <c r="F57" s="1" t="s">
        <v>279</v>
      </c>
      <c r="G57" s="1" t="s">
        <v>15</v>
      </c>
      <c r="H57" s="1" t="str">
        <f>"40"</f>
        <v>40</v>
      </c>
      <c r="I57" s="3">
        <v>3.42</v>
      </c>
      <c r="J57" s="4">
        <v>46037</v>
      </c>
      <c r="K57" s="1" t="s">
        <v>280</v>
      </c>
    </row>
    <row r="58" spans="1:11" x14ac:dyDescent="0.35">
      <c r="A58" s="1" t="s">
        <v>73</v>
      </c>
      <c r="B58" s="1" t="s">
        <v>224</v>
      </c>
      <c r="C58" s="1" t="s">
        <v>281</v>
      </c>
      <c r="D58" s="1" t="str">
        <f t="shared" si="4"/>
        <v>6510</v>
      </c>
      <c r="E58" s="1" t="str">
        <f>"015227354"</f>
        <v>015227354</v>
      </c>
      <c r="F58" s="1" t="s">
        <v>282</v>
      </c>
      <c r="G58" s="1" t="s">
        <v>15</v>
      </c>
      <c r="H58" s="1" t="str">
        <f>"35"</f>
        <v>35</v>
      </c>
      <c r="I58" s="3">
        <v>3.01</v>
      </c>
      <c r="J58" s="4">
        <v>46037</v>
      </c>
      <c r="K58" s="1" t="s">
        <v>283</v>
      </c>
    </row>
    <row r="59" spans="1:11" x14ac:dyDescent="0.35">
      <c r="A59" s="1" t="s">
        <v>73</v>
      </c>
      <c r="B59" s="1" t="s">
        <v>224</v>
      </c>
      <c r="C59" s="1" t="s">
        <v>284</v>
      </c>
      <c r="D59" s="1" t="str">
        <f t="shared" si="4"/>
        <v>6510</v>
      </c>
      <c r="E59" s="1" t="str">
        <f>"000547254"</f>
        <v>000547254</v>
      </c>
      <c r="F59" s="1" t="s">
        <v>285</v>
      </c>
      <c r="G59" s="1" t="s">
        <v>15</v>
      </c>
      <c r="H59" s="1" t="str">
        <f>"45"</f>
        <v>45</v>
      </c>
      <c r="I59" s="3">
        <v>0.14000000000000001</v>
      </c>
      <c r="J59" s="4">
        <v>46037</v>
      </c>
      <c r="K59" s="1" t="s">
        <v>283</v>
      </c>
    </row>
    <row r="60" spans="1:11" x14ac:dyDescent="0.35">
      <c r="A60" s="1" t="s">
        <v>73</v>
      </c>
      <c r="B60" s="1" t="s">
        <v>224</v>
      </c>
      <c r="C60" s="1" t="s">
        <v>286</v>
      </c>
      <c r="D60" s="1" t="str">
        <f t="shared" si="4"/>
        <v>6510</v>
      </c>
      <c r="E60" s="1" t="str">
        <f>"009355823"</f>
        <v>009355823</v>
      </c>
      <c r="F60" s="1" t="s">
        <v>287</v>
      </c>
      <c r="G60" s="1" t="s">
        <v>15</v>
      </c>
      <c r="H60" s="1" t="str">
        <f>"10"</f>
        <v>10</v>
      </c>
      <c r="I60" s="3">
        <v>1.54</v>
      </c>
      <c r="J60" s="4">
        <v>46037</v>
      </c>
      <c r="K60" s="1" t="s">
        <v>283</v>
      </c>
    </row>
    <row r="61" spans="1:11" x14ac:dyDescent="0.35">
      <c r="A61" s="1" t="s">
        <v>73</v>
      </c>
      <c r="B61" s="1" t="s">
        <v>224</v>
      </c>
      <c r="C61" s="1" t="s">
        <v>288</v>
      </c>
      <c r="D61" s="1" t="str">
        <f t="shared" si="4"/>
        <v>6510</v>
      </c>
      <c r="E61" s="1" t="str">
        <f>"014649888"</f>
        <v>014649888</v>
      </c>
      <c r="F61" s="1" t="s">
        <v>289</v>
      </c>
      <c r="G61" s="1" t="s">
        <v>15</v>
      </c>
      <c r="H61" s="1" t="str">
        <f>"50"</f>
        <v>50</v>
      </c>
      <c r="I61" s="3">
        <v>0.13</v>
      </c>
      <c r="J61" s="4">
        <v>46037</v>
      </c>
      <c r="K61" s="1" t="s">
        <v>283</v>
      </c>
    </row>
    <row r="62" spans="1:11" x14ac:dyDescent="0.35">
      <c r="A62" s="1" t="s">
        <v>73</v>
      </c>
      <c r="B62" s="1" t="s">
        <v>224</v>
      </c>
      <c r="C62" s="1" t="s">
        <v>290</v>
      </c>
      <c r="D62" s="1" t="str">
        <f t="shared" si="4"/>
        <v>6510</v>
      </c>
      <c r="E62" s="1" t="str">
        <f>"011077575"</f>
        <v>011077575</v>
      </c>
      <c r="F62" s="1" t="s">
        <v>291</v>
      </c>
      <c r="G62" s="1" t="s">
        <v>15</v>
      </c>
      <c r="H62" s="1" t="str">
        <f>"35"</f>
        <v>35</v>
      </c>
      <c r="I62" s="3">
        <v>0.14000000000000001</v>
      </c>
      <c r="J62" s="4">
        <v>46037</v>
      </c>
      <c r="K62" s="1" t="s">
        <v>283</v>
      </c>
    </row>
    <row r="63" spans="1:11" x14ac:dyDescent="0.35">
      <c r="A63" s="1" t="s">
        <v>73</v>
      </c>
      <c r="B63" s="1" t="s">
        <v>224</v>
      </c>
      <c r="C63" s="1" t="s">
        <v>292</v>
      </c>
      <c r="D63" s="1" t="str">
        <f t="shared" si="4"/>
        <v>6510</v>
      </c>
      <c r="E63" s="1" t="str">
        <f>"009268882"</f>
        <v>009268882</v>
      </c>
      <c r="F63" s="1" t="s">
        <v>279</v>
      </c>
      <c r="G63" s="1" t="s">
        <v>293</v>
      </c>
      <c r="H63" s="1" t="str">
        <f>"2"</f>
        <v>2</v>
      </c>
      <c r="I63" s="3">
        <v>18.86</v>
      </c>
      <c r="J63" s="4">
        <v>46037</v>
      </c>
      <c r="K63" s="1" t="s">
        <v>283</v>
      </c>
    </row>
    <row r="64" spans="1:11" x14ac:dyDescent="0.35">
      <c r="A64" s="1" t="s">
        <v>73</v>
      </c>
      <c r="B64" s="1" t="s">
        <v>224</v>
      </c>
      <c r="C64" s="1" t="s">
        <v>294</v>
      </c>
      <c r="D64" s="1" t="str">
        <f t="shared" si="4"/>
        <v>6510</v>
      </c>
      <c r="E64" s="1" t="str">
        <f>"009355823"</f>
        <v>009355823</v>
      </c>
      <c r="F64" s="1" t="s">
        <v>287</v>
      </c>
      <c r="G64" s="1" t="s">
        <v>15</v>
      </c>
      <c r="H64" s="1" t="str">
        <f>"27"</f>
        <v>27</v>
      </c>
      <c r="I64" s="3">
        <v>1.54</v>
      </c>
      <c r="J64" s="4">
        <v>46037</v>
      </c>
      <c r="K64" s="1" t="s">
        <v>283</v>
      </c>
    </row>
    <row r="65" spans="1:11" x14ac:dyDescent="0.35">
      <c r="A65" s="1" t="s">
        <v>73</v>
      </c>
      <c r="B65" s="1" t="s">
        <v>224</v>
      </c>
      <c r="C65" s="1" t="s">
        <v>295</v>
      </c>
      <c r="D65" s="1" t="str">
        <f t="shared" si="4"/>
        <v>6510</v>
      </c>
      <c r="E65" s="1" t="str">
        <f>"011077575"</f>
        <v>011077575</v>
      </c>
      <c r="F65" s="1" t="s">
        <v>291</v>
      </c>
      <c r="G65" s="1" t="s">
        <v>15</v>
      </c>
      <c r="H65" s="1" t="str">
        <f>"64"</f>
        <v>64</v>
      </c>
      <c r="I65" s="3">
        <v>0.14000000000000001</v>
      </c>
      <c r="J65" s="4">
        <v>46037</v>
      </c>
      <c r="K65" s="1" t="s">
        <v>283</v>
      </c>
    </row>
    <row r="66" spans="1:11" x14ac:dyDescent="0.35">
      <c r="A66" s="1" t="s">
        <v>73</v>
      </c>
      <c r="B66" s="1" t="s">
        <v>224</v>
      </c>
      <c r="C66" s="1" t="s">
        <v>296</v>
      </c>
      <c r="D66" s="1" t="str">
        <f>"6515"</f>
        <v>6515</v>
      </c>
      <c r="E66" s="1" t="str">
        <f>"015188551"</f>
        <v>015188551</v>
      </c>
      <c r="F66" s="1" t="s">
        <v>297</v>
      </c>
      <c r="G66" s="1" t="s">
        <v>15</v>
      </c>
      <c r="H66" s="1" t="str">
        <f>"40"</f>
        <v>40</v>
      </c>
      <c r="I66" s="3">
        <v>12.28</v>
      </c>
      <c r="J66" s="4">
        <v>46037</v>
      </c>
      <c r="K66" s="1" t="s">
        <v>283</v>
      </c>
    </row>
    <row r="67" spans="1:11" x14ac:dyDescent="0.35">
      <c r="A67" s="1" t="s">
        <v>73</v>
      </c>
      <c r="B67" s="1" t="s">
        <v>224</v>
      </c>
      <c r="C67" s="1" t="s">
        <v>298</v>
      </c>
      <c r="D67" s="1" t="str">
        <f>"6515"</f>
        <v>6515</v>
      </c>
      <c r="E67" s="1" t="str">
        <f>"009357138"</f>
        <v>009357138</v>
      </c>
      <c r="F67" s="1" t="s">
        <v>299</v>
      </c>
      <c r="G67" s="1" t="s">
        <v>15</v>
      </c>
      <c r="H67" s="1" t="str">
        <f>"10"</f>
        <v>10</v>
      </c>
      <c r="I67" s="3">
        <v>11.4</v>
      </c>
      <c r="J67" s="4">
        <v>46037</v>
      </c>
      <c r="K67" s="1" t="s">
        <v>283</v>
      </c>
    </row>
    <row r="68" spans="1:11" x14ac:dyDescent="0.35">
      <c r="A68" s="1" t="s">
        <v>73</v>
      </c>
      <c r="B68" s="1" t="s">
        <v>224</v>
      </c>
      <c r="C68" s="1" t="s">
        <v>300</v>
      </c>
      <c r="D68" s="1" t="str">
        <f>"6515"</f>
        <v>6515</v>
      </c>
      <c r="E68" s="1" t="str">
        <f>"016542994"</f>
        <v>016542994</v>
      </c>
      <c r="F68" s="1" t="s">
        <v>301</v>
      </c>
      <c r="G68" s="1" t="s">
        <v>15</v>
      </c>
      <c r="H68" s="1" t="str">
        <f>"1"</f>
        <v>1</v>
      </c>
      <c r="I68" s="3">
        <v>494.21</v>
      </c>
      <c r="J68" s="4">
        <v>46037</v>
      </c>
      <c r="K68" s="1" t="s">
        <v>302</v>
      </c>
    </row>
    <row r="69" spans="1:11" x14ac:dyDescent="0.35">
      <c r="A69" s="1" t="s">
        <v>73</v>
      </c>
      <c r="B69" s="1" t="s">
        <v>224</v>
      </c>
      <c r="C69" s="1" t="s">
        <v>303</v>
      </c>
      <c r="D69" s="1" t="str">
        <f>"8030"</f>
        <v>8030</v>
      </c>
      <c r="E69" s="1" t="str">
        <f>"007611584"</f>
        <v>007611584</v>
      </c>
      <c r="F69" s="1" t="s">
        <v>304</v>
      </c>
      <c r="G69" s="1" t="s">
        <v>62</v>
      </c>
      <c r="H69" s="1" t="str">
        <f>"54"</f>
        <v>54</v>
      </c>
      <c r="I69" s="3">
        <v>7.19</v>
      </c>
      <c r="J69" s="4">
        <v>46037</v>
      </c>
      <c r="K69" s="1" t="s">
        <v>305</v>
      </c>
    </row>
    <row r="70" spans="1:11" x14ac:dyDescent="0.35">
      <c r="A70" s="1" t="s">
        <v>73</v>
      </c>
      <c r="B70" s="1" t="s">
        <v>224</v>
      </c>
      <c r="C70" s="1" t="s">
        <v>306</v>
      </c>
      <c r="D70" s="1" t="str">
        <f>"8030"</f>
        <v>8030</v>
      </c>
      <c r="E70" s="1" t="str">
        <f>"008893535"</f>
        <v>008893535</v>
      </c>
      <c r="F70" s="1" t="s">
        <v>304</v>
      </c>
      <c r="G70" s="1" t="s">
        <v>15</v>
      </c>
      <c r="H70" s="1" t="str">
        <f>"21"</f>
        <v>21</v>
      </c>
      <c r="I70" s="3">
        <v>1.91</v>
      </c>
      <c r="J70" s="4">
        <v>46037</v>
      </c>
      <c r="K70" s="1" t="s">
        <v>307</v>
      </c>
    </row>
    <row r="71" spans="1:11" x14ac:dyDescent="0.35">
      <c r="A71" s="1" t="s">
        <v>73</v>
      </c>
      <c r="B71" s="1" t="s">
        <v>177</v>
      </c>
      <c r="C71" s="1" t="s">
        <v>178</v>
      </c>
      <c r="D71" s="1" t="str">
        <f>"2340"</f>
        <v>2340</v>
      </c>
      <c r="E71" s="1" t="s">
        <v>179</v>
      </c>
      <c r="F71" s="1" t="s">
        <v>180</v>
      </c>
      <c r="G71" s="1" t="s">
        <v>15</v>
      </c>
      <c r="H71" s="1" t="str">
        <f>"1"</f>
        <v>1</v>
      </c>
      <c r="I71" s="3" t="str">
        <f>"1000"</f>
        <v>1000</v>
      </c>
      <c r="J71" s="4">
        <v>46043</v>
      </c>
      <c r="K71" s="1" t="s">
        <v>181</v>
      </c>
    </row>
    <row r="72" spans="1:11" x14ac:dyDescent="0.35">
      <c r="A72" s="1" t="s">
        <v>73</v>
      </c>
      <c r="B72" s="1" t="s">
        <v>98</v>
      </c>
      <c r="C72" s="1" t="s">
        <v>126</v>
      </c>
      <c r="D72" s="1" t="str">
        <f>"4010"</f>
        <v>4010</v>
      </c>
      <c r="E72" s="1" t="s">
        <v>127</v>
      </c>
      <c r="F72" s="1" t="s">
        <v>128</v>
      </c>
      <c r="G72" s="1" t="s">
        <v>15</v>
      </c>
      <c r="H72" s="1" t="str">
        <f>"3"</f>
        <v>3</v>
      </c>
      <c r="I72" s="3" t="str">
        <f>"4755"</f>
        <v>4755</v>
      </c>
      <c r="J72" s="4">
        <v>46045</v>
      </c>
      <c r="K72" s="1" t="s">
        <v>129</v>
      </c>
    </row>
    <row r="73" spans="1:11" x14ac:dyDescent="0.35">
      <c r="A73" s="1" t="s">
        <v>73</v>
      </c>
      <c r="B73" s="1" t="s">
        <v>98</v>
      </c>
      <c r="C73" s="1" t="s">
        <v>144</v>
      </c>
      <c r="D73" s="1" t="str">
        <f>"4910"</f>
        <v>4910</v>
      </c>
      <c r="E73" s="1" t="s">
        <v>145</v>
      </c>
      <c r="F73" s="1" t="s">
        <v>146</v>
      </c>
      <c r="G73" s="1" t="s">
        <v>15</v>
      </c>
      <c r="H73" s="1" t="str">
        <f>"2"</f>
        <v>2</v>
      </c>
      <c r="I73" s="3">
        <v>11666.45</v>
      </c>
      <c r="J73" s="4">
        <v>46045</v>
      </c>
      <c r="K73" s="1" t="s">
        <v>147</v>
      </c>
    </row>
    <row r="74" spans="1:11" x14ac:dyDescent="0.35">
      <c r="A74" s="1" t="s">
        <v>73</v>
      </c>
      <c r="B74" s="1" t="s">
        <v>98</v>
      </c>
      <c r="C74" s="1" t="s">
        <v>160</v>
      </c>
      <c r="D74" s="1" t="str">
        <f>"6130"</f>
        <v>6130</v>
      </c>
      <c r="E74" s="1" t="s">
        <v>161</v>
      </c>
      <c r="F74" s="1" t="s">
        <v>162</v>
      </c>
      <c r="G74" s="1" t="s">
        <v>15</v>
      </c>
      <c r="H74" s="1" t="str">
        <f>"1"</f>
        <v>1</v>
      </c>
      <c r="I74" s="3" t="str">
        <f>"998"</f>
        <v>998</v>
      </c>
      <c r="J74" s="4">
        <v>46045</v>
      </c>
      <c r="K74" s="1" t="s">
        <v>163</v>
      </c>
    </row>
    <row r="75" spans="1:11" x14ac:dyDescent="0.35">
      <c r="A75" s="1" t="s">
        <v>73</v>
      </c>
      <c r="B75" s="1" t="s">
        <v>98</v>
      </c>
      <c r="C75" s="1" t="s">
        <v>164</v>
      </c>
      <c r="D75" s="1" t="str">
        <f>"6130"</f>
        <v>6130</v>
      </c>
      <c r="E75" s="1" t="s">
        <v>161</v>
      </c>
      <c r="F75" s="1" t="s">
        <v>162</v>
      </c>
      <c r="G75" s="1" t="s">
        <v>15</v>
      </c>
      <c r="H75" s="1" t="str">
        <f>"1"</f>
        <v>1</v>
      </c>
      <c r="I75" s="3" t="str">
        <f>"998"</f>
        <v>998</v>
      </c>
      <c r="J75" s="4">
        <v>46045</v>
      </c>
      <c r="K75" s="1" t="s">
        <v>165</v>
      </c>
    </row>
    <row r="76" spans="1:11" x14ac:dyDescent="0.35">
      <c r="A76" s="1" t="s">
        <v>73</v>
      </c>
      <c r="B76" s="1" t="s">
        <v>98</v>
      </c>
      <c r="C76" s="1" t="s">
        <v>170</v>
      </c>
      <c r="D76" s="1" t="str">
        <f>"6675"</f>
        <v>6675</v>
      </c>
      <c r="E76" s="1" t="str">
        <f>"016243440"</f>
        <v>016243440</v>
      </c>
      <c r="F76" s="1" t="s">
        <v>171</v>
      </c>
      <c r="G76" s="1" t="s">
        <v>15</v>
      </c>
      <c r="H76" s="1" t="str">
        <f>"1"</f>
        <v>1</v>
      </c>
      <c r="I76" s="3">
        <v>29875.96</v>
      </c>
      <c r="J76" s="4">
        <v>46045</v>
      </c>
      <c r="K76" s="1" t="s">
        <v>172</v>
      </c>
    </row>
    <row r="77" spans="1:11" x14ac:dyDescent="0.35">
      <c r="A77" s="1" t="s">
        <v>73</v>
      </c>
      <c r="B77" s="1" t="s">
        <v>98</v>
      </c>
      <c r="C77" s="1" t="s">
        <v>140</v>
      </c>
      <c r="D77" s="1" t="str">
        <f>"4910"</f>
        <v>4910</v>
      </c>
      <c r="E77" s="1" t="s">
        <v>141</v>
      </c>
      <c r="F77" s="1" t="s">
        <v>142</v>
      </c>
      <c r="G77" s="1" t="s">
        <v>15</v>
      </c>
      <c r="H77" s="1" t="str">
        <f>"1"</f>
        <v>1</v>
      </c>
      <c r="I77" s="3">
        <v>5722.45</v>
      </c>
      <c r="J77" s="4">
        <v>46048</v>
      </c>
      <c r="K77" s="1" t="s">
        <v>143</v>
      </c>
    </row>
    <row r="78" spans="1:11" x14ac:dyDescent="0.35">
      <c r="A78" s="1" t="s">
        <v>73</v>
      </c>
      <c r="B78" s="1" t="s">
        <v>224</v>
      </c>
      <c r="C78" s="1" t="s">
        <v>248</v>
      </c>
      <c r="D78" s="1" t="str">
        <f>"4220"</f>
        <v>4220</v>
      </c>
      <c r="E78" s="1" t="str">
        <f>"015248491"</f>
        <v>015248491</v>
      </c>
      <c r="F78" s="1" t="s">
        <v>249</v>
      </c>
      <c r="G78" s="1" t="s">
        <v>15</v>
      </c>
      <c r="H78" s="1" t="str">
        <f>"9"</f>
        <v>9</v>
      </c>
      <c r="I78" s="3">
        <v>571.78</v>
      </c>
      <c r="J78" s="4">
        <v>46048</v>
      </c>
      <c r="K78" s="1" t="s">
        <v>250</v>
      </c>
    </row>
    <row r="79" spans="1:11" x14ac:dyDescent="0.35">
      <c r="A79" s="1" t="s">
        <v>73</v>
      </c>
      <c r="B79" s="1" t="s">
        <v>74</v>
      </c>
      <c r="C79" s="1" t="s">
        <v>75</v>
      </c>
      <c r="D79" s="1" t="str">
        <f>"5120"</f>
        <v>5120</v>
      </c>
      <c r="E79" s="1" t="str">
        <f>"008785932"</f>
        <v>008785932</v>
      </c>
      <c r="F79" s="1" t="s">
        <v>76</v>
      </c>
      <c r="G79" s="1" t="s">
        <v>15</v>
      </c>
      <c r="H79" s="1" t="str">
        <f>"25"</f>
        <v>25</v>
      </c>
      <c r="I79" s="3">
        <v>97.1</v>
      </c>
      <c r="J79" s="4">
        <v>46050</v>
      </c>
      <c r="K79" s="1" t="s">
        <v>77</v>
      </c>
    </row>
    <row r="80" spans="1:11" x14ac:dyDescent="0.35">
      <c r="A80" s="1" t="s">
        <v>73</v>
      </c>
      <c r="B80" s="1" t="s">
        <v>74</v>
      </c>
      <c r="C80" s="1" t="s">
        <v>78</v>
      </c>
      <c r="D80" s="1" t="str">
        <f>"8465"</f>
        <v>8465</v>
      </c>
      <c r="E80" s="1" t="str">
        <f>"000016482"</f>
        <v>000016482</v>
      </c>
      <c r="F80" s="1" t="s">
        <v>79</v>
      </c>
      <c r="G80" s="1" t="s">
        <v>15</v>
      </c>
      <c r="H80" s="1" t="str">
        <f>"20"</f>
        <v>20</v>
      </c>
      <c r="I80" s="3">
        <v>8.2200000000000006</v>
      </c>
      <c r="J80" s="4">
        <v>46050</v>
      </c>
      <c r="K80" s="1" t="s">
        <v>80</v>
      </c>
    </row>
    <row r="81" spans="1:11" x14ac:dyDescent="0.35">
      <c r="A81" s="1" t="s">
        <v>73</v>
      </c>
      <c r="B81" s="1" t="s">
        <v>207</v>
      </c>
      <c r="C81" s="1" t="s">
        <v>211</v>
      </c>
      <c r="D81" s="1" t="str">
        <f>"5965"</f>
        <v>5965</v>
      </c>
      <c r="E81" s="1" t="str">
        <f>"015415801"</f>
        <v>015415801</v>
      </c>
      <c r="F81" s="1" t="s">
        <v>209</v>
      </c>
      <c r="G81" s="1" t="s">
        <v>15</v>
      </c>
      <c r="H81" s="1" t="str">
        <f>"2"</f>
        <v>2</v>
      </c>
      <c r="I81" s="3">
        <v>870.81</v>
      </c>
      <c r="J81" s="4">
        <v>46064</v>
      </c>
      <c r="K81" s="1" t="s">
        <v>212</v>
      </c>
    </row>
    <row r="82" spans="1:11" x14ac:dyDescent="0.35">
      <c r="A82" s="1" t="s">
        <v>73</v>
      </c>
      <c r="B82" s="1" t="s">
        <v>213</v>
      </c>
      <c r="C82" s="1" t="s">
        <v>214</v>
      </c>
      <c r="D82" s="1" t="str">
        <f>"7920"</f>
        <v>7920</v>
      </c>
      <c r="E82" s="1" t="str">
        <f>"000547768"</f>
        <v>000547768</v>
      </c>
      <c r="F82" s="1" t="s">
        <v>215</v>
      </c>
      <c r="G82" s="1" t="s">
        <v>15</v>
      </c>
      <c r="H82" s="1" t="str">
        <f>"9"</f>
        <v>9</v>
      </c>
      <c r="I82" s="3">
        <v>18.48</v>
      </c>
      <c r="J82" s="4">
        <v>46065</v>
      </c>
      <c r="K82" s="1" t="s">
        <v>216</v>
      </c>
    </row>
    <row r="83" spans="1:11" x14ac:dyDescent="0.35">
      <c r="A83" s="1" t="s">
        <v>73</v>
      </c>
      <c r="B83" s="1" t="s">
        <v>213</v>
      </c>
      <c r="C83" s="1" t="s">
        <v>217</v>
      </c>
      <c r="D83" s="1" t="str">
        <f>"8415"</f>
        <v>8415</v>
      </c>
      <c r="E83" s="1" t="str">
        <f>"015387012"</f>
        <v>015387012</v>
      </c>
      <c r="F83" s="1" t="s">
        <v>18</v>
      </c>
      <c r="G83" s="1" t="s">
        <v>15</v>
      </c>
      <c r="H83" s="1" t="str">
        <f t="shared" ref="H83:H89" si="5">"1"</f>
        <v>1</v>
      </c>
      <c r="I83" s="3">
        <v>111.26</v>
      </c>
      <c r="J83" s="4">
        <v>46065</v>
      </c>
      <c r="K83" s="1" t="s">
        <v>218</v>
      </c>
    </row>
    <row r="84" spans="1:11" x14ac:dyDescent="0.35">
      <c r="A84" s="1" t="s">
        <v>73</v>
      </c>
      <c r="B84" s="1" t="s">
        <v>213</v>
      </c>
      <c r="C84" s="1" t="s">
        <v>219</v>
      </c>
      <c r="D84" s="1" t="str">
        <f>"8415"</f>
        <v>8415</v>
      </c>
      <c r="E84" s="1" t="str">
        <f>"015274614"</f>
        <v>015274614</v>
      </c>
      <c r="F84" s="1" t="s">
        <v>42</v>
      </c>
      <c r="G84" s="1" t="s">
        <v>15</v>
      </c>
      <c r="H84" s="1" t="str">
        <f t="shared" si="5"/>
        <v>1</v>
      </c>
      <c r="I84" s="3" t="str">
        <f>"77"</f>
        <v>77</v>
      </c>
      <c r="J84" s="4">
        <v>46065</v>
      </c>
      <c r="K84" s="1" t="s">
        <v>218</v>
      </c>
    </row>
    <row r="85" spans="1:11" x14ac:dyDescent="0.35">
      <c r="A85" s="1" t="s">
        <v>73</v>
      </c>
      <c r="B85" s="1" t="s">
        <v>213</v>
      </c>
      <c r="C85" s="1" t="s">
        <v>220</v>
      </c>
      <c r="D85" s="1" t="str">
        <f>"8415"</f>
        <v>8415</v>
      </c>
      <c r="E85" s="1" t="str">
        <f>"015271551"</f>
        <v>015271551</v>
      </c>
      <c r="F85" s="1" t="s">
        <v>49</v>
      </c>
      <c r="G85" s="1" t="s">
        <v>47</v>
      </c>
      <c r="H85" s="1" t="str">
        <f t="shared" si="5"/>
        <v>1</v>
      </c>
      <c r="I85" s="3">
        <v>54.06</v>
      </c>
      <c r="J85" s="4">
        <v>46065</v>
      </c>
      <c r="K85" s="1" t="s">
        <v>218</v>
      </c>
    </row>
    <row r="86" spans="1:11" x14ac:dyDescent="0.35">
      <c r="A86" s="1" t="s">
        <v>73</v>
      </c>
      <c r="B86" s="1" t="s">
        <v>213</v>
      </c>
      <c r="C86" s="1" t="s">
        <v>221</v>
      </c>
      <c r="D86" s="1" t="str">
        <f>"8465"</f>
        <v>8465</v>
      </c>
      <c r="E86" s="1" t="str">
        <f>"015472757"</f>
        <v>015472757</v>
      </c>
      <c r="F86" s="1" t="s">
        <v>222</v>
      </c>
      <c r="G86" s="1" t="s">
        <v>15</v>
      </c>
      <c r="H86" s="1" t="str">
        <f t="shared" si="5"/>
        <v>1</v>
      </c>
      <c r="I86" s="3">
        <v>314.07</v>
      </c>
      <c r="J86" s="4">
        <v>46065</v>
      </c>
      <c r="K86" s="1" t="s">
        <v>223</v>
      </c>
    </row>
    <row r="87" spans="1:11" x14ac:dyDescent="0.35">
      <c r="A87" s="1" t="s">
        <v>73</v>
      </c>
      <c r="B87" s="1" t="s">
        <v>177</v>
      </c>
      <c r="C87" s="1" t="s">
        <v>189</v>
      </c>
      <c r="D87" s="1" t="str">
        <f>"7520"</f>
        <v>7520</v>
      </c>
      <c r="E87" s="1" t="str">
        <f>"014244867"</f>
        <v>014244867</v>
      </c>
      <c r="F87" s="1" t="s">
        <v>190</v>
      </c>
      <c r="G87" s="1" t="s">
        <v>15</v>
      </c>
      <c r="H87" s="1" t="str">
        <f t="shared" si="5"/>
        <v>1</v>
      </c>
      <c r="I87" s="3">
        <v>334.87</v>
      </c>
      <c r="J87" s="4">
        <v>46070</v>
      </c>
      <c r="K87" s="1" t="s">
        <v>191</v>
      </c>
    </row>
    <row r="88" spans="1:11" x14ac:dyDescent="0.35">
      <c r="A88" s="1" t="s">
        <v>73</v>
      </c>
      <c r="B88" s="1" t="s">
        <v>177</v>
      </c>
      <c r="C88" s="1" t="s">
        <v>192</v>
      </c>
      <c r="D88" s="1" t="str">
        <f>"7920"</f>
        <v>7920</v>
      </c>
      <c r="E88" s="1" t="str">
        <f>"002924375"</f>
        <v>002924375</v>
      </c>
      <c r="F88" s="1" t="s">
        <v>193</v>
      </c>
      <c r="G88" s="1" t="s">
        <v>15</v>
      </c>
      <c r="H88" s="1" t="str">
        <f t="shared" si="5"/>
        <v>1</v>
      </c>
      <c r="I88" s="3">
        <v>17.82</v>
      </c>
      <c r="J88" s="4">
        <v>46070</v>
      </c>
      <c r="K88" s="1" t="s">
        <v>194</v>
      </c>
    </row>
    <row r="89" spans="1:11" x14ac:dyDescent="0.35">
      <c r="A89" s="1" t="s">
        <v>73</v>
      </c>
      <c r="B89" s="1" t="s">
        <v>177</v>
      </c>
      <c r="C89" s="1" t="s">
        <v>195</v>
      </c>
      <c r="D89" s="1" t="str">
        <f>"7920"</f>
        <v>7920</v>
      </c>
      <c r="E89" s="1" t="str">
        <f>"006826861"</f>
        <v>006826861</v>
      </c>
      <c r="F89" s="1" t="s">
        <v>196</v>
      </c>
      <c r="G89" s="1" t="s">
        <v>15</v>
      </c>
      <c r="H89" s="1" t="str">
        <f t="shared" si="5"/>
        <v>1</v>
      </c>
      <c r="I89" s="3">
        <v>274.95999999999998</v>
      </c>
      <c r="J89" s="4">
        <v>46070</v>
      </c>
      <c r="K89" s="1" t="s">
        <v>194</v>
      </c>
    </row>
    <row r="90" spans="1:11" x14ac:dyDescent="0.35">
      <c r="A90" s="1" t="s">
        <v>73</v>
      </c>
      <c r="B90" s="1" t="s">
        <v>177</v>
      </c>
      <c r="C90" s="1" t="s">
        <v>197</v>
      </c>
      <c r="D90" s="1" t="str">
        <f>"7920"</f>
        <v>7920</v>
      </c>
      <c r="E90" s="1" t="str">
        <f>"002050425"</f>
        <v>002050425</v>
      </c>
      <c r="F90" s="1" t="s">
        <v>198</v>
      </c>
      <c r="G90" s="1" t="s">
        <v>15</v>
      </c>
      <c r="H90" s="1" t="str">
        <f>"2"</f>
        <v>2</v>
      </c>
      <c r="I90" s="3">
        <v>5.78</v>
      </c>
      <c r="J90" s="4">
        <v>46070</v>
      </c>
      <c r="K90" s="1" t="s">
        <v>194</v>
      </c>
    </row>
    <row r="91" spans="1:11" x14ac:dyDescent="0.35">
      <c r="A91" s="1" t="s">
        <v>73</v>
      </c>
      <c r="B91" s="1" t="s">
        <v>177</v>
      </c>
      <c r="C91" s="1" t="s">
        <v>199</v>
      </c>
      <c r="D91" s="1" t="str">
        <f>"7920"</f>
        <v>7920</v>
      </c>
      <c r="E91" s="1" t="str">
        <f>"009265243"</f>
        <v>009265243</v>
      </c>
      <c r="F91" s="1" t="s">
        <v>200</v>
      </c>
      <c r="G91" s="1" t="s">
        <v>15</v>
      </c>
      <c r="H91" s="1" t="str">
        <f>"1"</f>
        <v>1</v>
      </c>
      <c r="I91" s="3">
        <v>25.71</v>
      </c>
      <c r="J91" s="4">
        <v>46070</v>
      </c>
      <c r="K91" s="1" t="s">
        <v>194</v>
      </c>
    </row>
    <row r="92" spans="1:11" x14ac:dyDescent="0.35">
      <c r="A92" s="1" t="s">
        <v>73</v>
      </c>
      <c r="B92" s="1" t="s">
        <v>177</v>
      </c>
      <c r="C92" s="1" t="s">
        <v>204</v>
      </c>
      <c r="D92" s="1" t="str">
        <f>"8540"</f>
        <v>8540</v>
      </c>
      <c r="E92" s="1" t="str">
        <f>"002627178"</f>
        <v>002627178</v>
      </c>
      <c r="F92" s="1" t="s">
        <v>205</v>
      </c>
      <c r="G92" s="1" t="s">
        <v>206</v>
      </c>
      <c r="H92" s="1" t="str">
        <f>"1"</f>
        <v>1</v>
      </c>
      <c r="I92" s="3">
        <v>48.94</v>
      </c>
      <c r="J92" s="4">
        <v>46070</v>
      </c>
      <c r="K92" s="1" t="s">
        <v>194</v>
      </c>
    </row>
    <row r="93" spans="1:11" x14ac:dyDescent="0.35">
      <c r="A93" s="1" t="s">
        <v>73</v>
      </c>
      <c r="B93" s="1" t="s">
        <v>224</v>
      </c>
      <c r="C93" s="1" t="s">
        <v>225</v>
      </c>
      <c r="D93" s="1" t="str">
        <f>"1740"</f>
        <v>1740</v>
      </c>
      <c r="E93" s="1" t="str">
        <f>"014685158"</f>
        <v>014685158</v>
      </c>
      <c r="F93" s="1" t="s">
        <v>226</v>
      </c>
      <c r="G93" s="1" t="s">
        <v>15</v>
      </c>
      <c r="H93" s="1" t="str">
        <f>"1"</f>
        <v>1</v>
      </c>
      <c r="I93" s="3" t="str">
        <f>"32982"</f>
        <v>32982</v>
      </c>
      <c r="J93" s="4">
        <v>46070</v>
      </c>
      <c r="K93" s="1" t="s">
        <v>227</v>
      </c>
    </row>
    <row r="94" spans="1:11" x14ac:dyDescent="0.35">
      <c r="A94" s="1" t="s">
        <v>73</v>
      </c>
      <c r="B94" s="1" t="s">
        <v>207</v>
      </c>
      <c r="C94" s="1" t="s">
        <v>208</v>
      </c>
      <c r="D94" s="1" t="str">
        <f>"5965"</f>
        <v>5965</v>
      </c>
      <c r="E94" s="1" t="str">
        <f>"016190258"</f>
        <v>016190258</v>
      </c>
      <c r="F94" s="1" t="s">
        <v>209</v>
      </c>
      <c r="G94" s="1" t="s">
        <v>15</v>
      </c>
      <c r="H94" s="1" t="str">
        <f>"15"</f>
        <v>15</v>
      </c>
      <c r="I94" s="3" t="str">
        <f>"3049"</f>
        <v>3049</v>
      </c>
      <c r="J94" s="4">
        <v>46077</v>
      </c>
      <c r="K94" s="1" t="s">
        <v>210</v>
      </c>
    </row>
    <row r="95" spans="1:11" x14ac:dyDescent="0.35">
      <c r="A95" s="1" t="s">
        <v>73</v>
      </c>
      <c r="B95" s="1" t="s">
        <v>89</v>
      </c>
      <c r="C95" s="1" t="s">
        <v>94</v>
      </c>
      <c r="D95" s="1" t="str">
        <f>"3930"</f>
        <v>3930</v>
      </c>
      <c r="E95" s="1" t="s">
        <v>95</v>
      </c>
      <c r="F95" s="1" t="s">
        <v>96</v>
      </c>
      <c r="G95" s="1" t="s">
        <v>15</v>
      </c>
      <c r="H95" s="1" t="str">
        <f>"1"</f>
        <v>1</v>
      </c>
      <c r="I95" s="3" t="str">
        <f>"10000"</f>
        <v>10000</v>
      </c>
      <c r="J95" s="4">
        <v>46090</v>
      </c>
      <c r="K95" s="1" t="s">
        <v>97</v>
      </c>
    </row>
    <row r="96" spans="1:11" x14ac:dyDescent="0.35">
      <c r="A96" s="1" t="s">
        <v>73</v>
      </c>
      <c r="B96" s="1" t="s">
        <v>177</v>
      </c>
      <c r="C96" s="1" t="s">
        <v>201</v>
      </c>
      <c r="D96" s="1" t="str">
        <f>"8465"</f>
        <v>8465</v>
      </c>
      <c r="E96" s="1" t="str">
        <f>"015726687"</f>
        <v>015726687</v>
      </c>
      <c r="F96" s="1" t="s">
        <v>202</v>
      </c>
      <c r="G96" s="1" t="s">
        <v>15</v>
      </c>
      <c r="H96" s="1" t="str">
        <f>"12"</f>
        <v>12</v>
      </c>
      <c r="I96" s="3">
        <v>18.010000000000002</v>
      </c>
      <c r="J96" s="4">
        <v>46090</v>
      </c>
      <c r="K96" s="1" t="s">
        <v>203</v>
      </c>
    </row>
    <row r="97" spans="1:11" x14ac:dyDescent="0.35">
      <c r="A97" s="1" t="s">
        <v>73</v>
      </c>
      <c r="B97" s="1" t="s">
        <v>98</v>
      </c>
      <c r="C97" s="1" t="s">
        <v>103</v>
      </c>
      <c r="D97" s="1" t="str">
        <f>"2330"</f>
        <v>2330</v>
      </c>
      <c r="E97" s="1" t="s">
        <v>104</v>
      </c>
      <c r="F97" s="1" t="s">
        <v>105</v>
      </c>
      <c r="G97" s="1" t="s">
        <v>15</v>
      </c>
      <c r="H97" s="1" t="str">
        <f t="shared" ref="H97:H106" si="6">"1"</f>
        <v>1</v>
      </c>
      <c r="I97" s="3" t="str">
        <f>"13000"</f>
        <v>13000</v>
      </c>
      <c r="J97" s="4">
        <v>46092</v>
      </c>
      <c r="K97" s="1" t="s">
        <v>106</v>
      </c>
    </row>
    <row r="98" spans="1:11" x14ac:dyDescent="0.35">
      <c r="A98" s="1" t="s">
        <v>73</v>
      </c>
      <c r="B98" s="1" t="s">
        <v>308</v>
      </c>
      <c r="C98" s="1" t="s">
        <v>315</v>
      </c>
      <c r="D98" s="1" t="str">
        <f>"4910"</f>
        <v>4910</v>
      </c>
      <c r="E98" s="1" t="s">
        <v>145</v>
      </c>
      <c r="F98" s="1" t="s">
        <v>146</v>
      </c>
      <c r="G98" s="1" t="s">
        <v>15</v>
      </c>
      <c r="H98" s="1" t="str">
        <f t="shared" si="6"/>
        <v>1</v>
      </c>
      <c r="I98" s="3" t="str">
        <f>"54820"</f>
        <v>54820</v>
      </c>
      <c r="J98" s="4">
        <v>46101</v>
      </c>
      <c r="K98" s="1" t="s">
        <v>316</v>
      </c>
    </row>
    <row r="99" spans="1:11" x14ac:dyDescent="0.35">
      <c r="A99" s="1" t="s">
        <v>73</v>
      </c>
      <c r="B99" s="1" t="s">
        <v>89</v>
      </c>
      <c r="C99" s="1" t="s">
        <v>90</v>
      </c>
      <c r="D99" s="1" t="str">
        <f>"2330"</f>
        <v>2330</v>
      </c>
      <c r="E99" s="1" t="s">
        <v>91</v>
      </c>
      <c r="F99" s="1" t="s">
        <v>92</v>
      </c>
      <c r="G99" s="1" t="s">
        <v>15</v>
      </c>
      <c r="H99" s="1" t="str">
        <f t="shared" si="6"/>
        <v>1</v>
      </c>
      <c r="I99" s="3" t="str">
        <f>"20000"</f>
        <v>20000</v>
      </c>
      <c r="J99" s="4">
        <v>46104</v>
      </c>
      <c r="K99" s="1" t="s">
        <v>93</v>
      </c>
    </row>
    <row r="100" spans="1:11" x14ac:dyDescent="0.35">
      <c r="A100" s="1" t="s">
        <v>73</v>
      </c>
      <c r="B100" s="1" t="s">
        <v>98</v>
      </c>
      <c r="C100" s="1" t="s">
        <v>107</v>
      </c>
      <c r="D100" s="1" t="str">
        <f>"2330"</f>
        <v>2330</v>
      </c>
      <c r="E100" s="1" t="s">
        <v>104</v>
      </c>
      <c r="F100" s="1" t="s">
        <v>105</v>
      </c>
      <c r="G100" s="1" t="s">
        <v>15</v>
      </c>
      <c r="H100" s="1" t="str">
        <f t="shared" si="6"/>
        <v>1</v>
      </c>
      <c r="I100" s="3" t="str">
        <f>"250"</f>
        <v>250</v>
      </c>
      <c r="J100" s="4">
        <v>46104</v>
      </c>
      <c r="K100" s="1" t="s">
        <v>108</v>
      </c>
    </row>
    <row r="101" spans="1:11" x14ac:dyDescent="0.35">
      <c r="A101" s="1" t="s">
        <v>73</v>
      </c>
      <c r="B101" s="1" t="s">
        <v>98</v>
      </c>
      <c r="C101" s="1" t="s">
        <v>109</v>
      </c>
      <c r="D101" s="1" t="str">
        <f>"2420"</f>
        <v>2420</v>
      </c>
      <c r="E101" s="1" t="s">
        <v>110</v>
      </c>
      <c r="F101" s="1" t="s">
        <v>111</v>
      </c>
      <c r="G101" s="1" t="s">
        <v>15</v>
      </c>
      <c r="H101" s="1" t="str">
        <f t="shared" si="6"/>
        <v>1</v>
      </c>
      <c r="I101" s="3" t="str">
        <f>"50000"</f>
        <v>50000</v>
      </c>
      <c r="J101" s="4">
        <v>46104</v>
      </c>
      <c r="K101" s="1" t="s">
        <v>112</v>
      </c>
    </row>
    <row r="102" spans="1:11" x14ac:dyDescent="0.35">
      <c r="A102" s="1" t="s">
        <v>73</v>
      </c>
      <c r="B102" s="1" t="s">
        <v>98</v>
      </c>
      <c r="C102" s="1" t="s">
        <v>113</v>
      </c>
      <c r="D102" s="1" t="str">
        <f>"2420"</f>
        <v>2420</v>
      </c>
      <c r="E102" s="1" t="s">
        <v>110</v>
      </c>
      <c r="F102" s="1" t="s">
        <v>111</v>
      </c>
      <c r="G102" s="1" t="s">
        <v>15</v>
      </c>
      <c r="H102" s="1" t="str">
        <f t="shared" si="6"/>
        <v>1</v>
      </c>
      <c r="I102" s="3" t="str">
        <f>"12940"</f>
        <v>12940</v>
      </c>
      <c r="J102" s="4">
        <v>46104</v>
      </c>
      <c r="K102" s="1" t="s">
        <v>112</v>
      </c>
    </row>
    <row r="103" spans="1:11" x14ac:dyDescent="0.35">
      <c r="A103" s="1" t="s">
        <v>73</v>
      </c>
      <c r="B103" s="1" t="s">
        <v>98</v>
      </c>
      <c r="C103" s="1" t="s">
        <v>114</v>
      </c>
      <c r="D103" s="1" t="str">
        <f>"3750"</f>
        <v>3750</v>
      </c>
      <c r="E103" s="1" t="s">
        <v>115</v>
      </c>
      <c r="F103" s="1" t="s">
        <v>116</v>
      </c>
      <c r="G103" s="1" t="s">
        <v>15</v>
      </c>
      <c r="H103" s="1" t="str">
        <f t="shared" si="6"/>
        <v>1</v>
      </c>
      <c r="I103" s="3" t="str">
        <f>"100"</f>
        <v>100</v>
      </c>
      <c r="J103" s="4">
        <v>46104</v>
      </c>
      <c r="K103" s="1" t="s">
        <v>117</v>
      </c>
    </row>
    <row r="104" spans="1:11" x14ac:dyDescent="0.35">
      <c r="A104" s="1" t="s">
        <v>73</v>
      </c>
      <c r="B104" s="1" t="s">
        <v>98</v>
      </c>
      <c r="C104" s="1" t="s">
        <v>118</v>
      </c>
      <c r="D104" s="1" t="str">
        <f>"3750"</f>
        <v>3750</v>
      </c>
      <c r="E104" s="1" t="s">
        <v>115</v>
      </c>
      <c r="F104" s="1" t="s">
        <v>116</v>
      </c>
      <c r="G104" s="1" t="s">
        <v>15</v>
      </c>
      <c r="H104" s="1" t="str">
        <f t="shared" si="6"/>
        <v>1</v>
      </c>
      <c r="I104" s="3" t="str">
        <f>"100"</f>
        <v>100</v>
      </c>
      <c r="J104" s="4">
        <v>46104</v>
      </c>
      <c r="K104" s="1" t="s">
        <v>117</v>
      </c>
    </row>
    <row r="105" spans="1:11" x14ac:dyDescent="0.35">
      <c r="A105" s="1" t="s">
        <v>73</v>
      </c>
      <c r="B105" s="1" t="s">
        <v>98</v>
      </c>
      <c r="C105" s="1" t="s">
        <v>123</v>
      </c>
      <c r="D105" s="1" t="str">
        <f>"3930"</f>
        <v>3930</v>
      </c>
      <c r="E105" s="1" t="str">
        <f>"010873105"</f>
        <v>010873105</v>
      </c>
      <c r="F105" s="1" t="s">
        <v>124</v>
      </c>
      <c r="G105" s="1" t="s">
        <v>15</v>
      </c>
      <c r="H105" s="1" t="str">
        <f t="shared" si="6"/>
        <v>1</v>
      </c>
      <c r="I105" s="3">
        <v>42693.5</v>
      </c>
      <c r="J105" s="4">
        <v>46104</v>
      </c>
      <c r="K105" s="1" t="s">
        <v>125</v>
      </c>
    </row>
    <row r="106" spans="1:11" x14ac:dyDescent="0.35">
      <c r="A106" s="1" t="s">
        <v>73</v>
      </c>
      <c r="B106" s="1" t="s">
        <v>98</v>
      </c>
      <c r="C106" s="1" t="s">
        <v>134</v>
      </c>
      <c r="D106" s="1" t="str">
        <f>"4220"</f>
        <v>4220</v>
      </c>
      <c r="E106" s="1" t="str">
        <f>"015058727"</f>
        <v>015058727</v>
      </c>
      <c r="F106" s="1" t="s">
        <v>135</v>
      </c>
      <c r="G106" s="1" t="s">
        <v>15</v>
      </c>
      <c r="H106" s="1" t="str">
        <f t="shared" si="6"/>
        <v>1</v>
      </c>
      <c r="I106" s="3" t="str">
        <f>"13918"</f>
        <v>13918</v>
      </c>
      <c r="J106" s="4">
        <v>46104</v>
      </c>
      <c r="K106" s="1" t="s">
        <v>136</v>
      </c>
    </row>
    <row r="107" spans="1:11" x14ac:dyDescent="0.35">
      <c r="A107" s="1" t="s">
        <v>73</v>
      </c>
      <c r="B107" s="1" t="s">
        <v>98</v>
      </c>
      <c r="C107" s="1" t="s">
        <v>137</v>
      </c>
      <c r="D107" s="1" t="str">
        <f>"4520"</f>
        <v>4520</v>
      </c>
      <c r="E107" s="1" t="str">
        <f>"014789207"</f>
        <v>014789207</v>
      </c>
      <c r="F107" s="1" t="s">
        <v>138</v>
      </c>
      <c r="G107" s="1" t="s">
        <v>15</v>
      </c>
      <c r="H107" s="1" t="str">
        <f>"4"</f>
        <v>4</v>
      </c>
      <c r="I107" s="3">
        <v>1451.86</v>
      </c>
      <c r="J107" s="4">
        <v>46104</v>
      </c>
      <c r="K107" s="1" t="s">
        <v>139</v>
      </c>
    </row>
    <row r="108" spans="1:11" x14ac:dyDescent="0.35">
      <c r="A108" s="1" t="s">
        <v>73</v>
      </c>
      <c r="B108" s="1" t="s">
        <v>98</v>
      </c>
      <c r="C108" s="1" t="s">
        <v>148</v>
      </c>
      <c r="D108" s="1" t="str">
        <f>"5660"</f>
        <v>5660</v>
      </c>
      <c r="E108" s="1" t="str">
        <f>"002248663"</f>
        <v>002248663</v>
      </c>
      <c r="F108" s="1" t="s">
        <v>149</v>
      </c>
      <c r="G108" s="1" t="s">
        <v>150</v>
      </c>
      <c r="H108" s="1" t="str">
        <f>"22"</f>
        <v>22</v>
      </c>
      <c r="I108" s="3">
        <v>132.62</v>
      </c>
      <c r="J108" s="4">
        <v>46104</v>
      </c>
      <c r="K108" s="1" t="s">
        <v>151</v>
      </c>
    </row>
    <row r="109" spans="1:11" x14ac:dyDescent="0.35">
      <c r="A109" s="1" t="s">
        <v>73</v>
      </c>
      <c r="B109" s="1" t="s">
        <v>98</v>
      </c>
      <c r="C109" s="1" t="s">
        <v>152</v>
      </c>
      <c r="D109" s="1" t="str">
        <f>"5660"</f>
        <v>5660</v>
      </c>
      <c r="E109" s="1" t="str">
        <f>"002248663"</f>
        <v>002248663</v>
      </c>
      <c r="F109" s="1" t="s">
        <v>149</v>
      </c>
      <c r="G109" s="1" t="s">
        <v>150</v>
      </c>
      <c r="H109" s="1" t="str">
        <f>"27"</f>
        <v>27</v>
      </c>
      <c r="I109" s="3">
        <v>132.62</v>
      </c>
      <c r="J109" s="4">
        <v>46104</v>
      </c>
      <c r="K109" s="1" t="s">
        <v>151</v>
      </c>
    </row>
    <row r="110" spans="1:11" x14ac:dyDescent="0.35">
      <c r="A110" s="1" t="s">
        <v>73</v>
      </c>
      <c r="B110" s="1" t="s">
        <v>98</v>
      </c>
      <c r="C110" s="1" t="s">
        <v>156</v>
      </c>
      <c r="D110" s="1" t="str">
        <f>"6115"</f>
        <v>6115</v>
      </c>
      <c r="E110" s="1" t="s">
        <v>157</v>
      </c>
      <c r="F110" s="1" t="s">
        <v>158</v>
      </c>
      <c r="G110" s="1" t="s">
        <v>15</v>
      </c>
      <c r="H110" s="1" t="str">
        <f>"4"</f>
        <v>4</v>
      </c>
      <c r="I110" s="3" t="str">
        <f>"5500"</f>
        <v>5500</v>
      </c>
      <c r="J110" s="4">
        <v>46104</v>
      </c>
      <c r="K110" s="1" t="s">
        <v>159</v>
      </c>
    </row>
    <row r="111" spans="1:11" x14ac:dyDescent="0.35">
      <c r="A111" s="1" t="s">
        <v>73</v>
      </c>
      <c r="B111" s="1" t="s">
        <v>98</v>
      </c>
      <c r="C111" s="1" t="s">
        <v>173</v>
      </c>
      <c r="D111" s="1" t="str">
        <f>"7810"</f>
        <v>7810</v>
      </c>
      <c r="E111" s="1" t="s">
        <v>174</v>
      </c>
      <c r="F111" s="1" t="s">
        <v>175</v>
      </c>
      <c r="G111" s="1" t="s">
        <v>15</v>
      </c>
      <c r="H111" s="1" t="str">
        <f>"2"</f>
        <v>2</v>
      </c>
      <c r="I111" s="3" t="str">
        <f>"2095"</f>
        <v>2095</v>
      </c>
      <c r="J111" s="4">
        <v>46104</v>
      </c>
      <c r="K111" s="1" t="s">
        <v>176</v>
      </c>
    </row>
    <row r="112" spans="1:11" x14ac:dyDescent="0.35">
      <c r="A112" s="1" t="s">
        <v>73</v>
      </c>
      <c r="B112" s="1" t="s">
        <v>308</v>
      </c>
      <c r="C112" s="1" t="s">
        <v>312</v>
      </c>
      <c r="D112" s="1" t="str">
        <f>"4520"</f>
        <v>4520</v>
      </c>
      <c r="E112" s="1" t="str">
        <f>"015206477"</f>
        <v>015206477</v>
      </c>
      <c r="F112" s="1" t="s">
        <v>313</v>
      </c>
      <c r="G112" s="1" t="s">
        <v>15</v>
      </c>
      <c r="H112" s="1" t="str">
        <f>"2"</f>
        <v>2</v>
      </c>
      <c r="I112" s="3">
        <v>19527.86</v>
      </c>
      <c r="J112" s="4">
        <v>46105</v>
      </c>
      <c r="K112" s="1" t="s">
        <v>314</v>
      </c>
    </row>
    <row r="113" spans="1:11" x14ac:dyDescent="0.35">
      <c r="A113" s="1" t="s">
        <v>73</v>
      </c>
      <c r="B113" s="1" t="s">
        <v>308</v>
      </c>
      <c r="C113" s="1" t="s">
        <v>317</v>
      </c>
      <c r="D113" s="1" t="str">
        <f>"8465"</f>
        <v>8465</v>
      </c>
      <c r="E113" s="1" t="str">
        <f>"015726687"</f>
        <v>015726687</v>
      </c>
      <c r="F113" s="1" t="s">
        <v>202</v>
      </c>
      <c r="G113" s="1" t="s">
        <v>15</v>
      </c>
      <c r="H113" s="1" t="str">
        <f>"10"</f>
        <v>10</v>
      </c>
      <c r="I113" s="3">
        <v>18.010000000000002</v>
      </c>
      <c r="J113" s="4">
        <v>46105</v>
      </c>
      <c r="K113" s="1" t="s">
        <v>318</v>
      </c>
    </row>
    <row r="114" spans="1:11" x14ac:dyDescent="0.35">
      <c r="A114" s="1" t="s">
        <v>73</v>
      </c>
      <c r="B114" s="1" t="s">
        <v>98</v>
      </c>
      <c r="C114" s="1" t="s">
        <v>99</v>
      </c>
      <c r="D114" s="1" t="str">
        <f>"2320"</f>
        <v>2320</v>
      </c>
      <c r="E114" s="1" t="s">
        <v>100</v>
      </c>
      <c r="F114" s="1" t="s">
        <v>101</v>
      </c>
      <c r="G114" s="1" t="s">
        <v>15</v>
      </c>
      <c r="H114" s="1" t="str">
        <f>"1"</f>
        <v>1</v>
      </c>
      <c r="I114" s="3" t="str">
        <f>"183753"</f>
        <v>183753</v>
      </c>
      <c r="J114" s="4">
        <v>46106</v>
      </c>
      <c r="K114" s="1" t="s">
        <v>102</v>
      </c>
    </row>
    <row r="115" spans="1:11" x14ac:dyDescent="0.35">
      <c r="A115" s="1" t="s">
        <v>73</v>
      </c>
      <c r="B115" s="1" t="s">
        <v>98</v>
      </c>
      <c r="C115" s="1" t="s">
        <v>119</v>
      </c>
      <c r="D115" s="1" t="str">
        <f>"3750"</f>
        <v>3750</v>
      </c>
      <c r="E115" s="1" t="s">
        <v>120</v>
      </c>
      <c r="F115" s="1" t="s">
        <v>121</v>
      </c>
      <c r="G115" s="1" t="s">
        <v>15</v>
      </c>
      <c r="H115" s="1" t="str">
        <f>"1"</f>
        <v>1</v>
      </c>
      <c r="I115" s="3">
        <v>12281.45</v>
      </c>
      <c r="J115" s="4">
        <v>46106</v>
      </c>
      <c r="K115" s="1" t="s">
        <v>122</v>
      </c>
    </row>
    <row r="116" spans="1:11" x14ac:dyDescent="0.35">
      <c r="A116" s="1" t="s">
        <v>73</v>
      </c>
      <c r="B116" s="1" t="s">
        <v>98</v>
      </c>
      <c r="C116" s="1" t="s">
        <v>130</v>
      </c>
      <c r="D116" s="1" t="str">
        <f>"4140"</f>
        <v>4140</v>
      </c>
      <c r="E116" s="1" t="s">
        <v>131</v>
      </c>
      <c r="F116" s="1" t="s">
        <v>132</v>
      </c>
      <c r="G116" s="1" t="s">
        <v>15</v>
      </c>
      <c r="H116" s="1" t="str">
        <f>"2"</f>
        <v>2</v>
      </c>
      <c r="I116" s="3" t="str">
        <f>"5887"</f>
        <v>5887</v>
      </c>
      <c r="J116" s="4">
        <v>46107</v>
      </c>
      <c r="K116" s="1" t="s">
        <v>133</v>
      </c>
    </row>
    <row r="117" spans="1:11" x14ac:dyDescent="0.35">
      <c r="A117" s="1" t="s">
        <v>73</v>
      </c>
      <c r="B117" s="1" t="s">
        <v>98</v>
      </c>
      <c r="C117" s="1" t="s">
        <v>166</v>
      </c>
      <c r="D117" s="1" t="str">
        <f>"6545"</f>
        <v>6545</v>
      </c>
      <c r="E117" s="1" t="str">
        <f>"015300929"</f>
        <v>015300929</v>
      </c>
      <c r="F117" s="1" t="s">
        <v>167</v>
      </c>
      <c r="G117" s="1" t="s">
        <v>168</v>
      </c>
      <c r="H117" s="1" t="str">
        <f>"9"</f>
        <v>9</v>
      </c>
      <c r="I117" s="3">
        <v>48.71</v>
      </c>
      <c r="J117" s="4">
        <v>46107</v>
      </c>
      <c r="K117" s="1" t="s">
        <v>169</v>
      </c>
    </row>
    <row r="118" spans="1:11" x14ac:dyDescent="0.35">
      <c r="A118" s="1" t="s">
        <v>73</v>
      </c>
      <c r="B118" s="1" t="s">
        <v>177</v>
      </c>
      <c r="C118" s="1" t="s">
        <v>182</v>
      </c>
      <c r="D118" s="1" t="str">
        <f>"2420"</f>
        <v>2420</v>
      </c>
      <c r="E118" s="1" t="str">
        <f>"013916071"</f>
        <v>013916071</v>
      </c>
      <c r="F118" s="1" t="s">
        <v>183</v>
      </c>
      <c r="G118" s="1" t="s">
        <v>15</v>
      </c>
      <c r="H118" s="1" t="str">
        <f>"1"</f>
        <v>1</v>
      </c>
      <c r="I118" s="3" t="str">
        <f>"23945"</f>
        <v>23945</v>
      </c>
      <c r="J118" s="4">
        <v>46108</v>
      </c>
      <c r="K118" s="1" t="s">
        <v>184</v>
      </c>
    </row>
    <row r="119" spans="1:11" x14ac:dyDescent="0.35">
      <c r="A119" s="1" t="s">
        <v>73</v>
      </c>
      <c r="B119" s="1" t="s">
        <v>98</v>
      </c>
      <c r="C119" s="1" t="s">
        <v>153</v>
      </c>
      <c r="D119" s="1" t="str">
        <f>"6110"</f>
        <v>6110</v>
      </c>
      <c r="E119" s="1" t="str">
        <f>"003046623"</f>
        <v>003046623</v>
      </c>
      <c r="F119" s="1" t="s">
        <v>154</v>
      </c>
      <c r="G119" s="1" t="s">
        <v>15</v>
      </c>
      <c r="H119" s="1" t="str">
        <f>"2"</f>
        <v>2</v>
      </c>
      <c r="I119" s="3" t="str">
        <f>"6940"</f>
        <v>6940</v>
      </c>
      <c r="J119" s="4">
        <v>46112</v>
      </c>
      <c r="K119" s="1" t="s">
        <v>155</v>
      </c>
    </row>
    <row r="120" spans="1:11" x14ac:dyDescent="0.35">
      <c r="A120" s="1" t="s">
        <v>73</v>
      </c>
      <c r="B120" s="1" t="s">
        <v>224</v>
      </c>
      <c r="C120" s="1" t="s">
        <v>231</v>
      </c>
      <c r="D120" s="1" t="str">
        <f>"2310"</f>
        <v>2310</v>
      </c>
      <c r="E120" s="1" t="str">
        <f>"016544105"</f>
        <v>016544105</v>
      </c>
      <c r="F120" s="1" t="s">
        <v>232</v>
      </c>
      <c r="G120" s="1" t="s">
        <v>15</v>
      </c>
      <c r="H120" s="1" t="str">
        <f>"1"</f>
        <v>1</v>
      </c>
      <c r="I120" s="3">
        <v>31905.14</v>
      </c>
      <c r="J120" s="4">
        <v>46112</v>
      </c>
      <c r="K120" s="1" t="s">
        <v>233</v>
      </c>
    </row>
    <row r="121" spans="1:11" x14ac:dyDescent="0.35">
      <c r="A121" s="1" t="s">
        <v>73</v>
      </c>
      <c r="B121" s="1" t="s">
        <v>224</v>
      </c>
      <c r="C121" s="1" t="s">
        <v>234</v>
      </c>
      <c r="D121" s="1" t="str">
        <f>"2310"</f>
        <v>2310</v>
      </c>
      <c r="E121" s="1" t="str">
        <f>"016544105"</f>
        <v>016544105</v>
      </c>
      <c r="F121" s="1" t="s">
        <v>232</v>
      </c>
      <c r="G121" s="1" t="s">
        <v>15</v>
      </c>
      <c r="H121" s="1" t="str">
        <f>"1"</f>
        <v>1</v>
      </c>
      <c r="I121" s="3">
        <v>31905.14</v>
      </c>
      <c r="J121" s="4">
        <v>46112</v>
      </c>
      <c r="K121" s="1" t="s">
        <v>233</v>
      </c>
    </row>
    <row r="122" spans="1:11" x14ac:dyDescent="0.35">
      <c r="A122" s="1" t="s">
        <v>73</v>
      </c>
      <c r="B122" s="1" t="s">
        <v>224</v>
      </c>
      <c r="C122" s="1" t="s">
        <v>273</v>
      </c>
      <c r="D122" s="1" t="str">
        <f>"5180"</f>
        <v>5180</v>
      </c>
      <c r="E122" s="1" t="str">
        <f>"016595021"</f>
        <v>016595021</v>
      </c>
      <c r="F122" s="1" t="s">
        <v>274</v>
      </c>
      <c r="G122" s="1" t="s">
        <v>168</v>
      </c>
      <c r="H122" s="1" t="str">
        <f>"4"</f>
        <v>4</v>
      </c>
      <c r="I122" s="3">
        <v>17611.71</v>
      </c>
      <c r="J122" s="4">
        <v>46112</v>
      </c>
      <c r="K122" s="1" t="s">
        <v>270</v>
      </c>
    </row>
    <row r="123" spans="1:11" x14ac:dyDescent="0.35">
      <c r="A123" s="1" t="s">
        <v>73</v>
      </c>
      <c r="B123" s="1" t="s">
        <v>308</v>
      </c>
      <c r="C123" s="1" t="s">
        <v>309</v>
      </c>
      <c r="D123" s="1" t="str">
        <f>"3895"</f>
        <v>3895</v>
      </c>
      <c r="E123" s="1" t="str">
        <f>"014767954"</f>
        <v>014767954</v>
      </c>
      <c r="F123" s="1" t="s">
        <v>310</v>
      </c>
      <c r="G123" s="1" t="s">
        <v>15</v>
      </c>
      <c r="H123" s="1" t="str">
        <f>"2"</f>
        <v>2</v>
      </c>
      <c r="I123" s="3">
        <v>4081.08</v>
      </c>
      <c r="J123" s="4">
        <v>46112</v>
      </c>
      <c r="K123" s="1" t="s">
        <v>311</v>
      </c>
    </row>
    <row r="124" spans="1:11" x14ac:dyDescent="0.35">
      <c r="A124" s="1" t="s">
        <v>319</v>
      </c>
      <c r="B124" s="1" t="s">
        <v>348</v>
      </c>
      <c r="C124" s="1" t="s">
        <v>349</v>
      </c>
      <c r="D124" s="1" t="str">
        <f>"3441"</f>
        <v>3441</v>
      </c>
      <c r="E124" s="1" t="str">
        <f>"002378653"</f>
        <v>002378653</v>
      </c>
      <c r="F124" s="1" t="s">
        <v>350</v>
      </c>
      <c r="G124" s="1" t="s">
        <v>15</v>
      </c>
      <c r="H124" s="1" t="str">
        <f>"1"</f>
        <v>1</v>
      </c>
      <c r="I124" s="3">
        <v>4083.95</v>
      </c>
      <c r="J124" s="4">
        <v>46028</v>
      </c>
      <c r="K124" s="1" t="s">
        <v>351</v>
      </c>
    </row>
    <row r="125" spans="1:11" x14ac:dyDescent="0.35">
      <c r="A125" s="1" t="s">
        <v>319</v>
      </c>
      <c r="B125" s="1" t="s">
        <v>359</v>
      </c>
      <c r="C125" s="1" t="s">
        <v>360</v>
      </c>
      <c r="D125" s="1" t="str">
        <f>"5120"</f>
        <v>5120</v>
      </c>
      <c r="E125" s="1" t="str">
        <f>"010777725"</f>
        <v>010777725</v>
      </c>
      <c r="F125" s="1" t="s">
        <v>361</v>
      </c>
      <c r="G125" s="1" t="s">
        <v>15</v>
      </c>
      <c r="H125" s="1" t="str">
        <f>"20"</f>
        <v>20</v>
      </c>
      <c r="I125" s="3">
        <v>101.07</v>
      </c>
      <c r="J125" s="4">
        <v>46029</v>
      </c>
      <c r="K125" s="1" t="s">
        <v>362</v>
      </c>
    </row>
    <row r="126" spans="1:11" x14ac:dyDescent="0.35">
      <c r="A126" s="1" t="s">
        <v>319</v>
      </c>
      <c r="B126" s="1" t="s">
        <v>359</v>
      </c>
      <c r="C126" s="1" t="s">
        <v>363</v>
      </c>
      <c r="D126" s="1" t="str">
        <f>"5140"</f>
        <v>5140</v>
      </c>
      <c r="E126" s="1" t="s">
        <v>364</v>
      </c>
      <c r="F126" s="1" t="s">
        <v>365</v>
      </c>
      <c r="G126" s="1" t="s">
        <v>15</v>
      </c>
      <c r="H126" s="1" t="str">
        <f>"7"</f>
        <v>7</v>
      </c>
      <c r="I126" s="3">
        <v>4943.46</v>
      </c>
      <c r="J126" s="4">
        <v>46029</v>
      </c>
      <c r="K126" s="1" t="s">
        <v>366</v>
      </c>
    </row>
    <row r="127" spans="1:11" x14ac:dyDescent="0.35">
      <c r="A127" s="1" t="s">
        <v>319</v>
      </c>
      <c r="B127" s="1" t="s">
        <v>359</v>
      </c>
      <c r="C127" s="1" t="s">
        <v>367</v>
      </c>
      <c r="D127" s="1" t="str">
        <f>"8465"</f>
        <v>8465</v>
      </c>
      <c r="E127" s="1" t="str">
        <f>"015836329"</f>
        <v>015836329</v>
      </c>
      <c r="F127" s="1" t="s">
        <v>368</v>
      </c>
      <c r="G127" s="1" t="s">
        <v>15</v>
      </c>
      <c r="H127" s="1" t="str">
        <f>"20"</f>
        <v>20</v>
      </c>
      <c r="I127" s="3">
        <v>36.25</v>
      </c>
      <c r="J127" s="4">
        <v>46029</v>
      </c>
      <c r="K127" s="1" t="s">
        <v>369</v>
      </c>
    </row>
    <row r="128" spans="1:11" x14ac:dyDescent="0.35">
      <c r="A128" s="1" t="s">
        <v>319</v>
      </c>
      <c r="B128" s="1" t="s">
        <v>352</v>
      </c>
      <c r="C128" s="1" t="s">
        <v>353</v>
      </c>
      <c r="D128" s="1" t="str">
        <f>"2340"</f>
        <v>2340</v>
      </c>
      <c r="E128" s="1" t="s">
        <v>354</v>
      </c>
      <c r="F128" s="1" t="s">
        <v>355</v>
      </c>
      <c r="G128" s="1" t="s">
        <v>15</v>
      </c>
      <c r="H128" s="1" t="str">
        <f>"1"</f>
        <v>1</v>
      </c>
      <c r="I128" s="3" t="str">
        <f>"2000"</f>
        <v>2000</v>
      </c>
      <c r="J128" s="4">
        <v>46036</v>
      </c>
      <c r="K128" s="1" t="s">
        <v>356</v>
      </c>
    </row>
    <row r="129" spans="1:11" x14ac:dyDescent="0.35">
      <c r="A129" s="1" t="s">
        <v>319</v>
      </c>
      <c r="B129" s="1" t="s">
        <v>352</v>
      </c>
      <c r="C129" s="1" t="s">
        <v>357</v>
      </c>
      <c r="D129" s="1" t="str">
        <f>"2340"</f>
        <v>2340</v>
      </c>
      <c r="E129" s="1" t="s">
        <v>354</v>
      </c>
      <c r="F129" s="1" t="s">
        <v>355</v>
      </c>
      <c r="G129" s="1" t="s">
        <v>15</v>
      </c>
      <c r="H129" s="1" t="str">
        <f>"1"</f>
        <v>1</v>
      </c>
      <c r="I129" s="3" t="str">
        <f>"2000"</f>
        <v>2000</v>
      </c>
      <c r="J129" s="4">
        <v>46036</v>
      </c>
      <c r="K129" s="1" t="s">
        <v>356</v>
      </c>
    </row>
    <row r="130" spans="1:11" x14ac:dyDescent="0.35">
      <c r="A130" s="1" t="s">
        <v>319</v>
      </c>
      <c r="B130" s="1" t="s">
        <v>352</v>
      </c>
      <c r="C130" s="1" t="s">
        <v>358</v>
      </c>
      <c r="D130" s="1" t="str">
        <f>"2340"</f>
        <v>2340</v>
      </c>
      <c r="E130" s="1" t="s">
        <v>354</v>
      </c>
      <c r="F130" s="1" t="s">
        <v>355</v>
      </c>
      <c r="G130" s="1" t="s">
        <v>15</v>
      </c>
      <c r="H130" s="1" t="str">
        <f>"1"</f>
        <v>1</v>
      </c>
      <c r="I130" s="3" t="str">
        <f>"2000"</f>
        <v>2000</v>
      </c>
      <c r="J130" s="4">
        <v>46036</v>
      </c>
      <c r="K130" s="1" t="s">
        <v>356</v>
      </c>
    </row>
    <row r="131" spans="1:11" x14ac:dyDescent="0.35">
      <c r="A131" s="1" t="s">
        <v>319</v>
      </c>
      <c r="B131" s="1" t="s">
        <v>324</v>
      </c>
      <c r="C131" s="1" t="s">
        <v>325</v>
      </c>
      <c r="D131" s="1" t="str">
        <f>"8340"</f>
        <v>8340</v>
      </c>
      <c r="E131" s="1" t="str">
        <f>"013232454"</f>
        <v>013232454</v>
      </c>
      <c r="F131" s="1" t="s">
        <v>326</v>
      </c>
      <c r="G131" s="1" t="s">
        <v>15</v>
      </c>
      <c r="H131" s="1" t="str">
        <f>"2"</f>
        <v>2</v>
      </c>
      <c r="I131" s="3">
        <v>5871.86</v>
      </c>
      <c r="J131" s="4">
        <v>46071</v>
      </c>
      <c r="K131" s="1" t="s">
        <v>327</v>
      </c>
    </row>
    <row r="132" spans="1:11" x14ac:dyDescent="0.35">
      <c r="A132" s="1" t="s">
        <v>319</v>
      </c>
      <c r="B132" s="1" t="s">
        <v>328</v>
      </c>
      <c r="C132" s="1" t="s">
        <v>336</v>
      </c>
      <c r="D132" s="1" t="str">
        <f>"8145"</f>
        <v>8145</v>
      </c>
      <c r="E132" s="1" t="str">
        <f>"014862408"</f>
        <v>014862408</v>
      </c>
      <c r="F132" s="1" t="s">
        <v>337</v>
      </c>
      <c r="G132" s="1" t="s">
        <v>15</v>
      </c>
      <c r="H132" s="1" t="str">
        <f>"1"</f>
        <v>1</v>
      </c>
      <c r="I132" s="3">
        <v>21558.55</v>
      </c>
      <c r="J132" s="4">
        <v>46071</v>
      </c>
      <c r="K132" s="1" t="s">
        <v>338</v>
      </c>
    </row>
    <row r="133" spans="1:11" x14ac:dyDescent="0.35">
      <c r="A133" s="1" t="s">
        <v>319</v>
      </c>
      <c r="B133" s="1" t="s">
        <v>370</v>
      </c>
      <c r="C133" s="1" t="s">
        <v>375</v>
      </c>
      <c r="D133" s="1" t="str">
        <f>"5130"</f>
        <v>5130</v>
      </c>
      <c r="E133" s="1" t="str">
        <f>"015476397"</f>
        <v>015476397</v>
      </c>
      <c r="F133" s="1" t="s">
        <v>376</v>
      </c>
      <c r="G133" s="1" t="s">
        <v>15</v>
      </c>
      <c r="H133" s="1" t="str">
        <f>"1"</f>
        <v>1</v>
      </c>
      <c r="I133" s="3">
        <v>492.38</v>
      </c>
      <c r="J133" s="4">
        <v>46072</v>
      </c>
      <c r="K133" s="1" t="s">
        <v>377</v>
      </c>
    </row>
    <row r="134" spans="1:11" x14ac:dyDescent="0.35">
      <c r="A134" s="1" t="s">
        <v>319</v>
      </c>
      <c r="B134" s="1" t="s">
        <v>370</v>
      </c>
      <c r="C134" s="1" t="s">
        <v>378</v>
      </c>
      <c r="D134" s="1" t="str">
        <f>"5140"</f>
        <v>5140</v>
      </c>
      <c r="E134" s="1" t="s">
        <v>379</v>
      </c>
      <c r="F134" s="1" t="s">
        <v>380</v>
      </c>
      <c r="G134" s="1" t="s">
        <v>15</v>
      </c>
      <c r="H134" s="1" t="str">
        <f>"1"</f>
        <v>1</v>
      </c>
      <c r="I134" s="3">
        <v>802.4</v>
      </c>
      <c r="J134" s="4">
        <v>46072</v>
      </c>
      <c r="K134" s="1" t="s">
        <v>381</v>
      </c>
    </row>
    <row r="135" spans="1:11" x14ac:dyDescent="0.35">
      <c r="A135" s="1" t="s">
        <v>319</v>
      </c>
      <c r="B135" s="1" t="s">
        <v>370</v>
      </c>
      <c r="C135" s="1" t="s">
        <v>382</v>
      </c>
      <c r="D135" s="1" t="str">
        <f>"6115"</f>
        <v>6115</v>
      </c>
      <c r="E135" s="1" t="str">
        <f>"012747387"</f>
        <v>012747387</v>
      </c>
      <c r="F135" s="1" t="s">
        <v>383</v>
      </c>
      <c r="G135" s="1" t="s">
        <v>15</v>
      </c>
      <c r="H135" s="1" t="str">
        <f>"1"</f>
        <v>1</v>
      </c>
      <c r="I135" s="3">
        <v>12797.7</v>
      </c>
      <c r="J135" s="4">
        <v>46072</v>
      </c>
      <c r="K135" s="1" t="s">
        <v>384</v>
      </c>
    </row>
    <row r="136" spans="1:11" x14ac:dyDescent="0.35">
      <c r="A136" s="1" t="s">
        <v>319</v>
      </c>
      <c r="B136" s="1" t="s">
        <v>370</v>
      </c>
      <c r="C136" s="1" t="s">
        <v>385</v>
      </c>
      <c r="D136" s="1" t="str">
        <f>"6115"</f>
        <v>6115</v>
      </c>
      <c r="E136" s="1" t="str">
        <f>"012755061"</f>
        <v>012755061</v>
      </c>
      <c r="F136" s="1" t="s">
        <v>383</v>
      </c>
      <c r="G136" s="1" t="s">
        <v>15</v>
      </c>
      <c r="H136" s="1" t="str">
        <f>"1"</f>
        <v>1</v>
      </c>
      <c r="I136" s="3" t="str">
        <f>"10700"</f>
        <v>10700</v>
      </c>
      <c r="J136" s="4">
        <v>46072</v>
      </c>
      <c r="K136" s="1" t="s">
        <v>384</v>
      </c>
    </row>
    <row r="137" spans="1:11" x14ac:dyDescent="0.35">
      <c r="A137" s="1" t="s">
        <v>319</v>
      </c>
      <c r="B137" s="1" t="s">
        <v>328</v>
      </c>
      <c r="C137" s="1" t="s">
        <v>329</v>
      </c>
      <c r="D137" s="1" t="str">
        <f>"1095"</f>
        <v>1095</v>
      </c>
      <c r="E137" s="1" t="str">
        <f>"016116448"</f>
        <v>016116448</v>
      </c>
      <c r="F137" s="1" t="s">
        <v>330</v>
      </c>
      <c r="G137" s="1" t="s">
        <v>15</v>
      </c>
      <c r="H137" s="1" t="str">
        <f>"2"</f>
        <v>2</v>
      </c>
      <c r="I137" s="3">
        <v>2558.6</v>
      </c>
      <c r="J137" s="4">
        <v>46085</v>
      </c>
      <c r="K137" s="1" t="s">
        <v>331</v>
      </c>
    </row>
    <row r="138" spans="1:11" x14ac:dyDescent="0.35">
      <c r="A138" s="1" t="s">
        <v>319</v>
      </c>
      <c r="B138" s="1" t="s">
        <v>328</v>
      </c>
      <c r="C138" s="1" t="s">
        <v>332</v>
      </c>
      <c r="D138" s="1" t="str">
        <f>"6515"</f>
        <v>6515</v>
      </c>
      <c r="E138" s="1" t="s">
        <v>333</v>
      </c>
      <c r="F138" s="1" t="s">
        <v>334</v>
      </c>
      <c r="G138" s="1" t="s">
        <v>15</v>
      </c>
      <c r="H138" s="1" t="str">
        <f>"6"</f>
        <v>6</v>
      </c>
      <c r="I138" s="3" t="str">
        <f>"1695"</f>
        <v>1695</v>
      </c>
      <c r="J138" s="4">
        <v>46085</v>
      </c>
      <c r="K138" s="1" t="s">
        <v>335</v>
      </c>
    </row>
    <row r="139" spans="1:11" x14ac:dyDescent="0.35">
      <c r="A139" s="1" t="s">
        <v>319</v>
      </c>
      <c r="B139" s="1" t="s">
        <v>328</v>
      </c>
      <c r="C139" s="1" t="s">
        <v>342</v>
      </c>
      <c r="D139" s="1" t="str">
        <f>"8465"</f>
        <v>8465</v>
      </c>
      <c r="E139" s="1" t="str">
        <f>"015800981"</f>
        <v>015800981</v>
      </c>
      <c r="F139" s="1" t="s">
        <v>343</v>
      </c>
      <c r="G139" s="1" t="s">
        <v>15</v>
      </c>
      <c r="H139" s="1" t="str">
        <f>"7"</f>
        <v>7</v>
      </c>
      <c r="I139" s="3">
        <v>75.150000000000006</v>
      </c>
      <c r="J139" s="4">
        <v>46085</v>
      </c>
      <c r="K139" s="1" t="s">
        <v>344</v>
      </c>
    </row>
    <row r="140" spans="1:11" x14ac:dyDescent="0.35">
      <c r="A140" s="1" t="s">
        <v>319</v>
      </c>
      <c r="B140" s="1" t="s">
        <v>328</v>
      </c>
      <c r="C140" s="1" t="s">
        <v>345</v>
      </c>
      <c r="D140" s="1" t="str">
        <f>"8465"</f>
        <v>8465</v>
      </c>
      <c r="E140" s="1" t="str">
        <f>"016416338"</f>
        <v>016416338</v>
      </c>
      <c r="F140" s="1" t="s">
        <v>346</v>
      </c>
      <c r="G140" s="1" t="s">
        <v>257</v>
      </c>
      <c r="H140" s="1" t="str">
        <f>"18"</f>
        <v>18</v>
      </c>
      <c r="I140" s="3">
        <v>230.44</v>
      </c>
      <c r="J140" s="4">
        <v>46085</v>
      </c>
      <c r="K140" s="1" t="s">
        <v>347</v>
      </c>
    </row>
    <row r="141" spans="1:11" x14ac:dyDescent="0.35">
      <c r="A141" s="1" t="s">
        <v>319</v>
      </c>
      <c r="B141" s="1" t="s">
        <v>328</v>
      </c>
      <c r="C141" s="1" t="s">
        <v>339</v>
      </c>
      <c r="D141" s="1" t="str">
        <f>"8465"</f>
        <v>8465</v>
      </c>
      <c r="E141" s="1" t="str">
        <f>"011093369"</f>
        <v>011093369</v>
      </c>
      <c r="F141" s="1" t="s">
        <v>340</v>
      </c>
      <c r="G141" s="1" t="s">
        <v>15</v>
      </c>
      <c r="H141" s="1" t="str">
        <f>"25"</f>
        <v>25</v>
      </c>
      <c r="I141" s="3">
        <v>12.33</v>
      </c>
      <c r="J141" s="4">
        <v>46093</v>
      </c>
      <c r="K141" s="1" t="s">
        <v>341</v>
      </c>
    </row>
    <row r="142" spans="1:11" x14ac:dyDescent="0.35">
      <c r="A142" s="1" t="s">
        <v>319</v>
      </c>
      <c r="B142" s="1" t="s">
        <v>320</v>
      </c>
      <c r="C142" s="1" t="s">
        <v>321</v>
      </c>
      <c r="D142" s="1" t="str">
        <f>"5180"</f>
        <v>5180</v>
      </c>
      <c r="E142" s="1" t="str">
        <f>"016282373"</f>
        <v>016282373</v>
      </c>
      <c r="F142" s="1" t="s">
        <v>322</v>
      </c>
      <c r="G142" s="1" t="s">
        <v>168</v>
      </c>
      <c r="H142" s="1" t="str">
        <f>"11"</f>
        <v>11</v>
      </c>
      <c r="I142" s="3" t="str">
        <f>"6690"</f>
        <v>6690</v>
      </c>
      <c r="J142" s="4">
        <v>46100</v>
      </c>
      <c r="K142" s="1" t="s">
        <v>323</v>
      </c>
    </row>
    <row r="143" spans="1:11" x14ac:dyDescent="0.35">
      <c r="A143" s="1" t="s">
        <v>319</v>
      </c>
      <c r="B143" s="1" t="s">
        <v>370</v>
      </c>
      <c r="C143" s="5" t="s">
        <v>386</v>
      </c>
      <c r="D143" s="1" t="str">
        <f>"8150"</f>
        <v>8150</v>
      </c>
      <c r="E143" s="1" t="str">
        <f>"014638553"</f>
        <v>014638553</v>
      </c>
      <c r="F143" s="1" t="s">
        <v>387</v>
      </c>
      <c r="G143" s="1" t="s">
        <v>15</v>
      </c>
      <c r="H143" s="1" t="str">
        <f>"2"</f>
        <v>2</v>
      </c>
      <c r="I143" s="3">
        <v>9188.48</v>
      </c>
      <c r="J143" s="4">
        <v>46105</v>
      </c>
      <c r="K143" s="1" t="s">
        <v>4487</v>
      </c>
    </row>
    <row r="144" spans="1:11" x14ac:dyDescent="0.35">
      <c r="A144" s="1" t="s">
        <v>319</v>
      </c>
      <c r="B144" s="1" t="s">
        <v>370</v>
      </c>
      <c r="C144" s="1" t="s">
        <v>371</v>
      </c>
      <c r="D144" s="1" t="str">
        <f>"4240"</f>
        <v>4240</v>
      </c>
      <c r="E144" s="1" t="s">
        <v>372</v>
      </c>
      <c r="F144" s="1" t="s">
        <v>373</v>
      </c>
      <c r="G144" s="1" t="s">
        <v>15</v>
      </c>
      <c r="H144" s="1" t="str">
        <f>"9"</f>
        <v>9</v>
      </c>
      <c r="I144" s="3" t="str">
        <f>"100"</f>
        <v>100</v>
      </c>
      <c r="J144" s="4">
        <v>46105</v>
      </c>
      <c r="K144" s="1" t="s">
        <v>374</v>
      </c>
    </row>
    <row r="145" spans="1:11" x14ac:dyDescent="0.35">
      <c r="A145" s="1" t="s">
        <v>388</v>
      </c>
      <c r="B145" s="1" t="s">
        <v>389</v>
      </c>
      <c r="C145" s="1" t="s">
        <v>390</v>
      </c>
      <c r="D145" s="1" t="str">
        <f>"4240"</f>
        <v>4240</v>
      </c>
      <c r="E145" s="1" t="s">
        <v>372</v>
      </c>
      <c r="F145" s="1" t="s">
        <v>373</v>
      </c>
      <c r="G145" s="1" t="s">
        <v>15</v>
      </c>
      <c r="H145" s="1" t="str">
        <f>"25"</f>
        <v>25</v>
      </c>
      <c r="I145" s="3" t="str">
        <f>"15"</f>
        <v>15</v>
      </c>
      <c r="J145" s="4">
        <v>46048</v>
      </c>
      <c r="K145" s="1" t="s">
        <v>391</v>
      </c>
    </row>
    <row r="146" spans="1:11" x14ac:dyDescent="0.35">
      <c r="A146" s="1" t="s">
        <v>388</v>
      </c>
      <c r="B146" s="1" t="s">
        <v>415</v>
      </c>
      <c r="C146" s="1" t="s">
        <v>416</v>
      </c>
      <c r="D146" s="1" t="str">
        <f>"1385"</f>
        <v>1385</v>
      </c>
      <c r="E146" s="1" t="str">
        <f>"015736046"</f>
        <v>015736046</v>
      </c>
      <c r="F146" s="1" t="s">
        <v>417</v>
      </c>
      <c r="G146" s="1" t="s">
        <v>15</v>
      </c>
      <c r="H146" s="1" t="str">
        <f t="shared" ref="H146:H152" si="7">"1"</f>
        <v>1</v>
      </c>
      <c r="I146" s="3">
        <v>284528.08</v>
      </c>
      <c r="J146" s="4">
        <v>46049</v>
      </c>
      <c r="K146" s="1" t="s">
        <v>418</v>
      </c>
    </row>
    <row r="147" spans="1:11" x14ac:dyDescent="0.35">
      <c r="A147" s="1" t="s">
        <v>388</v>
      </c>
      <c r="B147" s="1" t="s">
        <v>399</v>
      </c>
      <c r="C147" s="1" t="s">
        <v>407</v>
      </c>
      <c r="D147" s="1" t="str">
        <f>"6665"</f>
        <v>6665</v>
      </c>
      <c r="E147" s="1" t="str">
        <f>"219061023"</f>
        <v>219061023</v>
      </c>
      <c r="F147" s="1" t="s">
        <v>408</v>
      </c>
      <c r="G147" s="1" t="s">
        <v>15</v>
      </c>
      <c r="H147" s="1" t="str">
        <f t="shared" si="7"/>
        <v>1</v>
      </c>
      <c r="I147" s="3" t="str">
        <f>"2450"</f>
        <v>2450</v>
      </c>
      <c r="J147" s="4">
        <v>46064</v>
      </c>
      <c r="K147" s="1" t="s">
        <v>409</v>
      </c>
    </row>
    <row r="148" spans="1:11" x14ac:dyDescent="0.35">
      <c r="A148" s="1" t="s">
        <v>388</v>
      </c>
      <c r="B148" s="1" t="s">
        <v>399</v>
      </c>
      <c r="C148" s="1" t="s">
        <v>410</v>
      </c>
      <c r="D148" s="1" t="str">
        <f>"6665"</f>
        <v>6665</v>
      </c>
      <c r="E148" s="1" t="str">
        <f>"219061023"</f>
        <v>219061023</v>
      </c>
      <c r="F148" s="1" t="s">
        <v>408</v>
      </c>
      <c r="G148" s="1" t="s">
        <v>15</v>
      </c>
      <c r="H148" s="1" t="str">
        <f t="shared" si="7"/>
        <v>1</v>
      </c>
      <c r="I148" s="3" t="str">
        <f>"2450"</f>
        <v>2450</v>
      </c>
      <c r="J148" s="4">
        <v>46064</v>
      </c>
      <c r="K148" s="1" t="s">
        <v>409</v>
      </c>
    </row>
    <row r="149" spans="1:11" x14ac:dyDescent="0.35">
      <c r="A149" s="1" t="s">
        <v>388</v>
      </c>
      <c r="B149" s="1" t="s">
        <v>399</v>
      </c>
      <c r="C149" s="1" t="s">
        <v>400</v>
      </c>
      <c r="D149" s="1" t="str">
        <f>"3431"</f>
        <v>3431</v>
      </c>
      <c r="E149" s="1" t="s">
        <v>401</v>
      </c>
      <c r="F149" s="1" t="s">
        <v>402</v>
      </c>
      <c r="G149" s="1" t="s">
        <v>15</v>
      </c>
      <c r="H149" s="1" t="str">
        <f t="shared" si="7"/>
        <v>1</v>
      </c>
      <c r="I149" s="3">
        <v>6062.1</v>
      </c>
      <c r="J149" s="4">
        <v>46072</v>
      </c>
      <c r="K149" s="1" t="s">
        <v>403</v>
      </c>
    </row>
    <row r="150" spans="1:11" x14ac:dyDescent="0.35">
      <c r="A150" s="1" t="s">
        <v>388</v>
      </c>
      <c r="B150" s="1" t="s">
        <v>415</v>
      </c>
      <c r="C150" s="1" t="s">
        <v>422</v>
      </c>
      <c r="D150" s="1" t="str">
        <f>"3930"</f>
        <v>3930</v>
      </c>
      <c r="E150" s="1" t="s">
        <v>423</v>
      </c>
      <c r="F150" s="1" t="s">
        <v>424</v>
      </c>
      <c r="G150" s="1" t="s">
        <v>15</v>
      </c>
      <c r="H150" s="1" t="str">
        <f t="shared" si="7"/>
        <v>1</v>
      </c>
      <c r="I150" s="3">
        <v>7199.1</v>
      </c>
      <c r="J150" s="4">
        <v>46083</v>
      </c>
      <c r="K150" s="1" t="s">
        <v>425</v>
      </c>
    </row>
    <row r="151" spans="1:11" x14ac:dyDescent="0.35">
      <c r="A151" s="1" t="s">
        <v>388</v>
      </c>
      <c r="B151" s="1" t="s">
        <v>392</v>
      </c>
      <c r="C151" s="1" t="s">
        <v>393</v>
      </c>
      <c r="D151" s="1" t="str">
        <f>"2320"</f>
        <v>2320</v>
      </c>
      <c r="E151" s="1" t="str">
        <f>"010907787"</f>
        <v>010907787</v>
      </c>
      <c r="F151" s="1" t="s">
        <v>394</v>
      </c>
      <c r="G151" s="1" t="s">
        <v>15</v>
      </c>
      <c r="H151" s="1" t="str">
        <f t="shared" si="7"/>
        <v>1</v>
      </c>
      <c r="I151" s="3" t="str">
        <f>"87385"</f>
        <v>87385</v>
      </c>
      <c r="J151" s="4">
        <v>46086</v>
      </c>
      <c r="K151" s="1" t="s">
        <v>395</v>
      </c>
    </row>
    <row r="152" spans="1:11" x14ac:dyDescent="0.35">
      <c r="A152" s="1" t="s">
        <v>388</v>
      </c>
      <c r="B152" s="1" t="s">
        <v>392</v>
      </c>
      <c r="C152" s="1" t="s">
        <v>396</v>
      </c>
      <c r="D152" s="1" t="str">
        <f>"8340"</f>
        <v>8340</v>
      </c>
      <c r="E152" s="1" t="str">
        <f>"014563637"</f>
        <v>014563637</v>
      </c>
      <c r="F152" s="1" t="s">
        <v>397</v>
      </c>
      <c r="G152" s="1" t="s">
        <v>15</v>
      </c>
      <c r="H152" s="1" t="str">
        <f t="shared" si="7"/>
        <v>1</v>
      </c>
      <c r="I152" s="3">
        <v>13531.23</v>
      </c>
      <c r="J152" s="4">
        <v>46086</v>
      </c>
      <c r="K152" s="1" t="s">
        <v>398</v>
      </c>
    </row>
    <row r="153" spans="1:11" x14ac:dyDescent="0.35">
      <c r="A153" s="1" t="s">
        <v>388</v>
      </c>
      <c r="B153" s="1" t="s">
        <v>399</v>
      </c>
      <c r="C153" s="1" t="s">
        <v>411</v>
      </c>
      <c r="D153" s="1" t="str">
        <f>"8115"</f>
        <v>8115</v>
      </c>
      <c r="E153" s="1" t="s">
        <v>412</v>
      </c>
      <c r="F153" s="1" t="s">
        <v>413</v>
      </c>
      <c r="G153" s="1" t="s">
        <v>15</v>
      </c>
      <c r="H153" s="1" t="str">
        <f>"4"</f>
        <v>4</v>
      </c>
      <c r="I153" s="3" t="str">
        <f>"100"</f>
        <v>100</v>
      </c>
      <c r="J153" s="4">
        <v>46087</v>
      </c>
      <c r="K153" s="1" t="s">
        <v>414</v>
      </c>
    </row>
    <row r="154" spans="1:11" x14ac:dyDescent="0.35">
      <c r="A154" s="1" t="s">
        <v>388</v>
      </c>
      <c r="B154" s="1" t="s">
        <v>415</v>
      </c>
      <c r="C154" s="1" t="s">
        <v>428</v>
      </c>
      <c r="D154" s="1" t="str">
        <f>"6115"</f>
        <v>6115</v>
      </c>
      <c r="E154" s="1" t="s">
        <v>157</v>
      </c>
      <c r="F154" s="1" t="s">
        <v>158</v>
      </c>
      <c r="G154" s="1" t="s">
        <v>15</v>
      </c>
      <c r="H154" s="1" t="str">
        <f>"1"</f>
        <v>1</v>
      </c>
      <c r="I154" s="3">
        <v>2151.65</v>
      </c>
      <c r="J154" s="4">
        <v>46087</v>
      </c>
      <c r="K154" s="1" t="s">
        <v>429</v>
      </c>
    </row>
    <row r="155" spans="1:11" x14ac:dyDescent="0.35">
      <c r="A155" s="1" t="s">
        <v>388</v>
      </c>
      <c r="B155" s="1" t="s">
        <v>415</v>
      </c>
      <c r="C155" s="1" t="s">
        <v>430</v>
      </c>
      <c r="D155" s="1" t="str">
        <f>"8115"</f>
        <v>8115</v>
      </c>
      <c r="E155" s="1" t="str">
        <f>"012417524"</f>
        <v>012417524</v>
      </c>
      <c r="F155" s="1" t="s">
        <v>431</v>
      </c>
      <c r="G155" s="1" t="s">
        <v>15</v>
      </c>
      <c r="H155" s="1" t="str">
        <f>"1"</f>
        <v>1</v>
      </c>
      <c r="I155" s="3" t="str">
        <f>"5457"</f>
        <v>5457</v>
      </c>
      <c r="J155" s="4">
        <v>46087</v>
      </c>
      <c r="K155" s="1" t="s">
        <v>432</v>
      </c>
    </row>
    <row r="156" spans="1:11" x14ac:dyDescent="0.35">
      <c r="A156" s="1" t="s">
        <v>388</v>
      </c>
      <c r="B156" s="1" t="s">
        <v>415</v>
      </c>
      <c r="C156" s="1" t="s">
        <v>433</v>
      </c>
      <c r="D156" s="1" t="str">
        <f>"8115"</f>
        <v>8115</v>
      </c>
      <c r="E156" s="1" t="str">
        <f>"012417524"</f>
        <v>012417524</v>
      </c>
      <c r="F156" s="1" t="s">
        <v>431</v>
      </c>
      <c r="G156" s="1" t="s">
        <v>15</v>
      </c>
      <c r="H156" s="1" t="str">
        <f>"1"</f>
        <v>1</v>
      </c>
      <c r="I156" s="3" t="str">
        <f>"5457"</f>
        <v>5457</v>
      </c>
      <c r="J156" s="4">
        <v>46087</v>
      </c>
      <c r="K156" s="1" t="s">
        <v>434</v>
      </c>
    </row>
    <row r="157" spans="1:11" x14ac:dyDescent="0.35">
      <c r="A157" s="1" t="s">
        <v>388</v>
      </c>
      <c r="B157" s="1" t="s">
        <v>415</v>
      </c>
      <c r="C157" s="1" t="s">
        <v>426</v>
      </c>
      <c r="D157" s="1" t="str">
        <f>"5140"</f>
        <v>5140</v>
      </c>
      <c r="E157" s="1" t="s">
        <v>364</v>
      </c>
      <c r="F157" s="1" t="s">
        <v>365</v>
      </c>
      <c r="G157" s="1" t="s">
        <v>15</v>
      </c>
      <c r="H157" s="1" t="str">
        <f>"3"</f>
        <v>3</v>
      </c>
      <c r="I157" s="3" t="str">
        <f>"200"</f>
        <v>200</v>
      </c>
      <c r="J157" s="4">
        <v>46092</v>
      </c>
      <c r="K157" s="1" t="s">
        <v>427</v>
      </c>
    </row>
    <row r="158" spans="1:11" x14ac:dyDescent="0.35">
      <c r="A158" s="1" t="s">
        <v>388</v>
      </c>
      <c r="B158" s="1" t="s">
        <v>399</v>
      </c>
      <c r="C158" s="1" t="s">
        <v>404</v>
      </c>
      <c r="D158" s="1" t="str">
        <f>"5180"</f>
        <v>5180</v>
      </c>
      <c r="E158" s="1" t="str">
        <f>"007540661"</f>
        <v>007540661</v>
      </c>
      <c r="F158" s="1" t="s">
        <v>405</v>
      </c>
      <c r="G158" s="1" t="s">
        <v>15</v>
      </c>
      <c r="H158" s="1" t="str">
        <f>"1"</f>
        <v>1</v>
      </c>
      <c r="I158" s="3" t="str">
        <f>"549"</f>
        <v>549</v>
      </c>
      <c r="J158" s="4">
        <v>46098</v>
      </c>
      <c r="K158" s="1" t="s">
        <v>406</v>
      </c>
    </row>
    <row r="159" spans="1:11" x14ac:dyDescent="0.35">
      <c r="A159" s="1" t="s">
        <v>388</v>
      </c>
      <c r="B159" s="1" t="s">
        <v>415</v>
      </c>
      <c r="C159" s="1" t="s">
        <v>419</v>
      </c>
      <c r="D159" s="1" t="str">
        <f>"3805"</f>
        <v>3805</v>
      </c>
      <c r="E159" s="1" t="str">
        <f>"015153766"</f>
        <v>015153766</v>
      </c>
      <c r="F159" s="1" t="s">
        <v>420</v>
      </c>
      <c r="G159" s="1" t="s">
        <v>15</v>
      </c>
      <c r="H159" s="1" t="str">
        <f>"2"</f>
        <v>2</v>
      </c>
      <c r="I159" s="3">
        <v>16100.91</v>
      </c>
      <c r="J159" s="4">
        <v>46106</v>
      </c>
      <c r="K159" s="1" t="s">
        <v>421</v>
      </c>
    </row>
    <row r="160" spans="1:11" x14ac:dyDescent="0.35">
      <c r="A160" s="1" t="s">
        <v>435</v>
      </c>
      <c r="B160" s="1" t="s">
        <v>469</v>
      </c>
      <c r="C160" s="1" t="s">
        <v>470</v>
      </c>
      <c r="D160" s="1" t="str">
        <f>"3930"</f>
        <v>3930</v>
      </c>
      <c r="E160" s="1" t="s">
        <v>95</v>
      </c>
      <c r="F160" s="1" t="s">
        <v>96</v>
      </c>
      <c r="G160" s="1" t="s">
        <v>15</v>
      </c>
      <c r="H160" s="1" t="str">
        <f>"1"</f>
        <v>1</v>
      </c>
      <c r="I160" s="3" t="str">
        <f>"33199"</f>
        <v>33199</v>
      </c>
      <c r="J160" s="4">
        <v>46027</v>
      </c>
      <c r="K160" s="1" t="s">
        <v>471</v>
      </c>
    </row>
    <row r="161" spans="1:11" x14ac:dyDescent="0.35">
      <c r="A161" s="1" t="s">
        <v>435</v>
      </c>
      <c r="B161" s="1" t="s">
        <v>436</v>
      </c>
      <c r="C161" s="1" t="s">
        <v>437</v>
      </c>
      <c r="D161" s="1" t="str">
        <f>"1005"</f>
        <v>1005</v>
      </c>
      <c r="E161" s="1" t="str">
        <f>"014515119"</f>
        <v>014515119</v>
      </c>
      <c r="F161" s="1" t="s">
        <v>438</v>
      </c>
      <c r="G161" s="1" t="s">
        <v>168</v>
      </c>
      <c r="H161" s="1" t="str">
        <f>"130"</f>
        <v>130</v>
      </c>
      <c r="I161" s="3">
        <v>99.48</v>
      </c>
      <c r="J161" s="4">
        <v>46030</v>
      </c>
      <c r="K161" s="1" t="s">
        <v>439</v>
      </c>
    </row>
    <row r="162" spans="1:11" x14ac:dyDescent="0.35">
      <c r="A162" s="1" t="s">
        <v>435</v>
      </c>
      <c r="B162" s="1" t="s">
        <v>436</v>
      </c>
      <c r="C162" s="1" t="s">
        <v>443</v>
      </c>
      <c r="D162" s="1" t="str">
        <f>"1005"</f>
        <v>1005</v>
      </c>
      <c r="E162" s="1" t="str">
        <f>"014488513"</f>
        <v>014488513</v>
      </c>
      <c r="F162" s="1" t="s">
        <v>444</v>
      </c>
      <c r="G162" s="1" t="s">
        <v>15</v>
      </c>
      <c r="H162" s="1" t="str">
        <f>"76"</f>
        <v>76</v>
      </c>
      <c r="I162" s="3">
        <v>104.63</v>
      </c>
      <c r="J162" s="4">
        <v>46030</v>
      </c>
      <c r="K162" s="1" t="s">
        <v>439</v>
      </c>
    </row>
    <row r="163" spans="1:11" x14ac:dyDescent="0.35">
      <c r="A163" s="1" t="s">
        <v>435</v>
      </c>
      <c r="B163" s="1" t="s">
        <v>436</v>
      </c>
      <c r="C163" s="1" t="s">
        <v>448</v>
      </c>
      <c r="D163" s="1" t="str">
        <f>"4120"</f>
        <v>4120</v>
      </c>
      <c r="E163" s="1" t="s">
        <v>449</v>
      </c>
      <c r="F163" s="1" t="s">
        <v>450</v>
      </c>
      <c r="G163" s="1" t="s">
        <v>15</v>
      </c>
      <c r="H163" s="1" t="str">
        <f>"2"</f>
        <v>2</v>
      </c>
      <c r="I163" s="3" t="str">
        <f>"13400"</f>
        <v>13400</v>
      </c>
      <c r="J163" s="4">
        <v>46030</v>
      </c>
      <c r="K163" s="1" t="s">
        <v>451</v>
      </c>
    </row>
    <row r="164" spans="1:11" x14ac:dyDescent="0.35">
      <c r="A164" s="1" t="s">
        <v>435</v>
      </c>
      <c r="B164" s="1" t="s">
        <v>478</v>
      </c>
      <c r="C164" s="1" t="s">
        <v>496</v>
      </c>
      <c r="D164" s="1" t="str">
        <f>"3930"</f>
        <v>3930</v>
      </c>
      <c r="E164" s="1" t="s">
        <v>95</v>
      </c>
      <c r="F164" s="1" t="s">
        <v>96</v>
      </c>
      <c r="G164" s="1" t="s">
        <v>15</v>
      </c>
      <c r="H164" s="1" t="str">
        <f>"1"</f>
        <v>1</v>
      </c>
      <c r="I164" s="3" t="str">
        <f>"5000"</f>
        <v>5000</v>
      </c>
      <c r="J164" s="4">
        <v>46031</v>
      </c>
      <c r="K164" s="1" t="s">
        <v>497</v>
      </c>
    </row>
    <row r="165" spans="1:11" x14ac:dyDescent="0.35">
      <c r="A165" s="1" t="s">
        <v>435</v>
      </c>
      <c r="B165" s="1" t="s">
        <v>478</v>
      </c>
      <c r="C165" s="1" t="s">
        <v>501</v>
      </c>
      <c r="D165" s="1" t="str">
        <f>"4140"</f>
        <v>4140</v>
      </c>
      <c r="E165" s="1" t="str">
        <f>"004431210"</f>
        <v>004431210</v>
      </c>
      <c r="F165" s="1" t="s">
        <v>502</v>
      </c>
      <c r="G165" s="1" t="s">
        <v>15</v>
      </c>
      <c r="H165" s="1" t="str">
        <f>"20"</f>
        <v>20</v>
      </c>
      <c r="I165" s="3">
        <v>184.71</v>
      </c>
      <c r="J165" s="4">
        <v>46031</v>
      </c>
      <c r="K165" s="1" t="s">
        <v>503</v>
      </c>
    </row>
    <row r="166" spans="1:11" x14ac:dyDescent="0.35">
      <c r="A166" s="1" t="s">
        <v>435</v>
      </c>
      <c r="B166" s="1" t="s">
        <v>478</v>
      </c>
      <c r="C166" s="1" t="s">
        <v>604</v>
      </c>
      <c r="D166" s="1" t="str">
        <f>"5340"</f>
        <v>5340</v>
      </c>
      <c r="E166" s="1" t="str">
        <f>"016952554"</f>
        <v>016952554</v>
      </c>
      <c r="F166" s="1" t="s">
        <v>605</v>
      </c>
      <c r="G166" s="1" t="s">
        <v>15</v>
      </c>
      <c r="H166" s="1" t="str">
        <f>"161"</f>
        <v>161</v>
      </c>
      <c r="I166" s="3">
        <v>44.14</v>
      </c>
      <c r="J166" s="4">
        <v>46031</v>
      </c>
      <c r="K166" s="1" t="s">
        <v>606</v>
      </c>
    </row>
    <row r="167" spans="1:11" x14ac:dyDescent="0.35">
      <c r="A167" s="1" t="s">
        <v>435</v>
      </c>
      <c r="B167" s="1" t="s">
        <v>478</v>
      </c>
      <c r="C167" s="1" t="s">
        <v>627</v>
      </c>
      <c r="D167" s="1" t="str">
        <f>"6515"</f>
        <v>6515</v>
      </c>
      <c r="E167" s="1" t="str">
        <f>"015571136"</f>
        <v>015571136</v>
      </c>
      <c r="F167" s="1" t="s">
        <v>628</v>
      </c>
      <c r="G167" s="1" t="s">
        <v>15</v>
      </c>
      <c r="H167" s="1" t="str">
        <f>"64"</f>
        <v>64</v>
      </c>
      <c r="I167" s="3">
        <v>354.13</v>
      </c>
      <c r="J167" s="4">
        <v>46031</v>
      </c>
      <c r="K167" s="1" t="s">
        <v>629</v>
      </c>
    </row>
    <row r="168" spans="1:11" x14ac:dyDescent="0.35">
      <c r="A168" s="1" t="s">
        <v>435</v>
      </c>
      <c r="B168" s="1" t="s">
        <v>478</v>
      </c>
      <c r="C168" s="1" t="s">
        <v>646</v>
      </c>
      <c r="D168" s="1" t="str">
        <f>"6910"</f>
        <v>6910</v>
      </c>
      <c r="E168" s="1" t="s">
        <v>647</v>
      </c>
      <c r="F168" s="1" t="s">
        <v>648</v>
      </c>
      <c r="G168" s="1" t="s">
        <v>15</v>
      </c>
      <c r="H168" s="1" t="str">
        <f>"1"</f>
        <v>1</v>
      </c>
      <c r="I168" s="3" t="str">
        <f>"23810"</f>
        <v>23810</v>
      </c>
      <c r="J168" s="4">
        <v>46031</v>
      </c>
      <c r="K168" s="1" t="s">
        <v>649</v>
      </c>
    </row>
    <row r="169" spans="1:11" x14ac:dyDescent="0.35">
      <c r="A169" s="1" t="s">
        <v>435</v>
      </c>
      <c r="B169" s="1" t="s">
        <v>478</v>
      </c>
      <c r="C169" s="1" t="s">
        <v>653</v>
      </c>
      <c r="D169" s="1" t="str">
        <f>"7025"</f>
        <v>7025</v>
      </c>
      <c r="E169" s="1" t="str">
        <f>"661638390"</f>
        <v>661638390</v>
      </c>
      <c r="F169" s="1" t="s">
        <v>654</v>
      </c>
      <c r="G169" s="1" t="s">
        <v>15</v>
      </c>
      <c r="H169" s="1" t="str">
        <f>"38"</f>
        <v>38</v>
      </c>
      <c r="I169" s="3">
        <v>52.69</v>
      </c>
      <c r="J169" s="4">
        <v>46031</v>
      </c>
      <c r="K169" s="1" t="s">
        <v>655</v>
      </c>
    </row>
    <row r="170" spans="1:11" x14ac:dyDescent="0.35">
      <c r="A170" s="1" t="s">
        <v>435</v>
      </c>
      <c r="B170" s="1" t="s">
        <v>478</v>
      </c>
      <c r="C170" s="1" t="s">
        <v>672</v>
      </c>
      <c r="D170" s="1" t="str">
        <f>"8020"</f>
        <v>8020</v>
      </c>
      <c r="E170" s="1" t="str">
        <f>"002601306"</f>
        <v>002601306</v>
      </c>
      <c r="F170" s="1" t="s">
        <v>673</v>
      </c>
      <c r="G170" s="1" t="s">
        <v>15</v>
      </c>
      <c r="H170" s="1" t="str">
        <f>"25"</f>
        <v>25</v>
      </c>
      <c r="I170" s="3">
        <v>1.1299999999999999</v>
      </c>
      <c r="J170" s="4">
        <v>46031</v>
      </c>
      <c r="K170" s="1" t="s">
        <v>674</v>
      </c>
    </row>
    <row r="171" spans="1:11" x14ac:dyDescent="0.35">
      <c r="A171" s="1" t="s">
        <v>435</v>
      </c>
      <c r="B171" s="1" t="s">
        <v>478</v>
      </c>
      <c r="C171" s="1" t="s">
        <v>675</v>
      </c>
      <c r="D171" s="1" t="str">
        <f>"8145"</f>
        <v>8145</v>
      </c>
      <c r="E171" s="1" t="str">
        <f>"013870007"</f>
        <v>013870007</v>
      </c>
      <c r="F171" s="1" t="s">
        <v>676</v>
      </c>
      <c r="G171" s="1" t="s">
        <v>15</v>
      </c>
      <c r="H171" s="1" t="str">
        <f>"9"</f>
        <v>9</v>
      </c>
      <c r="I171" s="3">
        <v>191.68</v>
      </c>
      <c r="J171" s="4">
        <v>46031</v>
      </c>
      <c r="K171" s="1" t="s">
        <v>677</v>
      </c>
    </row>
    <row r="172" spans="1:11" x14ac:dyDescent="0.35">
      <c r="A172" s="1" t="s">
        <v>435</v>
      </c>
      <c r="B172" s="1" t="s">
        <v>478</v>
      </c>
      <c r="C172" s="1" t="s">
        <v>686</v>
      </c>
      <c r="D172" s="1" t="str">
        <f>"9920"</f>
        <v>9920</v>
      </c>
      <c r="E172" s="1" t="str">
        <f>"002929946"</f>
        <v>002929946</v>
      </c>
      <c r="F172" s="1" t="s">
        <v>687</v>
      </c>
      <c r="G172" s="1" t="s">
        <v>206</v>
      </c>
      <c r="H172" s="1" t="str">
        <f>"3"</f>
        <v>3</v>
      </c>
      <c r="I172" s="3">
        <v>29.51</v>
      </c>
      <c r="J172" s="4">
        <v>46031</v>
      </c>
      <c r="K172" s="1" t="s">
        <v>688</v>
      </c>
    </row>
    <row r="173" spans="1:11" x14ac:dyDescent="0.35">
      <c r="A173" s="1" t="s">
        <v>435</v>
      </c>
      <c r="B173" s="1" t="s">
        <v>478</v>
      </c>
      <c r="C173" s="1" t="s">
        <v>504</v>
      </c>
      <c r="D173" s="1" t="str">
        <f>"4220"</f>
        <v>4220</v>
      </c>
      <c r="E173" s="1" t="str">
        <f>"015597376"</f>
        <v>015597376</v>
      </c>
      <c r="F173" s="1" t="s">
        <v>505</v>
      </c>
      <c r="G173" s="1" t="s">
        <v>15</v>
      </c>
      <c r="H173" s="1" t="str">
        <f>"1"</f>
        <v>1</v>
      </c>
      <c r="I173" s="3">
        <v>1336.56</v>
      </c>
      <c r="J173" s="4">
        <v>46045</v>
      </c>
      <c r="K173" s="1" t="s">
        <v>506</v>
      </c>
    </row>
    <row r="174" spans="1:11" x14ac:dyDescent="0.35">
      <c r="A174" s="1" t="s">
        <v>435</v>
      </c>
      <c r="B174" s="1" t="s">
        <v>478</v>
      </c>
      <c r="C174" s="1" t="s">
        <v>510</v>
      </c>
      <c r="D174" s="1" t="str">
        <f>"4730"</f>
        <v>4730</v>
      </c>
      <c r="E174" s="1" t="str">
        <f>"010079254"</f>
        <v>010079254</v>
      </c>
      <c r="F174" s="1" t="s">
        <v>511</v>
      </c>
      <c r="G174" s="1" t="s">
        <v>15</v>
      </c>
      <c r="H174" s="1" t="str">
        <f>"10"</f>
        <v>10</v>
      </c>
      <c r="I174" s="3">
        <v>1.45</v>
      </c>
      <c r="J174" s="4">
        <v>46045</v>
      </c>
      <c r="K174" s="1" t="s">
        <v>512</v>
      </c>
    </row>
    <row r="175" spans="1:11" x14ac:dyDescent="0.35">
      <c r="A175" s="1" t="s">
        <v>435</v>
      </c>
      <c r="B175" s="1" t="s">
        <v>478</v>
      </c>
      <c r="C175" s="1" t="s">
        <v>513</v>
      </c>
      <c r="D175" s="1" t="str">
        <f>"4730"</f>
        <v>4730</v>
      </c>
      <c r="E175" s="1" t="str">
        <f>"005783355"</f>
        <v>005783355</v>
      </c>
      <c r="F175" s="1" t="s">
        <v>511</v>
      </c>
      <c r="G175" s="1" t="s">
        <v>15</v>
      </c>
      <c r="H175" s="1" t="str">
        <f>"4"</f>
        <v>4</v>
      </c>
      <c r="I175" s="3">
        <v>3.68</v>
      </c>
      <c r="J175" s="4">
        <v>46045</v>
      </c>
      <c r="K175" s="1" t="s">
        <v>514</v>
      </c>
    </row>
    <row r="176" spans="1:11" x14ac:dyDescent="0.35">
      <c r="A176" s="1" t="s">
        <v>435</v>
      </c>
      <c r="B176" s="1" t="s">
        <v>478</v>
      </c>
      <c r="C176" s="1" t="s">
        <v>518</v>
      </c>
      <c r="D176" s="1" t="str">
        <f>"5110"</f>
        <v>5110</v>
      </c>
      <c r="E176" s="1" t="str">
        <f>"002398253"</f>
        <v>002398253</v>
      </c>
      <c r="F176" s="1" t="s">
        <v>519</v>
      </c>
      <c r="G176" s="1" t="s">
        <v>15</v>
      </c>
      <c r="H176" s="1" t="str">
        <f>"12"</f>
        <v>12</v>
      </c>
      <c r="I176" s="3">
        <v>20.39</v>
      </c>
      <c r="J176" s="4">
        <v>46045</v>
      </c>
      <c r="K176" s="1" t="s">
        <v>520</v>
      </c>
    </row>
    <row r="177" spans="1:11" x14ac:dyDescent="0.35">
      <c r="A177" s="1" t="s">
        <v>435</v>
      </c>
      <c r="B177" s="1" t="s">
        <v>478</v>
      </c>
      <c r="C177" s="1" t="s">
        <v>597</v>
      </c>
      <c r="D177" s="1" t="str">
        <f>"5315"</f>
        <v>5315</v>
      </c>
      <c r="E177" s="1" t="str">
        <f>"005985916"</f>
        <v>005985916</v>
      </c>
      <c r="F177" s="1" t="s">
        <v>598</v>
      </c>
      <c r="G177" s="1" t="s">
        <v>599</v>
      </c>
      <c r="H177" s="1" t="str">
        <f>"1"</f>
        <v>1</v>
      </c>
      <c r="I177" s="3">
        <v>10.84</v>
      </c>
      <c r="J177" s="4">
        <v>46045</v>
      </c>
      <c r="K177" s="1" t="s">
        <v>600</v>
      </c>
    </row>
    <row r="178" spans="1:11" x14ac:dyDescent="0.35">
      <c r="A178" s="1" t="s">
        <v>435</v>
      </c>
      <c r="B178" s="1" t="s">
        <v>478</v>
      </c>
      <c r="C178" s="1" t="s">
        <v>601</v>
      </c>
      <c r="D178" s="1" t="str">
        <f>"5340"</f>
        <v>5340</v>
      </c>
      <c r="E178" s="1" t="str">
        <f>"005840256"</f>
        <v>005840256</v>
      </c>
      <c r="F178" s="1" t="s">
        <v>602</v>
      </c>
      <c r="G178" s="1" t="s">
        <v>15</v>
      </c>
      <c r="H178" s="1" t="str">
        <f>"14"</f>
        <v>14</v>
      </c>
      <c r="I178" s="3">
        <v>165.87</v>
      </c>
      <c r="J178" s="4">
        <v>46045</v>
      </c>
      <c r="K178" s="1" t="s">
        <v>603</v>
      </c>
    </row>
    <row r="179" spans="1:11" x14ac:dyDescent="0.35">
      <c r="A179" s="1" t="s">
        <v>435</v>
      </c>
      <c r="B179" s="1" t="s">
        <v>478</v>
      </c>
      <c r="C179" s="1" t="s">
        <v>610</v>
      </c>
      <c r="D179" s="1" t="str">
        <f>"5510"</f>
        <v>5510</v>
      </c>
      <c r="E179" s="1" t="str">
        <f>"002683481"</f>
        <v>002683481</v>
      </c>
      <c r="F179" s="1" t="s">
        <v>611</v>
      </c>
      <c r="G179" s="1" t="s">
        <v>293</v>
      </c>
      <c r="H179" s="1" t="str">
        <f>"90"</f>
        <v>90</v>
      </c>
      <c r="I179" s="3">
        <v>44.17</v>
      </c>
      <c r="J179" s="4">
        <v>46045</v>
      </c>
      <c r="K179" s="1" t="s">
        <v>612</v>
      </c>
    </row>
    <row r="180" spans="1:11" x14ac:dyDescent="0.35">
      <c r="A180" s="1" t="s">
        <v>435</v>
      </c>
      <c r="B180" s="1" t="s">
        <v>478</v>
      </c>
      <c r="C180" s="1" t="s">
        <v>650</v>
      </c>
      <c r="D180" s="1" t="str">
        <f>"6930"</f>
        <v>6930</v>
      </c>
      <c r="E180" s="1" t="str">
        <f>"016921671"</f>
        <v>016921671</v>
      </c>
      <c r="F180" s="1" t="s">
        <v>651</v>
      </c>
      <c r="G180" s="1" t="s">
        <v>15</v>
      </c>
      <c r="H180" s="1" t="str">
        <f>"6"</f>
        <v>6</v>
      </c>
      <c r="I180" s="3">
        <v>2694.38</v>
      </c>
      <c r="J180" s="4">
        <v>46045</v>
      </c>
      <c r="K180" s="1" t="s">
        <v>652</v>
      </c>
    </row>
    <row r="181" spans="1:11" x14ac:dyDescent="0.35">
      <c r="A181" s="1" t="s">
        <v>435</v>
      </c>
      <c r="B181" s="1" t="s">
        <v>478</v>
      </c>
      <c r="C181" s="1" t="s">
        <v>492</v>
      </c>
      <c r="D181" s="1" t="str">
        <f>"3920"</f>
        <v>3920</v>
      </c>
      <c r="E181" s="1" t="s">
        <v>493</v>
      </c>
      <c r="F181" s="1" t="s">
        <v>494</v>
      </c>
      <c r="G181" s="1" t="s">
        <v>15</v>
      </c>
      <c r="H181" s="1" t="str">
        <f>"1"</f>
        <v>1</v>
      </c>
      <c r="I181" s="3" t="str">
        <f>"643"</f>
        <v>643</v>
      </c>
      <c r="J181" s="4">
        <v>46062</v>
      </c>
      <c r="K181" s="1" t="s">
        <v>495</v>
      </c>
    </row>
    <row r="182" spans="1:11" x14ac:dyDescent="0.35">
      <c r="A182" s="1" t="s">
        <v>435</v>
      </c>
      <c r="B182" s="1" t="s">
        <v>478</v>
      </c>
      <c r="C182" s="1" t="s">
        <v>507</v>
      </c>
      <c r="D182" s="1" t="str">
        <f>"4730"</f>
        <v>4730</v>
      </c>
      <c r="E182" s="1" t="str">
        <f>"001425207"</f>
        <v>001425207</v>
      </c>
      <c r="F182" s="1" t="s">
        <v>508</v>
      </c>
      <c r="G182" s="1" t="s">
        <v>15</v>
      </c>
      <c r="H182" s="1" t="str">
        <f>"2"</f>
        <v>2</v>
      </c>
      <c r="I182" s="3">
        <v>60.63</v>
      </c>
      <c r="J182" s="4">
        <v>46062</v>
      </c>
      <c r="K182" s="1" t="s">
        <v>509</v>
      </c>
    </row>
    <row r="183" spans="1:11" x14ac:dyDescent="0.35">
      <c r="A183" s="1" t="s">
        <v>435</v>
      </c>
      <c r="B183" s="1" t="s">
        <v>478</v>
      </c>
      <c r="C183" s="1" t="s">
        <v>515</v>
      </c>
      <c r="D183" s="1" t="str">
        <f>"5110"</f>
        <v>5110</v>
      </c>
      <c r="E183" s="1" t="str">
        <f>"013684460"</f>
        <v>013684460</v>
      </c>
      <c r="F183" s="1" t="s">
        <v>516</v>
      </c>
      <c r="G183" s="1" t="s">
        <v>15</v>
      </c>
      <c r="H183" s="1" t="str">
        <f>"1"</f>
        <v>1</v>
      </c>
      <c r="I183" s="3">
        <v>38.450000000000003</v>
      </c>
      <c r="J183" s="4">
        <v>46062</v>
      </c>
      <c r="K183" s="1" t="s">
        <v>517</v>
      </c>
    </row>
    <row r="184" spans="1:11" x14ac:dyDescent="0.35">
      <c r="A184" s="1" t="s">
        <v>435</v>
      </c>
      <c r="B184" s="1" t="s">
        <v>478</v>
      </c>
      <c r="C184" s="1" t="s">
        <v>521</v>
      </c>
      <c r="D184" s="1" t="str">
        <f t="shared" ref="D184:D192" si="8">"5120"</f>
        <v>5120</v>
      </c>
      <c r="E184" s="1" t="str">
        <f>"002778301"</f>
        <v>002778301</v>
      </c>
      <c r="F184" s="1" t="s">
        <v>522</v>
      </c>
      <c r="G184" s="1" t="s">
        <v>15</v>
      </c>
      <c r="H184" s="1" t="str">
        <f>"1"</f>
        <v>1</v>
      </c>
      <c r="I184" s="3">
        <v>12.93</v>
      </c>
      <c r="J184" s="4">
        <v>46062</v>
      </c>
      <c r="K184" s="1" t="s">
        <v>523</v>
      </c>
    </row>
    <row r="185" spans="1:11" x14ac:dyDescent="0.35">
      <c r="A185" s="1" t="s">
        <v>435</v>
      </c>
      <c r="B185" s="1" t="s">
        <v>478</v>
      </c>
      <c r="C185" s="1" t="s">
        <v>524</v>
      </c>
      <c r="D185" s="1" t="str">
        <f t="shared" si="8"/>
        <v>5120</v>
      </c>
      <c r="E185" s="1" t="str">
        <f>"014350668"</f>
        <v>014350668</v>
      </c>
      <c r="F185" s="1" t="s">
        <v>525</v>
      </c>
      <c r="G185" s="1" t="s">
        <v>15</v>
      </c>
      <c r="H185" s="1" t="str">
        <f>"1"</f>
        <v>1</v>
      </c>
      <c r="I185" s="3">
        <v>12.8</v>
      </c>
      <c r="J185" s="4">
        <v>46062</v>
      </c>
      <c r="K185" s="1" t="s">
        <v>526</v>
      </c>
    </row>
    <row r="186" spans="1:11" x14ac:dyDescent="0.35">
      <c r="A186" s="1" t="s">
        <v>435</v>
      </c>
      <c r="B186" s="1" t="s">
        <v>478</v>
      </c>
      <c r="C186" s="1" t="s">
        <v>527</v>
      </c>
      <c r="D186" s="1" t="str">
        <f t="shared" si="8"/>
        <v>5120</v>
      </c>
      <c r="E186" s="1" t="str">
        <f>"013351325"</f>
        <v>013351325</v>
      </c>
      <c r="F186" s="1" t="s">
        <v>528</v>
      </c>
      <c r="G186" s="1" t="s">
        <v>15</v>
      </c>
      <c r="H186" s="1" t="str">
        <f>"2"</f>
        <v>2</v>
      </c>
      <c r="I186" s="3">
        <v>9.17</v>
      </c>
      <c r="J186" s="4">
        <v>46062</v>
      </c>
      <c r="K186" s="1" t="s">
        <v>529</v>
      </c>
    </row>
    <row r="187" spans="1:11" x14ac:dyDescent="0.35">
      <c r="A187" s="1" t="s">
        <v>435</v>
      </c>
      <c r="B187" s="1" t="s">
        <v>478</v>
      </c>
      <c r="C187" s="1" t="s">
        <v>530</v>
      </c>
      <c r="D187" s="1" t="str">
        <f t="shared" si="8"/>
        <v>5120</v>
      </c>
      <c r="E187" s="1" t="str">
        <f>"013690660"</f>
        <v>013690660</v>
      </c>
      <c r="F187" s="1" t="s">
        <v>531</v>
      </c>
      <c r="G187" s="1" t="s">
        <v>15</v>
      </c>
      <c r="H187" s="1" t="str">
        <f>"4"</f>
        <v>4</v>
      </c>
      <c r="I187" s="3">
        <v>2.33</v>
      </c>
      <c r="J187" s="4">
        <v>46062</v>
      </c>
      <c r="K187" s="1" t="s">
        <v>532</v>
      </c>
    </row>
    <row r="188" spans="1:11" x14ac:dyDescent="0.35">
      <c r="A188" s="1" t="s">
        <v>435</v>
      </c>
      <c r="B188" s="1" t="s">
        <v>478</v>
      </c>
      <c r="C188" s="1" t="s">
        <v>533</v>
      </c>
      <c r="D188" s="1" t="str">
        <f t="shared" si="8"/>
        <v>5120</v>
      </c>
      <c r="E188" s="1" t="str">
        <f>"014799225"</f>
        <v>014799225</v>
      </c>
      <c r="F188" s="1" t="s">
        <v>534</v>
      </c>
      <c r="G188" s="1" t="s">
        <v>15</v>
      </c>
      <c r="H188" s="1" t="str">
        <f>"1"</f>
        <v>1</v>
      </c>
      <c r="I188" s="3">
        <v>12.38</v>
      </c>
      <c r="J188" s="4">
        <v>46062</v>
      </c>
      <c r="K188" s="1" t="s">
        <v>535</v>
      </c>
    </row>
    <row r="189" spans="1:11" x14ac:dyDescent="0.35">
      <c r="A189" s="1" t="s">
        <v>435</v>
      </c>
      <c r="B189" s="1" t="s">
        <v>478</v>
      </c>
      <c r="C189" s="1" t="s">
        <v>536</v>
      </c>
      <c r="D189" s="1" t="str">
        <f t="shared" si="8"/>
        <v>5120</v>
      </c>
      <c r="E189" s="1" t="s">
        <v>537</v>
      </c>
      <c r="F189" s="1" t="s">
        <v>538</v>
      </c>
      <c r="G189" s="1" t="s">
        <v>15</v>
      </c>
      <c r="H189" s="1" t="str">
        <f>"11"</f>
        <v>11</v>
      </c>
      <c r="I189" s="3">
        <v>53.55</v>
      </c>
      <c r="J189" s="4">
        <v>46062</v>
      </c>
      <c r="K189" s="1" t="s">
        <v>539</v>
      </c>
    </row>
    <row r="190" spans="1:11" x14ac:dyDescent="0.35">
      <c r="A190" s="1" t="s">
        <v>435</v>
      </c>
      <c r="B190" s="1" t="s">
        <v>478</v>
      </c>
      <c r="C190" s="1" t="s">
        <v>540</v>
      </c>
      <c r="D190" s="1" t="str">
        <f t="shared" si="8"/>
        <v>5120</v>
      </c>
      <c r="E190" s="1" t="s">
        <v>537</v>
      </c>
      <c r="F190" s="1" t="s">
        <v>538</v>
      </c>
      <c r="G190" s="1" t="s">
        <v>15</v>
      </c>
      <c r="H190" s="1" t="str">
        <f>"18"</f>
        <v>18</v>
      </c>
      <c r="I190" s="3" t="str">
        <f>"77"</f>
        <v>77</v>
      </c>
      <c r="J190" s="4">
        <v>46062</v>
      </c>
      <c r="K190" s="1" t="s">
        <v>539</v>
      </c>
    </row>
    <row r="191" spans="1:11" x14ac:dyDescent="0.35">
      <c r="A191" s="1" t="s">
        <v>435</v>
      </c>
      <c r="B191" s="1" t="s">
        <v>478</v>
      </c>
      <c r="C191" s="1" t="s">
        <v>541</v>
      </c>
      <c r="D191" s="1" t="str">
        <f t="shared" si="8"/>
        <v>5120</v>
      </c>
      <c r="E191" s="1" t="s">
        <v>542</v>
      </c>
      <c r="F191" s="1" t="s">
        <v>543</v>
      </c>
      <c r="G191" s="1" t="s">
        <v>15</v>
      </c>
      <c r="H191" s="1" t="str">
        <f>"15"</f>
        <v>15</v>
      </c>
      <c r="I191" s="3" t="str">
        <f>"50"</f>
        <v>50</v>
      </c>
      <c r="J191" s="4">
        <v>46062</v>
      </c>
      <c r="K191" s="1" t="s">
        <v>544</v>
      </c>
    </row>
    <row r="192" spans="1:11" x14ac:dyDescent="0.35">
      <c r="A192" s="1" t="s">
        <v>435</v>
      </c>
      <c r="B192" s="1" t="s">
        <v>478</v>
      </c>
      <c r="C192" s="1" t="s">
        <v>548</v>
      </c>
      <c r="D192" s="1" t="str">
        <f t="shared" si="8"/>
        <v>5120</v>
      </c>
      <c r="E192" s="1" t="str">
        <f>"005961199"</f>
        <v>005961199</v>
      </c>
      <c r="F192" s="1" t="s">
        <v>549</v>
      </c>
      <c r="G192" s="1" t="s">
        <v>15</v>
      </c>
      <c r="H192" s="1" t="str">
        <f>"1"</f>
        <v>1</v>
      </c>
      <c r="I192" s="3">
        <v>12.93</v>
      </c>
      <c r="J192" s="4">
        <v>46062</v>
      </c>
      <c r="K192" s="1" t="s">
        <v>550</v>
      </c>
    </row>
    <row r="193" spans="1:11" x14ac:dyDescent="0.35">
      <c r="A193" s="1" t="s">
        <v>435</v>
      </c>
      <c r="B193" s="1" t="s">
        <v>478</v>
      </c>
      <c r="C193" s="1" t="s">
        <v>564</v>
      </c>
      <c r="D193" s="1" t="str">
        <f t="shared" ref="D193:D204" si="9">"5130"</f>
        <v>5130</v>
      </c>
      <c r="E193" s="1" t="s">
        <v>565</v>
      </c>
      <c r="F193" s="1" t="s">
        <v>566</v>
      </c>
      <c r="G193" s="1" t="s">
        <v>15</v>
      </c>
      <c r="H193" s="1" t="str">
        <f>"1"</f>
        <v>1</v>
      </c>
      <c r="I193" s="3">
        <v>139.9</v>
      </c>
      <c r="J193" s="4">
        <v>46062</v>
      </c>
      <c r="K193" s="1" t="s">
        <v>567</v>
      </c>
    </row>
    <row r="194" spans="1:11" x14ac:dyDescent="0.35">
      <c r="A194" s="1" t="s">
        <v>435</v>
      </c>
      <c r="B194" s="1" t="s">
        <v>478</v>
      </c>
      <c r="C194" s="1" t="s">
        <v>568</v>
      </c>
      <c r="D194" s="1" t="str">
        <f t="shared" si="9"/>
        <v>5130</v>
      </c>
      <c r="E194" s="1" t="str">
        <f>"005958179"</f>
        <v>005958179</v>
      </c>
      <c r="F194" s="1" t="s">
        <v>569</v>
      </c>
      <c r="G194" s="1" t="s">
        <v>15</v>
      </c>
      <c r="H194" s="1" t="str">
        <f>"2"</f>
        <v>2</v>
      </c>
      <c r="I194" s="3">
        <v>14.82</v>
      </c>
      <c r="J194" s="4">
        <v>46062</v>
      </c>
      <c r="K194" s="1" t="s">
        <v>570</v>
      </c>
    </row>
    <row r="195" spans="1:11" x14ac:dyDescent="0.35">
      <c r="A195" s="1" t="s">
        <v>435</v>
      </c>
      <c r="B195" s="1" t="s">
        <v>478</v>
      </c>
      <c r="C195" s="1" t="s">
        <v>571</v>
      </c>
      <c r="D195" s="1" t="str">
        <f t="shared" si="9"/>
        <v>5130</v>
      </c>
      <c r="E195" s="1" t="s">
        <v>565</v>
      </c>
      <c r="F195" s="1" t="s">
        <v>566</v>
      </c>
      <c r="G195" s="1" t="s">
        <v>15</v>
      </c>
      <c r="H195" s="1" t="str">
        <f>"1"</f>
        <v>1</v>
      </c>
      <c r="I195" s="3" t="str">
        <f>"125"</f>
        <v>125</v>
      </c>
      <c r="J195" s="4">
        <v>46062</v>
      </c>
      <c r="K195" s="1" t="s">
        <v>567</v>
      </c>
    </row>
    <row r="196" spans="1:11" x14ac:dyDescent="0.35">
      <c r="A196" s="1" t="s">
        <v>435</v>
      </c>
      <c r="B196" s="1" t="s">
        <v>478</v>
      </c>
      <c r="C196" s="1" t="s">
        <v>572</v>
      </c>
      <c r="D196" s="1" t="str">
        <f t="shared" si="9"/>
        <v>5130</v>
      </c>
      <c r="E196" s="1" t="s">
        <v>573</v>
      </c>
      <c r="F196" s="1" t="s">
        <v>574</v>
      </c>
      <c r="G196" s="1" t="s">
        <v>15</v>
      </c>
      <c r="H196" s="1" t="str">
        <f>"1"</f>
        <v>1</v>
      </c>
      <c r="I196" s="3" t="str">
        <f>"215"</f>
        <v>215</v>
      </c>
      <c r="J196" s="4">
        <v>46062</v>
      </c>
      <c r="K196" s="1" t="s">
        <v>575</v>
      </c>
    </row>
    <row r="197" spans="1:11" x14ac:dyDescent="0.35">
      <c r="A197" s="1" t="s">
        <v>435</v>
      </c>
      <c r="B197" s="1" t="s">
        <v>478</v>
      </c>
      <c r="C197" s="1" t="s">
        <v>576</v>
      </c>
      <c r="D197" s="1" t="str">
        <f t="shared" si="9"/>
        <v>5130</v>
      </c>
      <c r="E197" s="1" t="s">
        <v>565</v>
      </c>
      <c r="F197" s="1" t="s">
        <v>566</v>
      </c>
      <c r="G197" s="1" t="s">
        <v>15</v>
      </c>
      <c r="H197" s="1" t="str">
        <f>"1"</f>
        <v>1</v>
      </c>
      <c r="I197" s="3" t="str">
        <f>"100"</f>
        <v>100</v>
      </c>
      <c r="J197" s="4">
        <v>46062</v>
      </c>
      <c r="K197" s="1" t="s">
        <v>567</v>
      </c>
    </row>
    <row r="198" spans="1:11" x14ac:dyDescent="0.35">
      <c r="A198" s="1" t="s">
        <v>435</v>
      </c>
      <c r="B198" s="1" t="s">
        <v>478</v>
      </c>
      <c r="C198" s="1" t="s">
        <v>577</v>
      </c>
      <c r="D198" s="1" t="str">
        <f t="shared" si="9"/>
        <v>5130</v>
      </c>
      <c r="E198" s="1" t="s">
        <v>565</v>
      </c>
      <c r="F198" s="1" t="s">
        <v>566</v>
      </c>
      <c r="G198" s="1" t="s">
        <v>15</v>
      </c>
      <c r="H198" s="1" t="str">
        <f>"1"</f>
        <v>1</v>
      </c>
      <c r="I198" s="3" t="str">
        <f>"79"</f>
        <v>79</v>
      </c>
      <c r="J198" s="4">
        <v>46062</v>
      </c>
      <c r="K198" s="1" t="s">
        <v>567</v>
      </c>
    </row>
    <row r="199" spans="1:11" x14ac:dyDescent="0.35">
      <c r="A199" s="1" t="s">
        <v>435</v>
      </c>
      <c r="B199" s="1" t="s">
        <v>478</v>
      </c>
      <c r="C199" s="1" t="s">
        <v>578</v>
      </c>
      <c r="D199" s="1" t="str">
        <f t="shared" si="9"/>
        <v>5130</v>
      </c>
      <c r="E199" s="1" t="s">
        <v>579</v>
      </c>
      <c r="F199" s="1" t="s">
        <v>580</v>
      </c>
      <c r="G199" s="1" t="s">
        <v>15</v>
      </c>
      <c r="H199" s="1" t="str">
        <f>"3"</f>
        <v>3</v>
      </c>
      <c r="I199" s="3" t="str">
        <f>"175"</f>
        <v>175</v>
      </c>
      <c r="J199" s="4">
        <v>46062</v>
      </c>
      <c r="K199" s="1" t="s">
        <v>581</v>
      </c>
    </row>
    <row r="200" spans="1:11" x14ac:dyDescent="0.35">
      <c r="A200" s="1" t="s">
        <v>435</v>
      </c>
      <c r="B200" s="1" t="s">
        <v>478</v>
      </c>
      <c r="C200" s="1" t="s">
        <v>582</v>
      </c>
      <c r="D200" s="1" t="str">
        <f t="shared" si="9"/>
        <v>5130</v>
      </c>
      <c r="E200" s="1" t="s">
        <v>579</v>
      </c>
      <c r="F200" s="1" t="s">
        <v>580</v>
      </c>
      <c r="G200" s="1" t="s">
        <v>15</v>
      </c>
      <c r="H200" s="1" t="str">
        <f>"5"</f>
        <v>5</v>
      </c>
      <c r="I200" s="3">
        <v>107.93</v>
      </c>
      <c r="J200" s="4">
        <v>46062</v>
      </c>
      <c r="K200" s="1" t="s">
        <v>581</v>
      </c>
    </row>
    <row r="201" spans="1:11" x14ac:dyDescent="0.35">
      <c r="A201" s="1" t="s">
        <v>435</v>
      </c>
      <c r="B201" s="1" t="s">
        <v>478</v>
      </c>
      <c r="C201" s="1" t="s">
        <v>583</v>
      </c>
      <c r="D201" s="1" t="str">
        <f t="shared" si="9"/>
        <v>5130</v>
      </c>
      <c r="E201" s="1" t="s">
        <v>579</v>
      </c>
      <c r="F201" s="1" t="s">
        <v>580</v>
      </c>
      <c r="G201" s="1" t="s">
        <v>15</v>
      </c>
      <c r="H201" s="1" t="str">
        <f>"1"</f>
        <v>1</v>
      </c>
      <c r="I201" s="3" t="str">
        <f>"115"</f>
        <v>115</v>
      </c>
      <c r="J201" s="4">
        <v>46062</v>
      </c>
      <c r="K201" s="1" t="s">
        <v>581</v>
      </c>
    </row>
    <row r="202" spans="1:11" x14ac:dyDescent="0.35">
      <c r="A202" s="1" t="s">
        <v>435</v>
      </c>
      <c r="B202" s="1" t="s">
        <v>478</v>
      </c>
      <c r="C202" s="1" t="s">
        <v>584</v>
      </c>
      <c r="D202" s="1" t="str">
        <f t="shared" si="9"/>
        <v>5130</v>
      </c>
      <c r="E202" s="1" t="s">
        <v>565</v>
      </c>
      <c r="F202" s="1" t="s">
        <v>566</v>
      </c>
      <c r="G202" s="1" t="s">
        <v>15</v>
      </c>
      <c r="H202" s="1" t="str">
        <f>"1"</f>
        <v>1</v>
      </c>
      <c r="I202" s="3" t="str">
        <f>"350"</f>
        <v>350</v>
      </c>
      <c r="J202" s="4">
        <v>46062</v>
      </c>
      <c r="K202" s="1" t="s">
        <v>567</v>
      </c>
    </row>
    <row r="203" spans="1:11" x14ac:dyDescent="0.35">
      <c r="A203" s="1" t="s">
        <v>435</v>
      </c>
      <c r="B203" s="1" t="s">
        <v>478</v>
      </c>
      <c r="C203" s="1" t="s">
        <v>585</v>
      </c>
      <c r="D203" s="1" t="str">
        <f t="shared" si="9"/>
        <v>5130</v>
      </c>
      <c r="E203" s="1" t="s">
        <v>579</v>
      </c>
      <c r="F203" s="1" t="s">
        <v>580</v>
      </c>
      <c r="G203" s="1" t="s">
        <v>15</v>
      </c>
      <c r="H203" s="1" t="str">
        <f>"1"</f>
        <v>1</v>
      </c>
      <c r="I203" s="3" t="str">
        <f>"250"</f>
        <v>250</v>
      </c>
      <c r="J203" s="4">
        <v>46062</v>
      </c>
      <c r="K203" s="1" t="s">
        <v>581</v>
      </c>
    </row>
    <row r="204" spans="1:11" x14ac:dyDescent="0.35">
      <c r="A204" s="1" t="s">
        <v>435</v>
      </c>
      <c r="B204" s="1" t="s">
        <v>478</v>
      </c>
      <c r="C204" s="1" t="s">
        <v>586</v>
      </c>
      <c r="D204" s="1" t="str">
        <f t="shared" si="9"/>
        <v>5130</v>
      </c>
      <c r="E204" s="1" t="s">
        <v>579</v>
      </c>
      <c r="F204" s="1" t="s">
        <v>580</v>
      </c>
      <c r="G204" s="1" t="s">
        <v>15</v>
      </c>
      <c r="H204" s="1" t="str">
        <f>"1"</f>
        <v>1</v>
      </c>
      <c r="I204" s="3" t="str">
        <f>"199"</f>
        <v>199</v>
      </c>
      <c r="J204" s="4">
        <v>46062</v>
      </c>
      <c r="K204" s="1" t="s">
        <v>581</v>
      </c>
    </row>
    <row r="205" spans="1:11" x14ac:dyDescent="0.35">
      <c r="A205" s="1" t="s">
        <v>435</v>
      </c>
      <c r="B205" s="1" t="s">
        <v>478</v>
      </c>
      <c r="C205" s="1" t="s">
        <v>587</v>
      </c>
      <c r="D205" s="1" t="str">
        <f>"5133"</f>
        <v>5133</v>
      </c>
      <c r="E205" s="1" t="s">
        <v>588</v>
      </c>
      <c r="F205" s="1" t="s">
        <v>589</v>
      </c>
      <c r="G205" s="1" t="s">
        <v>15</v>
      </c>
      <c r="H205" s="1" t="str">
        <f>"173"</f>
        <v>173</v>
      </c>
      <c r="I205" s="3">
        <v>4.12</v>
      </c>
      <c r="J205" s="4">
        <v>46062</v>
      </c>
      <c r="K205" s="1" t="s">
        <v>590</v>
      </c>
    </row>
    <row r="206" spans="1:11" x14ac:dyDescent="0.35">
      <c r="A206" s="1" t="s">
        <v>435</v>
      </c>
      <c r="B206" s="1" t="s">
        <v>478</v>
      </c>
      <c r="C206" s="1" t="s">
        <v>630</v>
      </c>
      <c r="D206" s="1" t="str">
        <f>"6545"</f>
        <v>6545</v>
      </c>
      <c r="E206" s="1" t="str">
        <f>"016003282"</f>
        <v>016003282</v>
      </c>
      <c r="F206" s="1" t="s">
        <v>631</v>
      </c>
      <c r="G206" s="1" t="s">
        <v>257</v>
      </c>
      <c r="H206" s="1" t="str">
        <f>"4"</f>
        <v>4</v>
      </c>
      <c r="I206" s="3">
        <v>303.94</v>
      </c>
      <c r="J206" s="4">
        <v>46062</v>
      </c>
      <c r="K206" s="1" t="s">
        <v>632</v>
      </c>
    </row>
    <row r="207" spans="1:11" x14ac:dyDescent="0.35">
      <c r="A207" s="1" t="s">
        <v>435</v>
      </c>
      <c r="B207" s="1" t="s">
        <v>478</v>
      </c>
      <c r="C207" s="1" t="s">
        <v>633</v>
      </c>
      <c r="D207" s="1" t="str">
        <f>"6545"</f>
        <v>6545</v>
      </c>
      <c r="E207" s="1" t="str">
        <f>"016003282"</f>
        <v>016003282</v>
      </c>
      <c r="F207" s="1" t="s">
        <v>631</v>
      </c>
      <c r="G207" s="1" t="s">
        <v>257</v>
      </c>
      <c r="H207" s="1" t="str">
        <f>"1"</f>
        <v>1</v>
      </c>
      <c r="I207" s="3">
        <v>303.94</v>
      </c>
      <c r="J207" s="4">
        <v>46062</v>
      </c>
      <c r="K207" s="1" t="s">
        <v>632</v>
      </c>
    </row>
    <row r="208" spans="1:11" x14ac:dyDescent="0.35">
      <c r="A208" s="1" t="s">
        <v>435</v>
      </c>
      <c r="B208" s="1" t="s">
        <v>478</v>
      </c>
      <c r="C208" s="1" t="s">
        <v>591</v>
      </c>
      <c r="D208" s="1" t="str">
        <f>"5140"</f>
        <v>5140</v>
      </c>
      <c r="E208" s="1" t="str">
        <f>"011543869"</f>
        <v>011543869</v>
      </c>
      <c r="F208" s="1" t="s">
        <v>592</v>
      </c>
      <c r="G208" s="1" t="s">
        <v>15</v>
      </c>
      <c r="H208" s="1" t="str">
        <f>"1"</f>
        <v>1</v>
      </c>
      <c r="I208" s="3">
        <v>515.05999999999995</v>
      </c>
      <c r="J208" s="4">
        <v>46066</v>
      </c>
      <c r="K208" s="1" t="s">
        <v>593</v>
      </c>
    </row>
    <row r="209" spans="1:11" x14ac:dyDescent="0.35">
      <c r="A209" s="1" t="s">
        <v>435</v>
      </c>
      <c r="B209" s="1" t="s">
        <v>478</v>
      </c>
      <c r="C209" s="1" t="s">
        <v>622</v>
      </c>
      <c r="D209" s="1" t="str">
        <f>"6230"</f>
        <v>6230</v>
      </c>
      <c r="E209" s="1" t="str">
        <f>"016156035"</f>
        <v>016156035</v>
      </c>
      <c r="F209" s="1" t="s">
        <v>623</v>
      </c>
      <c r="G209" s="1" t="s">
        <v>15</v>
      </c>
      <c r="H209" s="1" t="str">
        <f>"2"</f>
        <v>2</v>
      </c>
      <c r="I209" s="3">
        <v>32.78</v>
      </c>
      <c r="J209" s="4">
        <v>46066</v>
      </c>
      <c r="K209" s="1" t="s">
        <v>624</v>
      </c>
    </row>
    <row r="210" spans="1:11" x14ac:dyDescent="0.35">
      <c r="A210" s="1" t="s">
        <v>435</v>
      </c>
      <c r="B210" s="1" t="s">
        <v>478</v>
      </c>
      <c r="C210" s="1" t="s">
        <v>641</v>
      </c>
      <c r="D210" s="1" t="str">
        <f>"6545"</f>
        <v>6545</v>
      </c>
      <c r="E210" s="1" t="str">
        <f>"016003282"</f>
        <v>016003282</v>
      </c>
      <c r="F210" s="1" t="s">
        <v>631</v>
      </c>
      <c r="G210" s="1" t="s">
        <v>257</v>
      </c>
      <c r="H210" s="1" t="str">
        <f>"5"</f>
        <v>5</v>
      </c>
      <c r="I210" s="3">
        <v>303.94</v>
      </c>
      <c r="J210" s="4">
        <v>46066</v>
      </c>
      <c r="K210" s="1" t="s">
        <v>642</v>
      </c>
    </row>
    <row r="211" spans="1:11" x14ac:dyDescent="0.35">
      <c r="A211" s="1" t="s">
        <v>435</v>
      </c>
      <c r="B211" s="1" t="s">
        <v>478</v>
      </c>
      <c r="C211" s="1" t="s">
        <v>659</v>
      </c>
      <c r="D211" s="1" t="str">
        <f>"7330"</f>
        <v>7330</v>
      </c>
      <c r="E211" s="1" t="str">
        <f>"002388316"</f>
        <v>002388316</v>
      </c>
      <c r="F211" s="1" t="s">
        <v>660</v>
      </c>
      <c r="G211" s="1" t="s">
        <v>661</v>
      </c>
      <c r="H211" s="1" t="str">
        <f>"1"</f>
        <v>1</v>
      </c>
      <c r="I211" s="3">
        <v>17.170000000000002</v>
      </c>
      <c r="J211" s="4">
        <v>46066</v>
      </c>
      <c r="K211" s="1" t="s">
        <v>662</v>
      </c>
    </row>
    <row r="212" spans="1:11" x14ac:dyDescent="0.35">
      <c r="A212" s="1" t="s">
        <v>435</v>
      </c>
      <c r="B212" s="1" t="s">
        <v>472</v>
      </c>
      <c r="C212" s="1" t="s">
        <v>475</v>
      </c>
      <c r="D212" s="1" t="str">
        <f>"5855"</f>
        <v>5855</v>
      </c>
      <c r="E212" s="1" t="str">
        <f>"015330555"</f>
        <v>015330555</v>
      </c>
      <c r="F212" s="1" t="s">
        <v>476</v>
      </c>
      <c r="G212" s="1" t="s">
        <v>15</v>
      </c>
      <c r="H212" s="1" t="str">
        <f>"4"</f>
        <v>4</v>
      </c>
      <c r="I212" s="3" t="str">
        <f>"1800"</f>
        <v>1800</v>
      </c>
      <c r="J212" s="4">
        <v>46071</v>
      </c>
      <c r="K212" s="1" t="s">
        <v>477</v>
      </c>
    </row>
    <row r="213" spans="1:11" x14ac:dyDescent="0.35">
      <c r="A213" s="1" t="s">
        <v>435</v>
      </c>
      <c r="B213" s="1" t="s">
        <v>436</v>
      </c>
      <c r="C213" s="1" t="s">
        <v>452</v>
      </c>
      <c r="D213" s="1" t="str">
        <f>"5411"</f>
        <v>5411</v>
      </c>
      <c r="E213" s="1" t="str">
        <f>"012953433"</f>
        <v>012953433</v>
      </c>
      <c r="F213" s="1" t="s">
        <v>453</v>
      </c>
      <c r="G213" s="1" t="s">
        <v>15</v>
      </c>
      <c r="H213" s="1" t="str">
        <f>"1"</f>
        <v>1</v>
      </c>
      <c r="I213" s="3" t="str">
        <f>"189556"</f>
        <v>189556</v>
      </c>
      <c r="J213" s="4">
        <v>46079</v>
      </c>
      <c r="K213" s="1" t="s">
        <v>454</v>
      </c>
    </row>
    <row r="214" spans="1:11" x14ac:dyDescent="0.35">
      <c r="A214" s="1" t="s">
        <v>435</v>
      </c>
      <c r="B214" s="1" t="s">
        <v>436</v>
      </c>
      <c r="C214" s="1" t="s">
        <v>455</v>
      </c>
      <c r="D214" s="1" t="str">
        <f>"5411"</f>
        <v>5411</v>
      </c>
      <c r="E214" s="1" t="str">
        <f>"012953433"</f>
        <v>012953433</v>
      </c>
      <c r="F214" s="1" t="s">
        <v>453</v>
      </c>
      <c r="G214" s="1" t="s">
        <v>15</v>
      </c>
      <c r="H214" s="1" t="str">
        <f>"1"</f>
        <v>1</v>
      </c>
      <c r="I214" s="3" t="str">
        <f>"189556"</f>
        <v>189556</v>
      </c>
      <c r="J214" s="4">
        <v>46079</v>
      </c>
      <c r="K214" s="1" t="s">
        <v>454</v>
      </c>
    </row>
    <row r="215" spans="1:11" x14ac:dyDescent="0.35">
      <c r="A215" s="1" t="s">
        <v>435</v>
      </c>
      <c r="B215" s="1" t="s">
        <v>472</v>
      </c>
      <c r="C215" s="1" t="s">
        <v>473</v>
      </c>
      <c r="D215" s="1" t="str">
        <f>"1240"</f>
        <v>1240</v>
      </c>
      <c r="E215" s="1" t="str">
        <f>"016202463"</f>
        <v>016202463</v>
      </c>
      <c r="F215" s="1" t="s">
        <v>71</v>
      </c>
      <c r="G215" s="1" t="s">
        <v>15</v>
      </c>
      <c r="H215" s="1" t="str">
        <f>"2"</f>
        <v>2</v>
      </c>
      <c r="I215" s="3" t="str">
        <f>"626"</f>
        <v>626</v>
      </c>
      <c r="J215" s="4">
        <v>46079</v>
      </c>
      <c r="K215" s="1" t="s">
        <v>474</v>
      </c>
    </row>
    <row r="216" spans="1:11" x14ac:dyDescent="0.35">
      <c r="A216" s="1" t="s">
        <v>435</v>
      </c>
      <c r="B216" s="1" t="s">
        <v>478</v>
      </c>
      <c r="C216" s="1" t="s">
        <v>489</v>
      </c>
      <c r="D216" s="1" t="str">
        <f>"3825"</f>
        <v>3825</v>
      </c>
      <c r="E216" s="1" t="str">
        <f>"012990499"</f>
        <v>012990499</v>
      </c>
      <c r="F216" s="1" t="s">
        <v>490</v>
      </c>
      <c r="G216" s="1" t="s">
        <v>15</v>
      </c>
      <c r="H216" s="1" t="str">
        <f>"1"</f>
        <v>1</v>
      </c>
      <c r="I216" s="3">
        <v>499.73</v>
      </c>
      <c r="J216" s="4">
        <v>46080</v>
      </c>
      <c r="K216" s="1" t="s">
        <v>491</v>
      </c>
    </row>
    <row r="217" spans="1:11" x14ac:dyDescent="0.35">
      <c r="A217" s="1" t="s">
        <v>435</v>
      </c>
      <c r="B217" s="1" t="s">
        <v>478</v>
      </c>
      <c r="C217" s="1" t="s">
        <v>498</v>
      </c>
      <c r="D217" s="1" t="str">
        <f>"4130"</f>
        <v>4130</v>
      </c>
      <c r="E217" s="1" t="str">
        <f>"014873117"</f>
        <v>014873117</v>
      </c>
      <c r="F217" s="1" t="s">
        <v>499</v>
      </c>
      <c r="G217" s="1" t="s">
        <v>257</v>
      </c>
      <c r="H217" s="1" t="str">
        <f>"2"</f>
        <v>2</v>
      </c>
      <c r="I217" s="3">
        <v>260.38</v>
      </c>
      <c r="J217" s="4">
        <v>46080</v>
      </c>
      <c r="K217" s="1" t="s">
        <v>500</v>
      </c>
    </row>
    <row r="218" spans="1:11" x14ac:dyDescent="0.35">
      <c r="A218" s="1" t="s">
        <v>435</v>
      </c>
      <c r="B218" s="1" t="s">
        <v>478</v>
      </c>
      <c r="C218" s="1" t="s">
        <v>562</v>
      </c>
      <c r="D218" s="1" t="str">
        <f>"5120"</f>
        <v>5120</v>
      </c>
      <c r="E218" s="1" t="str">
        <f>"014287945"</f>
        <v>014287945</v>
      </c>
      <c r="F218" s="1" t="s">
        <v>256</v>
      </c>
      <c r="G218" s="1" t="s">
        <v>257</v>
      </c>
      <c r="H218" s="1" t="str">
        <f>"6"</f>
        <v>6</v>
      </c>
      <c r="I218" s="3">
        <v>3.37</v>
      </c>
      <c r="J218" s="4">
        <v>46080</v>
      </c>
      <c r="K218" s="1" t="s">
        <v>563</v>
      </c>
    </row>
    <row r="219" spans="1:11" x14ac:dyDescent="0.35">
      <c r="A219" s="1" t="s">
        <v>435</v>
      </c>
      <c r="B219" s="1" t="s">
        <v>478</v>
      </c>
      <c r="C219" s="1" t="s">
        <v>594</v>
      </c>
      <c r="D219" s="1" t="str">
        <f>"5180"</f>
        <v>5180</v>
      </c>
      <c r="E219" s="1" t="s">
        <v>268</v>
      </c>
      <c r="F219" s="1" t="s">
        <v>269</v>
      </c>
      <c r="G219" s="1" t="s">
        <v>15</v>
      </c>
      <c r="H219" s="1" t="str">
        <f>"2"</f>
        <v>2</v>
      </c>
      <c r="I219" s="3">
        <v>338.15</v>
      </c>
      <c r="J219" s="4">
        <v>46080</v>
      </c>
      <c r="K219" s="1" t="s">
        <v>595</v>
      </c>
    </row>
    <row r="220" spans="1:11" x14ac:dyDescent="0.35">
      <c r="A220" s="1" t="s">
        <v>435</v>
      </c>
      <c r="B220" s="1" t="s">
        <v>478</v>
      </c>
      <c r="C220" s="1" t="s">
        <v>596</v>
      </c>
      <c r="D220" s="1" t="str">
        <f>"5180"</f>
        <v>5180</v>
      </c>
      <c r="E220" s="1" t="s">
        <v>268</v>
      </c>
      <c r="F220" s="1" t="s">
        <v>269</v>
      </c>
      <c r="G220" s="1" t="s">
        <v>15</v>
      </c>
      <c r="H220" s="1" t="str">
        <f>"1"</f>
        <v>1</v>
      </c>
      <c r="I220" s="3" t="str">
        <f>"967"</f>
        <v>967</v>
      </c>
      <c r="J220" s="4">
        <v>46080</v>
      </c>
      <c r="K220" s="1" t="s">
        <v>595</v>
      </c>
    </row>
    <row r="221" spans="1:11" x14ac:dyDescent="0.35">
      <c r="A221" s="1" t="s">
        <v>435</v>
      </c>
      <c r="B221" s="1" t="s">
        <v>478</v>
      </c>
      <c r="C221" s="1" t="s">
        <v>634</v>
      </c>
      <c r="D221" s="1" t="str">
        <f>"6545"</f>
        <v>6545</v>
      </c>
      <c r="E221" s="1" t="s">
        <v>635</v>
      </c>
      <c r="F221" s="1" t="s">
        <v>636</v>
      </c>
      <c r="G221" s="1" t="s">
        <v>15</v>
      </c>
      <c r="H221" s="1" t="str">
        <f>"1"</f>
        <v>1</v>
      </c>
      <c r="I221" s="3">
        <v>670.65</v>
      </c>
      <c r="J221" s="4">
        <v>46080</v>
      </c>
      <c r="K221" s="1" t="s">
        <v>637</v>
      </c>
    </row>
    <row r="222" spans="1:11" x14ac:dyDescent="0.35">
      <c r="A222" s="1" t="s">
        <v>435</v>
      </c>
      <c r="B222" s="1" t="s">
        <v>436</v>
      </c>
      <c r="C222" s="1" t="s">
        <v>440</v>
      </c>
      <c r="D222" s="1" t="str">
        <f>"1005"</f>
        <v>1005</v>
      </c>
      <c r="E222" s="1" t="str">
        <f>"005564102"</f>
        <v>005564102</v>
      </c>
      <c r="F222" s="1" t="s">
        <v>441</v>
      </c>
      <c r="G222" s="1" t="s">
        <v>15</v>
      </c>
      <c r="H222" s="1" t="str">
        <f>"62"</f>
        <v>62</v>
      </c>
      <c r="I222" s="3">
        <v>9.65</v>
      </c>
      <c r="J222" s="4">
        <v>46085</v>
      </c>
      <c r="K222" s="1" t="s">
        <v>442</v>
      </c>
    </row>
    <row r="223" spans="1:11" x14ac:dyDescent="0.35">
      <c r="A223" s="1" t="s">
        <v>435</v>
      </c>
      <c r="B223" s="1" t="s">
        <v>436</v>
      </c>
      <c r="C223" s="1" t="s">
        <v>459</v>
      </c>
      <c r="D223" s="1" t="str">
        <f>"7820"</f>
        <v>7820</v>
      </c>
      <c r="E223" s="1" t="s">
        <v>460</v>
      </c>
      <c r="F223" s="1" t="s">
        <v>461</v>
      </c>
      <c r="G223" s="1" t="s">
        <v>15</v>
      </c>
      <c r="H223" s="1" t="str">
        <f>"1"</f>
        <v>1</v>
      </c>
      <c r="I223" s="3" t="str">
        <f>"600"</f>
        <v>600</v>
      </c>
      <c r="J223" s="4">
        <v>46085</v>
      </c>
      <c r="K223" s="1" t="s">
        <v>462</v>
      </c>
    </row>
    <row r="224" spans="1:11" x14ac:dyDescent="0.35">
      <c r="A224" s="1" t="s">
        <v>435</v>
      </c>
      <c r="B224" s="1" t="s">
        <v>436</v>
      </c>
      <c r="C224" s="1" t="s">
        <v>466</v>
      </c>
      <c r="D224" s="1" t="str">
        <f>"8465"</f>
        <v>8465</v>
      </c>
      <c r="E224" s="1" t="str">
        <f>"002124597"</f>
        <v>002124597</v>
      </c>
      <c r="F224" s="1" t="s">
        <v>467</v>
      </c>
      <c r="G224" s="1" t="s">
        <v>15</v>
      </c>
      <c r="H224" s="1" t="str">
        <f>"3"</f>
        <v>3</v>
      </c>
      <c r="I224" s="3">
        <v>82.47</v>
      </c>
      <c r="J224" s="4">
        <v>46085</v>
      </c>
      <c r="K224" s="1" t="s">
        <v>468</v>
      </c>
    </row>
    <row r="225" spans="1:11" x14ac:dyDescent="0.35">
      <c r="A225" s="1" t="s">
        <v>435</v>
      </c>
      <c r="B225" s="1" t="s">
        <v>478</v>
      </c>
      <c r="C225" s="1" t="s">
        <v>483</v>
      </c>
      <c r="D225" s="1" t="str">
        <f>"3431"</f>
        <v>3431</v>
      </c>
      <c r="E225" s="1" t="s">
        <v>401</v>
      </c>
      <c r="F225" s="1" t="s">
        <v>402</v>
      </c>
      <c r="G225" s="1" t="s">
        <v>15</v>
      </c>
      <c r="H225" s="1" t="str">
        <f>"1"</f>
        <v>1</v>
      </c>
      <c r="I225" s="3" t="str">
        <f>"900"</f>
        <v>900</v>
      </c>
      <c r="J225" s="4">
        <v>46094</v>
      </c>
      <c r="K225" s="1" t="s">
        <v>484</v>
      </c>
    </row>
    <row r="226" spans="1:11" x14ac:dyDescent="0.35">
      <c r="A226" s="1" t="s">
        <v>435</v>
      </c>
      <c r="B226" s="1" t="s">
        <v>478</v>
      </c>
      <c r="C226" s="1" t="s">
        <v>485</v>
      </c>
      <c r="D226" s="1" t="str">
        <f>"3438"</f>
        <v>3438</v>
      </c>
      <c r="E226" s="1" t="s">
        <v>486</v>
      </c>
      <c r="F226" s="1" t="s">
        <v>487</v>
      </c>
      <c r="G226" s="1" t="s">
        <v>15</v>
      </c>
      <c r="H226" s="1" t="str">
        <f>"1"</f>
        <v>1</v>
      </c>
      <c r="I226" s="3" t="str">
        <f>"1910"</f>
        <v>1910</v>
      </c>
      <c r="J226" s="4">
        <v>46094</v>
      </c>
      <c r="K226" s="1" t="s">
        <v>488</v>
      </c>
    </row>
    <row r="227" spans="1:11" x14ac:dyDescent="0.35">
      <c r="A227" s="1" t="s">
        <v>435</v>
      </c>
      <c r="B227" s="1" t="s">
        <v>478</v>
      </c>
      <c r="C227" s="1" t="s">
        <v>545</v>
      </c>
      <c r="D227" s="1" t="str">
        <f t="shared" ref="D227:D232" si="10">"5120"</f>
        <v>5120</v>
      </c>
      <c r="E227" s="1" t="str">
        <f>"005423438"</f>
        <v>005423438</v>
      </c>
      <c r="F227" s="1" t="s">
        <v>546</v>
      </c>
      <c r="G227" s="1" t="s">
        <v>15</v>
      </c>
      <c r="H227" s="1" t="str">
        <f>"2"</f>
        <v>2</v>
      </c>
      <c r="I227" s="3">
        <v>11.48</v>
      </c>
      <c r="J227" s="4">
        <v>46094</v>
      </c>
      <c r="K227" s="1" t="s">
        <v>547</v>
      </c>
    </row>
    <row r="228" spans="1:11" x14ac:dyDescent="0.35">
      <c r="A228" s="1" t="s">
        <v>435</v>
      </c>
      <c r="B228" s="1" t="s">
        <v>478</v>
      </c>
      <c r="C228" s="1" t="s">
        <v>551</v>
      </c>
      <c r="D228" s="1" t="str">
        <f t="shared" si="10"/>
        <v>5120</v>
      </c>
      <c r="E228" s="1" t="str">
        <f>"005282892"</f>
        <v>005282892</v>
      </c>
      <c r="F228" s="1" t="s">
        <v>552</v>
      </c>
      <c r="G228" s="1" t="s">
        <v>15</v>
      </c>
      <c r="H228" s="1" t="str">
        <f>"6"</f>
        <v>6</v>
      </c>
      <c r="I228" s="3">
        <v>1.98</v>
      </c>
      <c r="J228" s="4">
        <v>46094</v>
      </c>
      <c r="K228" s="1" t="s">
        <v>553</v>
      </c>
    </row>
    <row r="229" spans="1:11" x14ac:dyDescent="0.35">
      <c r="A229" s="1" t="s">
        <v>435</v>
      </c>
      <c r="B229" s="1" t="s">
        <v>478</v>
      </c>
      <c r="C229" s="1" t="s">
        <v>554</v>
      </c>
      <c r="D229" s="1" t="str">
        <f t="shared" si="10"/>
        <v>5120</v>
      </c>
      <c r="E229" s="1" t="str">
        <f>"005413004"</f>
        <v>005413004</v>
      </c>
      <c r="F229" s="1" t="s">
        <v>555</v>
      </c>
      <c r="G229" s="1" t="s">
        <v>15</v>
      </c>
      <c r="H229" s="1" t="str">
        <f>"1"</f>
        <v>1</v>
      </c>
      <c r="I229" s="3">
        <v>7.44</v>
      </c>
      <c r="J229" s="4">
        <v>46094</v>
      </c>
      <c r="K229" s="1" t="s">
        <v>556</v>
      </c>
    </row>
    <row r="230" spans="1:11" x14ac:dyDescent="0.35">
      <c r="A230" s="1" t="s">
        <v>435</v>
      </c>
      <c r="B230" s="1" t="s">
        <v>478</v>
      </c>
      <c r="C230" s="1" t="s">
        <v>557</v>
      </c>
      <c r="D230" s="1" t="str">
        <f t="shared" si="10"/>
        <v>5120</v>
      </c>
      <c r="E230" s="1" t="str">
        <f>"002348910"</f>
        <v>002348910</v>
      </c>
      <c r="F230" s="1" t="s">
        <v>555</v>
      </c>
      <c r="G230" s="1" t="s">
        <v>15</v>
      </c>
      <c r="H230" s="1" t="str">
        <f>"10"</f>
        <v>10</v>
      </c>
      <c r="I230" s="3">
        <v>4.28</v>
      </c>
      <c r="J230" s="4">
        <v>46094</v>
      </c>
      <c r="K230" s="1" t="s">
        <v>558</v>
      </c>
    </row>
    <row r="231" spans="1:11" x14ac:dyDescent="0.35">
      <c r="A231" s="1" t="s">
        <v>435</v>
      </c>
      <c r="B231" s="1" t="s">
        <v>478</v>
      </c>
      <c r="C231" s="1" t="s">
        <v>559</v>
      </c>
      <c r="D231" s="1" t="str">
        <f t="shared" si="10"/>
        <v>5120</v>
      </c>
      <c r="E231" s="1" t="str">
        <f>"013673749"</f>
        <v>013673749</v>
      </c>
      <c r="F231" s="1" t="s">
        <v>555</v>
      </c>
      <c r="G231" s="1" t="s">
        <v>15</v>
      </c>
      <c r="H231" s="1" t="str">
        <f>"1"</f>
        <v>1</v>
      </c>
      <c r="I231" s="3">
        <v>9.2200000000000006</v>
      </c>
      <c r="J231" s="4">
        <v>46094</v>
      </c>
      <c r="K231" s="1" t="s">
        <v>558</v>
      </c>
    </row>
    <row r="232" spans="1:11" x14ac:dyDescent="0.35">
      <c r="A232" s="1" t="s">
        <v>435</v>
      </c>
      <c r="B232" s="1" t="s">
        <v>478</v>
      </c>
      <c r="C232" s="1" t="s">
        <v>560</v>
      </c>
      <c r="D232" s="1" t="str">
        <f t="shared" si="10"/>
        <v>5120</v>
      </c>
      <c r="E232" s="1" t="str">
        <f>"002277293"</f>
        <v>002277293</v>
      </c>
      <c r="F232" s="1" t="s">
        <v>546</v>
      </c>
      <c r="G232" s="1" t="s">
        <v>15</v>
      </c>
      <c r="H232" s="1" t="str">
        <f>"1"</f>
        <v>1</v>
      </c>
      <c r="I232" s="3">
        <v>5.91</v>
      </c>
      <c r="J232" s="4">
        <v>46094</v>
      </c>
      <c r="K232" s="1" t="s">
        <v>561</v>
      </c>
    </row>
    <row r="233" spans="1:11" x14ac:dyDescent="0.35">
      <c r="A233" s="1" t="s">
        <v>435</v>
      </c>
      <c r="B233" s="1" t="s">
        <v>478</v>
      </c>
      <c r="C233" s="1" t="s">
        <v>607</v>
      </c>
      <c r="D233" s="1" t="str">
        <f>"5450"</f>
        <v>5450</v>
      </c>
      <c r="E233" s="1" t="str">
        <f>"016181064"</f>
        <v>016181064</v>
      </c>
      <c r="F233" s="1" t="s">
        <v>608</v>
      </c>
      <c r="G233" s="1" t="s">
        <v>15</v>
      </c>
      <c r="H233" s="1" t="str">
        <f>"8"</f>
        <v>8</v>
      </c>
      <c r="I233" s="3">
        <v>1169.2</v>
      </c>
      <c r="J233" s="4">
        <v>46094</v>
      </c>
      <c r="K233" s="1" t="s">
        <v>609</v>
      </c>
    </row>
    <row r="234" spans="1:11" x14ac:dyDescent="0.35">
      <c r="A234" s="1" t="s">
        <v>435</v>
      </c>
      <c r="B234" s="1" t="s">
        <v>478</v>
      </c>
      <c r="C234" s="1" t="s">
        <v>620</v>
      </c>
      <c r="D234" s="1" t="str">
        <f>"6115"</f>
        <v>6115</v>
      </c>
      <c r="E234" s="1" t="s">
        <v>157</v>
      </c>
      <c r="F234" s="1" t="s">
        <v>158</v>
      </c>
      <c r="G234" s="1" t="s">
        <v>15</v>
      </c>
      <c r="H234" s="1" t="str">
        <f>"1"</f>
        <v>1</v>
      </c>
      <c r="I234" s="3">
        <v>2214.44</v>
      </c>
      <c r="J234" s="4">
        <v>46094</v>
      </c>
      <c r="K234" s="1" t="s">
        <v>621</v>
      </c>
    </row>
    <row r="235" spans="1:11" x14ac:dyDescent="0.35">
      <c r="A235" s="1" t="s">
        <v>435</v>
      </c>
      <c r="B235" s="1" t="s">
        <v>478</v>
      </c>
      <c r="C235" s="1" t="s">
        <v>625</v>
      </c>
      <c r="D235" s="1" t="str">
        <f>"6515"</f>
        <v>6515</v>
      </c>
      <c r="E235" s="1" t="s">
        <v>333</v>
      </c>
      <c r="F235" s="1" t="s">
        <v>334</v>
      </c>
      <c r="G235" s="1" t="s">
        <v>15</v>
      </c>
      <c r="H235" s="1" t="str">
        <f>"1"</f>
        <v>1</v>
      </c>
      <c r="I235" s="3">
        <v>1210.24</v>
      </c>
      <c r="J235" s="4">
        <v>46094</v>
      </c>
      <c r="K235" s="1" t="s">
        <v>626</v>
      </c>
    </row>
    <row r="236" spans="1:11" x14ac:dyDescent="0.35">
      <c r="A236" s="1" t="s">
        <v>435</v>
      </c>
      <c r="B236" s="1" t="s">
        <v>478</v>
      </c>
      <c r="C236" s="1" t="s">
        <v>638</v>
      </c>
      <c r="D236" s="1" t="str">
        <f>"6545"</f>
        <v>6545</v>
      </c>
      <c r="E236" s="1" t="str">
        <f>"009221200"</f>
        <v>009221200</v>
      </c>
      <c r="F236" s="1" t="s">
        <v>639</v>
      </c>
      <c r="G236" s="1" t="s">
        <v>168</v>
      </c>
      <c r="H236" s="1" t="str">
        <f>"7"</f>
        <v>7</v>
      </c>
      <c r="I236" s="3">
        <v>77.010000000000005</v>
      </c>
      <c r="J236" s="4">
        <v>46094</v>
      </c>
      <c r="K236" s="1" t="s">
        <v>640</v>
      </c>
    </row>
    <row r="237" spans="1:11" x14ac:dyDescent="0.35">
      <c r="A237" s="1" t="s">
        <v>435</v>
      </c>
      <c r="B237" s="1" t="s">
        <v>478</v>
      </c>
      <c r="C237" s="1" t="s">
        <v>643</v>
      </c>
      <c r="D237" s="1" t="str">
        <f>"6625"</f>
        <v>6625</v>
      </c>
      <c r="E237" s="1" t="str">
        <f>"013363372"</f>
        <v>013363372</v>
      </c>
      <c r="F237" s="1" t="s">
        <v>644</v>
      </c>
      <c r="G237" s="1" t="s">
        <v>15</v>
      </c>
      <c r="H237" s="1" t="str">
        <f>"2"</f>
        <v>2</v>
      </c>
      <c r="I237" s="3" t="str">
        <f>"347"</f>
        <v>347</v>
      </c>
      <c r="J237" s="4">
        <v>46094</v>
      </c>
      <c r="K237" s="1" t="s">
        <v>645</v>
      </c>
    </row>
    <row r="238" spans="1:11" x14ac:dyDescent="0.35">
      <c r="A238" s="1" t="s">
        <v>435</v>
      </c>
      <c r="B238" s="1" t="s">
        <v>478</v>
      </c>
      <c r="C238" s="1" t="s">
        <v>663</v>
      </c>
      <c r="D238" s="1" t="str">
        <f>"7330"</f>
        <v>7330</v>
      </c>
      <c r="E238" s="1" t="str">
        <f>"002922306"</f>
        <v>002922306</v>
      </c>
      <c r="F238" s="1" t="s">
        <v>664</v>
      </c>
      <c r="G238" s="1" t="s">
        <v>15</v>
      </c>
      <c r="H238" s="1" t="str">
        <f>"2"</f>
        <v>2</v>
      </c>
      <c r="I238" s="3">
        <v>152.6</v>
      </c>
      <c r="J238" s="4">
        <v>46094</v>
      </c>
      <c r="K238" s="1" t="s">
        <v>665</v>
      </c>
    </row>
    <row r="239" spans="1:11" x14ac:dyDescent="0.35">
      <c r="A239" s="1" t="s">
        <v>435</v>
      </c>
      <c r="B239" s="1" t="s">
        <v>478</v>
      </c>
      <c r="C239" s="1" t="s">
        <v>680</v>
      </c>
      <c r="D239" s="1" t="str">
        <f>"8415"</f>
        <v>8415</v>
      </c>
      <c r="E239" s="1" t="str">
        <f>"009261674"</f>
        <v>009261674</v>
      </c>
      <c r="F239" s="1" t="s">
        <v>681</v>
      </c>
      <c r="G239" s="1" t="s">
        <v>47</v>
      </c>
      <c r="H239" s="1" t="str">
        <f>"3"</f>
        <v>3</v>
      </c>
      <c r="I239" s="3">
        <v>48.67</v>
      </c>
      <c r="J239" s="4">
        <v>46094</v>
      </c>
      <c r="K239" s="1" t="s">
        <v>682</v>
      </c>
    </row>
    <row r="240" spans="1:11" x14ac:dyDescent="0.35">
      <c r="A240" s="1" t="s">
        <v>435</v>
      </c>
      <c r="B240" s="1" t="s">
        <v>478</v>
      </c>
      <c r="C240" s="1" t="s">
        <v>683</v>
      </c>
      <c r="D240" s="1" t="str">
        <f>"9905"</f>
        <v>9905</v>
      </c>
      <c r="E240" s="1" t="str">
        <f>"002457826"</f>
        <v>002457826</v>
      </c>
      <c r="F240" s="1" t="s">
        <v>684</v>
      </c>
      <c r="G240" s="1" t="s">
        <v>206</v>
      </c>
      <c r="H240" s="1" t="str">
        <f>"100"</f>
        <v>100</v>
      </c>
      <c r="I240" s="3">
        <v>16.5</v>
      </c>
      <c r="J240" s="4">
        <v>46094</v>
      </c>
      <c r="K240" s="1" t="s">
        <v>685</v>
      </c>
    </row>
    <row r="241" spans="1:11" x14ac:dyDescent="0.35">
      <c r="A241" s="1" t="s">
        <v>435</v>
      </c>
      <c r="B241" s="1" t="s">
        <v>436</v>
      </c>
      <c r="C241" s="1" t="s">
        <v>447</v>
      </c>
      <c r="D241" s="1" t="str">
        <f>"2340"</f>
        <v>2340</v>
      </c>
      <c r="E241" s="1" t="s">
        <v>179</v>
      </c>
      <c r="F241" s="1" t="s">
        <v>180</v>
      </c>
      <c r="G241" s="1" t="s">
        <v>15</v>
      </c>
      <c r="H241" s="1" t="str">
        <f>"1"</f>
        <v>1</v>
      </c>
      <c r="I241" s="3">
        <v>14321.35</v>
      </c>
      <c r="J241" s="4">
        <v>46108</v>
      </c>
      <c r="K241" s="1" t="s">
        <v>446</v>
      </c>
    </row>
    <row r="242" spans="1:11" x14ac:dyDescent="0.35">
      <c r="A242" s="1" t="s">
        <v>435</v>
      </c>
      <c r="B242" s="1" t="s">
        <v>478</v>
      </c>
      <c r="C242" s="1" t="s">
        <v>479</v>
      </c>
      <c r="D242" s="1" t="str">
        <f>"2540"</f>
        <v>2540</v>
      </c>
      <c r="E242" s="1" t="s">
        <v>480</v>
      </c>
      <c r="F242" s="1" t="s">
        <v>481</v>
      </c>
      <c r="G242" s="1" t="s">
        <v>15</v>
      </c>
      <c r="H242" s="1" t="str">
        <f>"11"</f>
        <v>11</v>
      </c>
      <c r="I242" s="3">
        <v>72.73</v>
      </c>
      <c r="J242" s="4">
        <v>46111</v>
      </c>
      <c r="K242" s="1" t="s">
        <v>482</v>
      </c>
    </row>
    <row r="243" spans="1:11" x14ac:dyDescent="0.35">
      <c r="A243" s="1" t="s">
        <v>435</v>
      </c>
      <c r="B243" s="1" t="s">
        <v>478</v>
      </c>
      <c r="C243" s="1" t="s">
        <v>613</v>
      </c>
      <c r="D243" s="1" t="str">
        <f>"5855"</f>
        <v>5855</v>
      </c>
      <c r="E243" s="1" t="str">
        <f>"014165085"</f>
        <v>014165085</v>
      </c>
      <c r="F243" s="1" t="s">
        <v>614</v>
      </c>
      <c r="G243" s="1" t="s">
        <v>15</v>
      </c>
      <c r="H243" s="1" t="str">
        <f>"1"</f>
        <v>1</v>
      </c>
      <c r="I243" s="3">
        <v>6655.86</v>
      </c>
      <c r="J243" s="4">
        <v>46111</v>
      </c>
      <c r="K243" s="1" t="s">
        <v>615</v>
      </c>
    </row>
    <row r="244" spans="1:11" x14ac:dyDescent="0.35">
      <c r="A244" s="1" t="s">
        <v>435</v>
      </c>
      <c r="B244" s="1" t="s">
        <v>478</v>
      </c>
      <c r="C244" s="1" t="s">
        <v>616</v>
      </c>
      <c r="D244" s="1" t="str">
        <f>"5855"</f>
        <v>5855</v>
      </c>
      <c r="E244" s="1" t="str">
        <f>"014165085"</f>
        <v>014165085</v>
      </c>
      <c r="F244" s="1" t="s">
        <v>614</v>
      </c>
      <c r="G244" s="1" t="s">
        <v>15</v>
      </c>
      <c r="H244" s="1" t="str">
        <f>"1"</f>
        <v>1</v>
      </c>
      <c r="I244" s="3">
        <v>6655.86</v>
      </c>
      <c r="J244" s="4">
        <v>46111</v>
      </c>
      <c r="K244" s="1" t="s">
        <v>615</v>
      </c>
    </row>
    <row r="245" spans="1:11" x14ac:dyDescent="0.35">
      <c r="A245" s="1" t="s">
        <v>435</v>
      </c>
      <c r="B245" s="1" t="s">
        <v>478</v>
      </c>
      <c r="C245" s="1" t="s">
        <v>617</v>
      </c>
      <c r="D245" s="1" t="str">
        <f>"5855"</f>
        <v>5855</v>
      </c>
      <c r="E245" s="1" t="str">
        <f>"014165085"</f>
        <v>014165085</v>
      </c>
      <c r="F245" s="1" t="s">
        <v>614</v>
      </c>
      <c r="G245" s="1" t="s">
        <v>15</v>
      </c>
      <c r="H245" s="1" t="str">
        <f>"1"</f>
        <v>1</v>
      </c>
      <c r="I245" s="3">
        <v>6655.86</v>
      </c>
      <c r="J245" s="4">
        <v>46111</v>
      </c>
      <c r="K245" s="1" t="s">
        <v>615</v>
      </c>
    </row>
    <row r="246" spans="1:11" x14ac:dyDescent="0.35">
      <c r="A246" s="1" t="s">
        <v>435</v>
      </c>
      <c r="B246" s="1" t="s">
        <v>478</v>
      </c>
      <c r="C246" s="1" t="s">
        <v>618</v>
      </c>
      <c r="D246" s="1" t="str">
        <f>"5855"</f>
        <v>5855</v>
      </c>
      <c r="E246" s="1" t="str">
        <f>"014165085"</f>
        <v>014165085</v>
      </c>
      <c r="F246" s="1" t="s">
        <v>614</v>
      </c>
      <c r="G246" s="1" t="s">
        <v>15</v>
      </c>
      <c r="H246" s="1" t="str">
        <f>"1"</f>
        <v>1</v>
      </c>
      <c r="I246" s="3">
        <v>6655.86</v>
      </c>
      <c r="J246" s="4">
        <v>46111</v>
      </c>
      <c r="K246" s="1" t="s">
        <v>615</v>
      </c>
    </row>
    <row r="247" spans="1:11" x14ac:dyDescent="0.35">
      <c r="A247" s="1" t="s">
        <v>435</v>
      </c>
      <c r="B247" s="1" t="s">
        <v>478</v>
      </c>
      <c r="C247" s="1" t="s">
        <v>619</v>
      </c>
      <c r="D247" s="1" t="str">
        <f>"5855"</f>
        <v>5855</v>
      </c>
      <c r="E247" s="1" t="str">
        <f>"014165085"</f>
        <v>014165085</v>
      </c>
      <c r="F247" s="1" t="s">
        <v>614</v>
      </c>
      <c r="G247" s="1" t="s">
        <v>15</v>
      </c>
      <c r="H247" s="1" t="str">
        <f>"1"</f>
        <v>1</v>
      </c>
      <c r="I247" s="3">
        <v>6655.86</v>
      </c>
      <c r="J247" s="4">
        <v>46111</v>
      </c>
      <c r="K247" s="1" t="s">
        <v>615</v>
      </c>
    </row>
    <row r="248" spans="1:11" x14ac:dyDescent="0.35">
      <c r="A248" s="1" t="s">
        <v>435</v>
      </c>
      <c r="B248" s="1" t="s">
        <v>478</v>
      </c>
      <c r="C248" s="1" t="s">
        <v>656</v>
      </c>
      <c r="D248" s="1" t="str">
        <f>"7045"</f>
        <v>7045</v>
      </c>
      <c r="E248" s="1" t="str">
        <f>"015155373"</f>
        <v>015155373</v>
      </c>
      <c r="F248" s="1" t="s">
        <v>657</v>
      </c>
      <c r="G248" s="1" t="s">
        <v>293</v>
      </c>
      <c r="H248" s="1" t="str">
        <f>"15"</f>
        <v>15</v>
      </c>
      <c r="I248" s="3">
        <v>26.98</v>
      </c>
      <c r="J248" s="4">
        <v>46111</v>
      </c>
      <c r="K248" s="1" t="s">
        <v>658</v>
      </c>
    </row>
    <row r="249" spans="1:11" x14ac:dyDescent="0.35">
      <c r="A249" s="1" t="s">
        <v>435</v>
      </c>
      <c r="B249" s="1" t="s">
        <v>478</v>
      </c>
      <c r="C249" s="1" t="s">
        <v>666</v>
      </c>
      <c r="D249" s="1" t="str">
        <f>"7490"</f>
        <v>7490</v>
      </c>
      <c r="E249" s="1" t="s">
        <v>667</v>
      </c>
      <c r="F249" s="1" t="s">
        <v>668</v>
      </c>
      <c r="G249" s="1" t="s">
        <v>15</v>
      </c>
      <c r="H249" s="1" t="str">
        <f>"7"</f>
        <v>7</v>
      </c>
      <c r="I249" s="3" t="str">
        <f>"50"</f>
        <v>50</v>
      </c>
      <c r="J249" s="4">
        <v>46111</v>
      </c>
      <c r="K249" s="1" t="s">
        <v>669</v>
      </c>
    </row>
    <row r="250" spans="1:11" x14ac:dyDescent="0.35">
      <c r="A250" s="1" t="s">
        <v>435</v>
      </c>
      <c r="B250" s="1" t="s">
        <v>478</v>
      </c>
      <c r="C250" s="1" t="s">
        <v>670</v>
      </c>
      <c r="D250" s="1" t="str">
        <f>"7820"</f>
        <v>7820</v>
      </c>
      <c r="E250" s="1" t="s">
        <v>460</v>
      </c>
      <c r="F250" s="1" t="s">
        <v>461</v>
      </c>
      <c r="G250" s="1" t="s">
        <v>15</v>
      </c>
      <c r="H250" s="1" t="str">
        <f>"3"</f>
        <v>3</v>
      </c>
      <c r="I250" s="3" t="str">
        <f>"60"</f>
        <v>60</v>
      </c>
      <c r="J250" s="4">
        <v>46111</v>
      </c>
      <c r="K250" s="1" t="s">
        <v>671</v>
      </c>
    </row>
    <row r="251" spans="1:11" x14ac:dyDescent="0.35">
      <c r="A251" s="1" t="s">
        <v>435</v>
      </c>
      <c r="B251" s="1" t="s">
        <v>478</v>
      </c>
      <c r="C251" s="1" t="s">
        <v>678</v>
      </c>
      <c r="D251" s="1" t="str">
        <f>"8150"</f>
        <v>8150</v>
      </c>
      <c r="E251" s="1" t="str">
        <f>"014886545"</f>
        <v>014886545</v>
      </c>
      <c r="F251" s="1" t="s">
        <v>387</v>
      </c>
      <c r="G251" s="1" t="s">
        <v>15</v>
      </c>
      <c r="H251" s="1" t="str">
        <f>"1"</f>
        <v>1</v>
      </c>
      <c r="I251" s="3">
        <v>11267.94</v>
      </c>
      <c r="J251" s="4">
        <v>46111</v>
      </c>
      <c r="K251" s="1" t="s">
        <v>679</v>
      </c>
    </row>
    <row r="252" spans="1:11" x14ac:dyDescent="0.35">
      <c r="A252" s="1" t="s">
        <v>435</v>
      </c>
      <c r="B252" s="1" t="s">
        <v>478</v>
      </c>
      <c r="C252" s="1" t="s">
        <v>689</v>
      </c>
      <c r="D252" s="1" t="str">
        <f>"9930"</f>
        <v>9930</v>
      </c>
      <c r="E252" s="1" t="str">
        <f>"013316244"</f>
        <v>013316244</v>
      </c>
      <c r="F252" s="1" t="s">
        <v>690</v>
      </c>
      <c r="G252" s="1" t="s">
        <v>15</v>
      </c>
      <c r="H252" s="1" t="str">
        <f>"30"</f>
        <v>30</v>
      </c>
      <c r="I252" s="3">
        <v>45.01</v>
      </c>
      <c r="J252" s="4">
        <v>46111</v>
      </c>
      <c r="K252" s="1" t="s">
        <v>691</v>
      </c>
    </row>
    <row r="253" spans="1:11" x14ac:dyDescent="0.35">
      <c r="A253" s="1" t="s">
        <v>435</v>
      </c>
      <c r="B253" s="1" t="s">
        <v>436</v>
      </c>
      <c r="C253" s="1" t="s">
        <v>445</v>
      </c>
      <c r="D253" s="1" t="str">
        <f>"2340"</f>
        <v>2340</v>
      </c>
      <c r="E253" s="1" t="s">
        <v>179</v>
      </c>
      <c r="F253" s="1" t="s">
        <v>180</v>
      </c>
      <c r="G253" s="1" t="s">
        <v>15</v>
      </c>
      <c r="H253" s="1" t="str">
        <f>"1"</f>
        <v>1</v>
      </c>
      <c r="I253" s="3">
        <v>14321.35</v>
      </c>
      <c r="J253" s="4">
        <v>46112</v>
      </c>
      <c r="K253" s="1" t="s">
        <v>446</v>
      </c>
    </row>
    <row r="254" spans="1:11" x14ac:dyDescent="0.35">
      <c r="A254" s="1" t="s">
        <v>435</v>
      </c>
      <c r="B254" s="1" t="s">
        <v>436</v>
      </c>
      <c r="C254" s="1" t="s">
        <v>456</v>
      </c>
      <c r="D254" s="1" t="str">
        <f>"6545"</f>
        <v>6545</v>
      </c>
      <c r="E254" s="1" t="str">
        <f>"015748111"</f>
        <v>015748111</v>
      </c>
      <c r="F254" s="1" t="s">
        <v>457</v>
      </c>
      <c r="G254" s="1" t="s">
        <v>15</v>
      </c>
      <c r="H254" s="1" t="str">
        <f>"1"</f>
        <v>1</v>
      </c>
      <c r="I254" s="3">
        <v>148.55000000000001</v>
      </c>
      <c r="J254" s="4">
        <v>46112</v>
      </c>
      <c r="K254" s="1" t="s">
        <v>458</v>
      </c>
    </row>
    <row r="255" spans="1:11" x14ac:dyDescent="0.35">
      <c r="A255" s="1" t="s">
        <v>435</v>
      </c>
      <c r="B255" s="1" t="s">
        <v>436</v>
      </c>
      <c r="C255" s="1" t="s">
        <v>463</v>
      </c>
      <c r="D255" s="1" t="str">
        <f>"8340"</f>
        <v>8340</v>
      </c>
      <c r="E255" s="1" t="str">
        <f>"014525919"</f>
        <v>014525919</v>
      </c>
      <c r="F255" s="1" t="s">
        <v>464</v>
      </c>
      <c r="G255" s="1" t="s">
        <v>15</v>
      </c>
      <c r="H255" s="1" t="str">
        <f>"50"</f>
        <v>50</v>
      </c>
      <c r="I255" s="3">
        <v>520.42999999999995</v>
      </c>
      <c r="J255" s="4">
        <v>46112</v>
      </c>
      <c r="K255" s="1" t="s">
        <v>465</v>
      </c>
    </row>
    <row r="256" spans="1:11" x14ac:dyDescent="0.35">
      <c r="A256" s="1" t="s">
        <v>692</v>
      </c>
      <c r="B256" s="1" t="s">
        <v>702</v>
      </c>
      <c r="C256" s="1" t="s">
        <v>715</v>
      </c>
      <c r="D256" s="1" t="str">
        <f>"2330"</f>
        <v>2330</v>
      </c>
      <c r="E256" s="1" t="s">
        <v>104</v>
      </c>
      <c r="F256" s="1" t="s">
        <v>105</v>
      </c>
      <c r="G256" s="1" t="s">
        <v>15</v>
      </c>
      <c r="H256" s="1" t="str">
        <f>"1"</f>
        <v>1</v>
      </c>
      <c r="I256" s="3">
        <v>1664.5</v>
      </c>
      <c r="J256" s="4">
        <v>46029</v>
      </c>
      <c r="K256" s="1" t="s">
        <v>716</v>
      </c>
    </row>
    <row r="257" spans="1:11" x14ac:dyDescent="0.35">
      <c r="A257" s="1" t="s">
        <v>692</v>
      </c>
      <c r="B257" s="1" t="s">
        <v>702</v>
      </c>
      <c r="C257" s="1" t="s">
        <v>757</v>
      </c>
      <c r="D257" s="1" t="str">
        <f t="shared" ref="D257:D267" si="11">"8415"</f>
        <v>8415</v>
      </c>
      <c r="E257" s="1" t="str">
        <f>"015469707"</f>
        <v>015469707</v>
      </c>
      <c r="F257" s="1" t="s">
        <v>758</v>
      </c>
      <c r="G257" s="1" t="s">
        <v>15</v>
      </c>
      <c r="H257" s="1" t="str">
        <f>"1"</f>
        <v>1</v>
      </c>
      <c r="I257" s="3">
        <v>93.33</v>
      </c>
      <c r="J257" s="4">
        <v>46029</v>
      </c>
      <c r="K257" s="1" t="s">
        <v>759</v>
      </c>
    </row>
    <row r="258" spans="1:11" x14ac:dyDescent="0.35">
      <c r="A258" s="1" t="s">
        <v>692</v>
      </c>
      <c r="B258" s="1" t="s">
        <v>702</v>
      </c>
      <c r="C258" s="1" t="s">
        <v>774</v>
      </c>
      <c r="D258" s="1" t="str">
        <f t="shared" si="11"/>
        <v>8415</v>
      </c>
      <c r="E258" s="1" t="str">
        <f>"015386766"</f>
        <v>015386766</v>
      </c>
      <c r="F258" s="1" t="s">
        <v>758</v>
      </c>
      <c r="G258" s="1" t="s">
        <v>15</v>
      </c>
      <c r="H258" s="1" t="str">
        <f>"7"</f>
        <v>7</v>
      </c>
      <c r="I258" s="3">
        <v>93.33</v>
      </c>
      <c r="J258" s="4">
        <v>46029</v>
      </c>
      <c r="K258" s="1" t="s">
        <v>759</v>
      </c>
    </row>
    <row r="259" spans="1:11" x14ac:dyDescent="0.35">
      <c r="A259" s="1" t="s">
        <v>692</v>
      </c>
      <c r="B259" s="1" t="s">
        <v>702</v>
      </c>
      <c r="C259" s="1" t="s">
        <v>775</v>
      </c>
      <c r="D259" s="1" t="str">
        <f t="shared" si="11"/>
        <v>8415</v>
      </c>
      <c r="E259" s="1" t="str">
        <f>"015801341"</f>
        <v>015801341</v>
      </c>
      <c r="F259" s="1" t="s">
        <v>761</v>
      </c>
      <c r="G259" s="1" t="s">
        <v>15</v>
      </c>
      <c r="H259" s="1" t="str">
        <f>"5"</f>
        <v>5</v>
      </c>
      <c r="I259" s="3">
        <v>80.94</v>
      </c>
      <c r="J259" s="4">
        <v>46029</v>
      </c>
      <c r="K259" s="1" t="s">
        <v>759</v>
      </c>
    </row>
    <row r="260" spans="1:11" x14ac:dyDescent="0.35">
      <c r="A260" s="1" t="s">
        <v>692</v>
      </c>
      <c r="B260" s="1" t="s">
        <v>702</v>
      </c>
      <c r="C260" s="1" t="s">
        <v>777</v>
      </c>
      <c r="D260" s="1" t="str">
        <f t="shared" si="11"/>
        <v>8415</v>
      </c>
      <c r="E260" s="1" t="str">
        <f>"015469724"</f>
        <v>015469724</v>
      </c>
      <c r="F260" s="1" t="s">
        <v>758</v>
      </c>
      <c r="G260" s="1" t="s">
        <v>15</v>
      </c>
      <c r="H260" s="1" t="str">
        <f>"1"</f>
        <v>1</v>
      </c>
      <c r="I260" s="3">
        <v>93.33</v>
      </c>
      <c r="J260" s="4">
        <v>46029</v>
      </c>
      <c r="K260" s="1" t="s">
        <v>759</v>
      </c>
    </row>
    <row r="261" spans="1:11" x14ac:dyDescent="0.35">
      <c r="A261" s="1" t="s">
        <v>692</v>
      </c>
      <c r="B261" s="1" t="s">
        <v>702</v>
      </c>
      <c r="C261" s="1" t="s">
        <v>778</v>
      </c>
      <c r="D261" s="1" t="str">
        <f t="shared" si="11"/>
        <v>8415</v>
      </c>
      <c r="E261" s="1" t="str">
        <f>"015801332"</f>
        <v>015801332</v>
      </c>
      <c r="F261" s="1" t="s">
        <v>761</v>
      </c>
      <c r="G261" s="1" t="s">
        <v>15</v>
      </c>
      <c r="H261" s="1" t="str">
        <f>"1"</f>
        <v>1</v>
      </c>
      <c r="I261" s="3">
        <v>80.94</v>
      </c>
      <c r="J261" s="4">
        <v>46029</v>
      </c>
      <c r="K261" s="1" t="s">
        <v>759</v>
      </c>
    </row>
    <row r="262" spans="1:11" x14ac:dyDescent="0.35">
      <c r="A262" s="1" t="s">
        <v>692</v>
      </c>
      <c r="B262" s="1" t="s">
        <v>702</v>
      </c>
      <c r="C262" s="1" t="s">
        <v>779</v>
      </c>
      <c r="D262" s="1" t="str">
        <f t="shared" si="11"/>
        <v>8415</v>
      </c>
      <c r="E262" s="1" t="str">
        <f>"015801358"</f>
        <v>015801358</v>
      </c>
      <c r="F262" s="1" t="s">
        <v>761</v>
      </c>
      <c r="G262" s="1" t="s">
        <v>15</v>
      </c>
      <c r="H262" s="1" t="str">
        <f>"3"</f>
        <v>3</v>
      </c>
      <c r="I262" s="3">
        <v>80.94</v>
      </c>
      <c r="J262" s="4">
        <v>46029</v>
      </c>
      <c r="K262" s="1" t="s">
        <v>759</v>
      </c>
    </row>
    <row r="263" spans="1:11" x14ac:dyDescent="0.35">
      <c r="A263" s="1" t="s">
        <v>692</v>
      </c>
      <c r="B263" s="1" t="s">
        <v>702</v>
      </c>
      <c r="C263" s="1" t="s">
        <v>780</v>
      </c>
      <c r="D263" s="1" t="str">
        <f t="shared" si="11"/>
        <v>8415</v>
      </c>
      <c r="E263" s="1" t="str">
        <f>"015269186"</f>
        <v>015269186</v>
      </c>
      <c r="F263" s="1" t="s">
        <v>781</v>
      </c>
      <c r="G263" s="1" t="s">
        <v>15</v>
      </c>
      <c r="H263" s="1" t="str">
        <f>"1"</f>
        <v>1</v>
      </c>
      <c r="I263" s="3">
        <v>171.72</v>
      </c>
      <c r="J263" s="4">
        <v>46029</v>
      </c>
      <c r="K263" s="1" t="s">
        <v>759</v>
      </c>
    </row>
    <row r="264" spans="1:11" x14ac:dyDescent="0.35">
      <c r="A264" s="1" t="s">
        <v>692</v>
      </c>
      <c r="B264" s="1" t="s">
        <v>702</v>
      </c>
      <c r="C264" s="1" t="s">
        <v>782</v>
      </c>
      <c r="D264" s="1" t="str">
        <f t="shared" si="11"/>
        <v>8415</v>
      </c>
      <c r="E264" s="1" t="str">
        <f>"010749422"</f>
        <v>010749422</v>
      </c>
      <c r="F264" s="1" t="s">
        <v>761</v>
      </c>
      <c r="G264" s="1" t="s">
        <v>15</v>
      </c>
      <c r="H264" s="1" t="str">
        <f>"1"</f>
        <v>1</v>
      </c>
      <c r="I264" s="3">
        <v>229.83</v>
      </c>
      <c r="J264" s="4">
        <v>46029</v>
      </c>
      <c r="K264" s="1" t="s">
        <v>759</v>
      </c>
    </row>
    <row r="265" spans="1:11" x14ac:dyDescent="0.35">
      <c r="A265" s="1" t="s">
        <v>692</v>
      </c>
      <c r="B265" s="1" t="s">
        <v>702</v>
      </c>
      <c r="C265" s="1" t="s">
        <v>783</v>
      </c>
      <c r="D265" s="1" t="str">
        <f t="shared" si="11"/>
        <v>8415</v>
      </c>
      <c r="E265" s="1" t="str">
        <f>"015801348"</f>
        <v>015801348</v>
      </c>
      <c r="F265" s="1" t="s">
        <v>761</v>
      </c>
      <c r="G265" s="1" t="s">
        <v>15</v>
      </c>
      <c r="H265" s="1" t="str">
        <f>"1"</f>
        <v>1</v>
      </c>
      <c r="I265" s="3">
        <v>80.94</v>
      </c>
      <c r="J265" s="4">
        <v>46029</v>
      </c>
      <c r="K265" s="1" t="s">
        <v>759</v>
      </c>
    </row>
    <row r="266" spans="1:11" x14ac:dyDescent="0.35">
      <c r="A266" s="1" t="s">
        <v>692</v>
      </c>
      <c r="B266" s="1" t="s">
        <v>702</v>
      </c>
      <c r="C266" s="1" t="s">
        <v>784</v>
      </c>
      <c r="D266" s="1" t="str">
        <f t="shared" si="11"/>
        <v>8415</v>
      </c>
      <c r="E266" s="1" t="str">
        <f>"015386680"</f>
        <v>015386680</v>
      </c>
      <c r="F266" s="1" t="s">
        <v>22</v>
      </c>
      <c r="G266" s="1" t="s">
        <v>15</v>
      </c>
      <c r="H266" s="1" t="str">
        <f>"6"</f>
        <v>6</v>
      </c>
      <c r="I266" s="3">
        <v>93.46</v>
      </c>
      <c r="J266" s="4">
        <v>46029</v>
      </c>
      <c r="K266" s="1" t="s">
        <v>759</v>
      </c>
    </row>
    <row r="267" spans="1:11" x14ac:dyDescent="0.35">
      <c r="A267" s="1" t="s">
        <v>692</v>
      </c>
      <c r="B267" s="1" t="s">
        <v>702</v>
      </c>
      <c r="C267" s="1" t="s">
        <v>785</v>
      </c>
      <c r="D267" s="1" t="str">
        <f t="shared" si="11"/>
        <v>8415</v>
      </c>
      <c r="E267" s="1" t="str">
        <f>"015386677"</f>
        <v>015386677</v>
      </c>
      <c r="F267" s="1" t="s">
        <v>22</v>
      </c>
      <c r="G267" s="1" t="s">
        <v>15</v>
      </c>
      <c r="H267" s="1" t="str">
        <f>"2"</f>
        <v>2</v>
      </c>
      <c r="I267" s="3">
        <v>93.46</v>
      </c>
      <c r="J267" s="4">
        <v>46029</v>
      </c>
      <c r="K267" s="1" t="s">
        <v>759</v>
      </c>
    </row>
    <row r="268" spans="1:11" x14ac:dyDescent="0.35">
      <c r="A268" s="1" t="s">
        <v>692</v>
      </c>
      <c r="B268" s="1" t="s">
        <v>702</v>
      </c>
      <c r="C268" s="1" t="s">
        <v>735</v>
      </c>
      <c r="D268" s="1" t="str">
        <f>"3950"</f>
        <v>3950</v>
      </c>
      <c r="E268" s="1" t="str">
        <f>"014125345"</f>
        <v>014125345</v>
      </c>
      <c r="F268" s="1" t="s">
        <v>736</v>
      </c>
      <c r="G268" s="1" t="s">
        <v>15</v>
      </c>
      <c r="H268" s="1" t="str">
        <f>"1"</f>
        <v>1</v>
      </c>
      <c r="I268" s="3" t="str">
        <f>"60500"</f>
        <v>60500</v>
      </c>
      <c r="J268" s="4">
        <v>46036</v>
      </c>
      <c r="K268" s="1" t="s">
        <v>737</v>
      </c>
    </row>
    <row r="269" spans="1:11" x14ac:dyDescent="0.35">
      <c r="A269" s="1" t="s">
        <v>692</v>
      </c>
      <c r="B269" s="1" t="s">
        <v>702</v>
      </c>
      <c r="C269" s="1" t="s">
        <v>755</v>
      </c>
      <c r="D269" s="1" t="str">
        <f>"8145"</f>
        <v>8145</v>
      </c>
      <c r="E269" s="1" t="str">
        <f>"014653621"</f>
        <v>014653621</v>
      </c>
      <c r="F269" s="1" t="s">
        <v>753</v>
      </c>
      <c r="G269" s="1" t="s">
        <v>15</v>
      </c>
      <c r="H269" s="1" t="str">
        <f>"3"</f>
        <v>3</v>
      </c>
      <c r="I269" s="3">
        <v>17477.91</v>
      </c>
      <c r="J269" s="4">
        <v>46036</v>
      </c>
      <c r="K269" s="1" t="s">
        <v>756</v>
      </c>
    </row>
    <row r="270" spans="1:11" x14ac:dyDescent="0.35">
      <c r="A270" s="1" t="s">
        <v>692</v>
      </c>
      <c r="B270" s="1" t="s">
        <v>796</v>
      </c>
      <c r="C270" s="1" t="s">
        <v>797</v>
      </c>
      <c r="D270" s="1" t="str">
        <f>"5855"</f>
        <v>5855</v>
      </c>
      <c r="E270" s="1" t="str">
        <f>"015485687"</f>
        <v>015485687</v>
      </c>
      <c r="F270" s="1" t="s">
        <v>798</v>
      </c>
      <c r="G270" s="1" t="s">
        <v>15</v>
      </c>
      <c r="H270" s="1" t="str">
        <f>"5"</f>
        <v>5</v>
      </c>
      <c r="I270" s="3" t="str">
        <f>"10402"</f>
        <v>10402</v>
      </c>
      <c r="J270" s="4">
        <v>46038</v>
      </c>
      <c r="K270" s="1" t="s">
        <v>799</v>
      </c>
    </row>
    <row r="271" spans="1:11" x14ac:dyDescent="0.35">
      <c r="A271" s="1" t="s">
        <v>692</v>
      </c>
      <c r="B271" s="1" t="s">
        <v>693</v>
      </c>
      <c r="C271" s="1" t="s">
        <v>694</v>
      </c>
      <c r="D271" s="1" t="str">
        <f>"6545"</f>
        <v>6545</v>
      </c>
      <c r="E271" s="1" t="str">
        <f>"015300929"</f>
        <v>015300929</v>
      </c>
      <c r="F271" s="1" t="s">
        <v>167</v>
      </c>
      <c r="G271" s="1" t="s">
        <v>168</v>
      </c>
      <c r="H271" s="1" t="str">
        <f>"13"</f>
        <v>13</v>
      </c>
      <c r="I271" s="3">
        <v>62.81</v>
      </c>
      <c r="J271" s="4">
        <v>46043</v>
      </c>
      <c r="K271" s="1" t="s">
        <v>695</v>
      </c>
    </row>
    <row r="272" spans="1:11" x14ac:dyDescent="0.35">
      <c r="A272" s="1" t="s">
        <v>692</v>
      </c>
      <c r="B272" s="1" t="s">
        <v>693</v>
      </c>
      <c r="C272" s="1" t="s">
        <v>696</v>
      </c>
      <c r="D272" s="1" t="str">
        <f>"8465"</f>
        <v>8465</v>
      </c>
      <c r="E272" s="1" t="str">
        <f>"015247635"</f>
        <v>015247635</v>
      </c>
      <c r="F272" s="1" t="s">
        <v>697</v>
      </c>
      <c r="G272" s="1" t="s">
        <v>15</v>
      </c>
      <c r="H272" s="1" t="str">
        <f>"2"</f>
        <v>2</v>
      </c>
      <c r="I272" s="3">
        <v>121.05</v>
      </c>
      <c r="J272" s="4">
        <v>46043</v>
      </c>
      <c r="K272" s="1" t="s">
        <v>698</v>
      </c>
    </row>
    <row r="273" spans="1:11" x14ac:dyDescent="0.35">
      <c r="A273" s="1" t="s">
        <v>692</v>
      </c>
      <c r="B273" s="1" t="s">
        <v>693</v>
      </c>
      <c r="C273" s="1" t="s">
        <v>699</v>
      </c>
      <c r="D273" s="1" t="str">
        <f>"8465"</f>
        <v>8465</v>
      </c>
      <c r="E273" s="1" t="str">
        <f>"015250606"</f>
        <v>015250606</v>
      </c>
      <c r="F273" s="1" t="s">
        <v>700</v>
      </c>
      <c r="G273" s="1" t="s">
        <v>15</v>
      </c>
      <c r="H273" s="1" t="str">
        <f>"20"</f>
        <v>20</v>
      </c>
      <c r="I273" s="3">
        <v>5.62</v>
      </c>
      <c r="J273" s="4">
        <v>46043</v>
      </c>
      <c r="K273" s="1" t="s">
        <v>701</v>
      </c>
    </row>
    <row r="274" spans="1:11" x14ac:dyDescent="0.35">
      <c r="A274" s="1" t="s">
        <v>692</v>
      </c>
      <c r="B274" s="1" t="s">
        <v>702</v>
      </c>
      <c r="C274" s="1" t="s">
        <v>731</v>
      </c>
      <c r="D274" s="1" t="str">
        <f>"2610"</f>
        <v>2610</v>
      </c>
      <c r="E274" s="1" t="str">
        <f>"000509730"</f>
        <v>000509730</v>
      </c>
      <c r="F274" s="1" t="s">
        <v>729</v>
      </c>
      <c r="G274" s="1" t="s">
        <v>15</v>
      </c>
      <c r="H274" s="1" t="str">
        <f>"2"</f>
        <v>2</v>
      </c>
      <c r="I274" s="3">
        <v>98.26</v>
      </c>
      <c r="J274" s="4">
        <v>46057</v>
      </c>
      <c r="K274" s="1" t="s">
        <v>732</v>
      </c>
    </row>
    <row r="275" spans="1:11" x14ac:dyDescent="0.35">
      <c r="A275" s="1" t="s">
        <v>692</v>
      </c>
      <c r="B275" s="1" t="s">
        <v>702</v>
      </c>
      <c r="C275" s="1" t="s">
        <v>741</v>
      </c>
      <c r="D275" s="1" t="str">
        <f>"5855"</f>
        <v>5855</v>
      </c>
      <c r="E275" s="1" t="str">
        <f>"015380191"</f>
        <v>015380191</v>
      </c>
      <c r="F275" s="1" t="s">
        <v>742</v>
      </c>
      <c r="G275" s="1" t="s">
        <v>15</v>
      </c>
      <c r="H275" s="1" t="str">
        <f>"11"</f>
        <v>11</v>
      </c>
      <c r="I275" s="3" t="str">
        <f>"1073"</f>
        <v>1073</v>
      </c>
      <c r="J275" s="4">
        <v>46057</v>
      </c>
      <c r="K275" s="1" t="s">
        <v>743</v>
      </c>
    </row>
    <row r="276" spans="1:11" x14ac:dyDescent="0.35">
      <c r="A276" s="1" t="s">
        <v>692</v>
      </c>
      <c r="B276" s="1" t="s">
        <v>702</v>
      </c>
      <c r="C276" s="1" t="s">
        <v>744</v>
      </c>
      <c r="D276" s="1" t="str">
        <f>"6117"</f>
        <v>6117</v>
      </c>
      <c r="E276" s="1" t="s">
        <v>745</v>
      </c>
      <c r="F276" s="1" t="s">
        <v>746</v>
      </c>
      <c r="G276" s="1" t="s">
        <v>15</v>
      </c>
      <c r="H276" s="1" t="str">
        <f>"1"</f>
        <v>1</v>
      </c>
      <c r="I276" s="3" t="str">
        <f>"20000"</f>
        <v>20000</v>
      </c>
      <c r="J276" s="4">
        <v>46057</v>
      </c>
      <c r="K276" s="1" t="s">
        <v>747</v>
      </c>
    </row>
    <row r="277" spans="1:11" x14ac:dyDescent="0.35">
      <c r="A277" s="1" t="s">
        <v>692</v>
      </c>
      <c r="B277" s="1" t="s">
        <v>702</v>
      </c>
      <c r="C277" s="1" t="s">
        <v>703</v>
      </c>
      <c r="D277" s="1" t="str">
        <f>"1095"</f>
        <v>1095</v>
      </c>
      <c r="E277" s="1" t="str">
        <f>"015267860"</f>
        <v>015267860</v>
      </c>
      <c r="F277" s="1" t="s">
        <v>704</v>
      </c>
      <c r="G277" s="1" t="s">
        <v>15</v>
      </c>
      <c r="H277" s="1" t="str">
        <f>"3"</f>
        <v>3</v>
      </c>
      <c r="I277" s="3" t="str">
        <f>"1107"</f>
        <v>1107</v>
      </c>
      <c r="J277" s="4">
        <v>46063</v>
      </c>
      <c r="K277" s="1" t="s">
        <v>705</v>
      </c>
    </row>
    <row r="278" spans="1:11" x14ac:dyDescent="0.35">
      <c r="A278" s="1" t="s">
        <v>692</v>
      </c>
      <c r="B278" s="1" t="s">
        <v>702</v>
      </c>
      <c r="C278" s="1" t="s">
        <v>706</v>
      </c>
      <c r="D278" s="1" t="str">
        <f>"1385"</f>
        <v>1385</v>
      </c>
      <c r="E278" s="1" t="str">
        <f>"010299543"</f>
        <v>010299543</v>
      </c>
      <c r="F278" s="1" t="s">
        <v>707</v>
      </c>
      <c r="G278" s="1" t="s">
        <v>15</v>
      </c>
      <c r="H278" s="1" t="str">
        <f t="shared" ref="H278:H292" si="12">"1"</f>
        <v>1</v>
      </c>
      <c r="I278" s="3" t="str">
        <f>"14856"</f>
        <v>14856</v>
      </c>
      <c r="J278" s="4">
        <v>46063</v>
      </c>
      <c r="K278" s="1" t="s">
        <v>708</v>
      </c>
    </row>
    <row r="279" spans="1:11" x14ac:dyDescent="0.35">
      <c r="A279" s="1" t="s">
        <v>692</v>
      </c>
      <c r="B279" s="1" t="s">
        <v>702</v>
      </c>
      <c r="C279" s="1" t="s">
        <v>738</v>
      </c>
      <c r="D279" s="1" t="str">
        <f>"3990"</f>
        <v>3990</v>
      </c>
      <c r="E279" s="1" t="str">
        <f>"012257259"</f>
        <v>012257259</v>
      </c>
      <c r="F279" s="1" t="s">
        <v>739</v>
      </c>
      <c r="G279" s="1" t="s">
        <v>15</v>
      </c>
      <c r="H279" s="1" t="str">
        <f t="shared" si="12"/>
        <v>1</v>
      </c>
      <c r="I279" s="3">
        <v>24143.200000000001</v>
      </c>
      <c r="J279" s="4">
        <v>46063</v>
      </c>
      <c r="K279" s="1" t="s">
        <v>740</v>
      </c>
    </row>
    <row r="280" spans="1:11" x14ac:dyDescent="0.35">
      <c r="A280" s="1" t="s">
        <v>692</v>
      </c>
      <c r="B280" s="1" t="s">
        <v>702</v>
      </c>
      <c r="C280" s="1" t="s">
        <v>760</v>
      </c>
      <c r="D280" s="1" t="str">
        <f t="shared" ref="D280:D291" si="13">"8415"</f>
        <v>8415</v>
      </c>
      <c r="E280" s="1" t="str">
        <f>"015801355"</f>
        <v>015801355</v>
      </c>
      <c r="F280" s="1" t="s">
        <v>761</v>
      </c>
      <c r="G280" s="1" t="s">
        <v>15</v>
      </c>
      <c r="H280" s="1" t="str">
        <f t="shared" si="12"/>
        <v>1</v>
      </c>
      <c r="I280" s="3">
        <v>80.94</v>
      </c>
      <c r="J280" s="4">
        <v>46063</v>
      </c>
      <c r="K280" s="1" t="s">
        <v>762</v>
      </c>
    </row>
    <row r="281" spans="1:11" x14ac:dyDescent="0.35">
      <c r="A281" s="1" t="s">
        <v>692</v>
      </c>
      <c r="B281" s="1" t="s">
        <v>702</v>
      </c>
      <c r="C281" s="1" t="s">
        <v>763</v>
      </c>
      <c r="D281" s="1" t="str">
        <f t="shared" si="13"/>
        <v>8415</v>
      </c>
      <c r="E281" s="1" t="str">
        <f>"010749425"</f>
        <v>010749425</v>
      </c>
      <c r="F281" s="1" t="s">
        <v>761</v>
      </c>
      <c r="G281" s="1" t="s">
        <v>15</v>
      </c>
      <c r="H281" s="1" t="str">
        <f t="shared" si="12"/>
        <v>1</v>
      </c>
      <c r="I281" s="3">
        <v>230.23</v>
      </c>
      <c r="J281" s="4">
        <v>46063</v>
      </c>
      <c r="K281" s="1" t="s">
        <v>762</v>
      </c>
    </row>
    <row r="282" spans="1:11" x14ac:dyDescent="0.35">
      <c r="A282" s="1" t="s">
        <v>692</v>
      </c>
      <c r="B282" s="1" t="s">
        <v>702</v>
      </c>
      <c r="C282" s="1" t="s">
        <v>764</v>
      </c>
      <c r="D282" s="1" t="str">
        <f t="shared" si="13"/>
        <v>8415</v>
      </c>
      <c r="E282" s="1" t="str">
        <f>"010749426"</f>
        <v>010749426</v>
      </c>
      <c r="F282" s="1" t="s">
        <v>761</v>
      </c>
      <c r="G282" s="1" t="s">
        <v>15</v>
      </c>
      <c r="H282" s="1" t="str">
        <f t="shared" si="12"/>
        <v>1</v>
      </c>
      <c r="I282" s="3">
        <v>229.83</v>
      </c>
      <c r="J282" s="4">
        <v>46063</v>
      </c>
      <c r="K282" s="1" t="s">
        <v>762</v>
      </c>
    </row>
    <row r="283" spans="1:11" x14ac:dyDescent="0.35">
      <c r="A283" s="1" t="s">
        <v>692</v>
      </c>
      <c r="B283" s="1" t="s">
        <v>702</v>
      </c>
      <c r="C283" s="1" t="s">
        <v>765</v>
      </c>
      <c r="D283" s="1" t="str">
        <f t="shared" si="13"/>
        <v>8415</v>
      </c>
      <c r="E283" s="1" t="str">
        <f>"015386739"</f>
        <v>015386739</v>
      </c>
      <c r="F283" s="1" t="s">
        <v>761</v>
      </c>
      <c r="G283" s="1" t="s">
        <v>15</v>
      </c>
      <c r="H283" s="1" t="str">
        <f t="shared" si="12"/>
        <v>1</v>
      </c>
      <c r="I283" s="3">
        <v>70.05</v>
      </c>
      <c r="J283" s="4">
        <v>46063</v>
      </c>
      <c r="K283" s="1" t="s">
        <v>762</v>
      </c>
    </row>
    <row r="284" spans="1:11" x14ac:dyDescent="0.35">
      <c r="A284" s="1" t="s">
        <v>692</v>
      </c>
      <c r="B284" s="1" t="s">
        <v>702</v>
      </c>
      <c r="C284" s="1" t="s">
        <v>766</v>
      </c>
      <c r="D284" s="1" t="str">
        <f t="shared" si="13"/>
        <v>8415</v>
      </c>
      <c r="E284" s="1" t="str">
        <f>"016411680"</f>
        <v>016411680</v>
      </c>
      <c r="F284" s="1" t="s">
        <v>758</v>
      </c>
      <c r="G284" s="1" t="s">
        <v>47</v>
      </c>
      <c r="H284" s="1" t="str">
        <f t="shared" si="12"/>
        <v>1</v>
      </c>
      <c r="I284" s="3">
        <v>100.61</v>
      </c>
      <c r="J284" s="4">
        <v>46063</v>
      </c>
      <c r="K284" s="1" t="s">
        <v>762</v>
      </c>
    </row>
    <row r="285" spans="1:11" x14ac:dyDescent="0.35">
      <c r="A285" s="1" t="s">
        <v>692</v>
      </c>
      <c r="B285" s="1" t="s">
        <v>702</v>
      </c>
      <c r="C285" s="1" t="s">
        <v>767</v>
      </c>
      <c r="D285" s="1" t="str">
        <f t="shared" si="13"/>
        <v>8415</v>
      </c>
      <c r="E285" s="1" t="str">
        <f>"015801337"</f>
        <v>015801337</v>
      </c>
      <c r="F285" s="1" t="s">
        <v>761</v>
      </c>
      <c r="G285" s="1" t="s">
        <v>15</v>
      </c>
      <c r="H285" s="1" t="str">
        <f t="shared" si="12"/>
        <v>1</v>
      </c>
      <c r="I285" s="3">
        <v>80.94</v>
      </c>
      <c r="J285" s="4">
        <v>46063</v>
      </c>
      <c r="K285" s="1" t="s">
        <v>762</v>
      </c>
    </row>
    <row r="286" spans="1:11" x14ac:dyDescent="0.35">
      <c r="A286" s="1" t="s">
        <v>692</v>
      </c>
      <c r="B286" s="1" t="s">
        <v>702</v>
      </c>
      <c r="C286" s="1" t="s">
        <v>768</v>
      </c>
      <c r="D286" s="1" t="str">
        <f t="shared" si="13"/>
        <v>8415</v>
      </c>
      <c r="E286" s="1" t="str">
        <f>"015386747"</f>
        <v>015386747</v>
      </c>
      <c r="F286" s="1" t="s">
        <v>761</v>
      </c>
      <c r="G286" s="1" t="s">
        <v>15</v>
      </c>
      <c r="H286" s="1" t="str">
        <f t="shared" si="12"/>
        <v>1</v>
      </c>
      <c r="I286" s="3">
        <v>63.88</v>
      </c>
      <c r="J286" s="4">
        <v>46063</v>
      </c>
      <c r="K286" s="1" t="s">
        <v>762</v>
      </c>
    </row>
    <row r="287" spans="1:11" x14ac:dyDescent="0.35">
      <c r="A287" s="1" t="s">
        <v>692</v>
      </c>
      <c r="B287" s="1" t="s">
        <v>702</v>
      </c>
      <c r="C287" s="1" t="s">
        <v>769</v>
      </c>
      <c r="D287" s="1" t="str">
        <f t="shared" si="13"/>
        <v>8415</v>
      </c>
      <c r="E287" s="1" t="str">
        <f>"015386752"</f>
        <v>015386752</v>
      </c>
      <c r="F287" s="1" t="s">
        <v>761</v>
      </c>
      <c r="G287" s="1" t="s">
        <v>15</v>
      </c>
      <c r="H287" s="1" t="str">
        <f t="shared" si="12"/>
        <v>1</v>
      </c>
      <c r="I287" s="3">
        <v>63.88</v>
      </c>
      <c r="J287" s="4">
        <v>46063</v>
      </c>
      <c r="K287" s="1" t="s">
        <v>762</v>
      </c>
    </row>
    <row r="288" spans="1:11" x14ac:dyDescent="0.35">
      <c r="A288" s="1" t="s">
        <v>692</v>
      </c>
      <c r="B288" s="1" t="s">
        <v>702</v>
      </c>
      <c r="C288" s="1" t="s">
        <v>770</v>
      </c>
      <c r="D288" s="1" t="str">
        <f t="shared" si="13"/>
        <v>8415</v>
      </c>
      <c r="E288" s="1" t="str">
        <f>"016411799"</f>
        <v>016411799</v>
      </c>
      <c r="F288" s="1" t="s">
        <v>771</v>
      </c>
      <c r="G288" s="1" t="s">
        <v>47</v>
      </c>
      <c r="H288" s="1" t="str">
        <f t="shared" si="12"/>
        <v>1</v>
      </c>
      <c r="I288" s="3">
        <v>108.96</v>
      </c>
      <c r="J288" s="4">
        <v>46063</v>
      </c>
      <c r="K288" s="1" t="s">
        <v>762</v>
      </c>
    </row>
    <row r="289" spans="1:11" x14ac:dyDescent="0.35">
      <c r="A289" s="1" t="s">
        <v>692</v>
      </c>
      <c r="B289" s="1" t="s">
        <v>702</v>
      </c>
      <c r="C289" s="1" t="s">
        <v>772</v>
      </c>
      <c r="D289" s="1" t="str">
        <f t="shared" si="13"/>
        <v>8415</v>
      </c>
      <c r="E289" s="1" t="str">
        <f>"015802493"</f>
        <v>015802493</v>
      </c>
      <c r="F289" s="1" t="s">
        <v>22</v>
      </c>
      <c r="G289" s="1" t="s">
        <v>47</v>
      </c>
      <c r="H289" s="1" t="str">
        <f t="shared" si="12"/>
        <v>1</v>
      </c>
      <c r="I289" s="3">
        <v>123.49</v>
      </c>
      <c r="J289" s="4">
        <v>46063</v>
      </c>
      <c r="K289" s="1" t="s">
        <v>762</v>
      </c>
    </row>
    <row r="290" spans="1:11" x14ac:dyDescent="0.35">
      <c r="A290" s="1" t="s">
        <v>692</v>
      </c>
      <c r="B290" s="1" t="s">
        <v>702</v>
      </c>
      <c r="C290" s="1" t="s">
        <v>773</v>
      </c>
      <c r="D290" s="1" t="str">
        <f t="shared" si="13"/>
        <v>8415</v>
      </c>
      <c r="E290" s="1" t="str">
        <f>"015474234"</f>
        <v>015474234</v>
      </c>
      <c r="F290" s="1" t="s">
        <v>22</v>
      </c>
      <c r="G290" s="1" t="s">
        <v>15</v>
      </c>
      <c r="H290" s="1" t="str">
        <f t="shared" si="12"/>
        <v>1</v>
      </c>
      <c r="I290" s="3">
        <v>93.46</v>
      </c>
      <c r="J290" s="4">
        <v>46063</v>
      </c>
      <c r="K290" s="1" t="s">
        <v>762</v>
      </c>
    </row>
    <row r="291" spans="1:11" x14ac:dyDescent="0.35">
      <c r="A291" s="1" t="s">
        <v>692</v>
      </c>
      <c r="B291" s="1" t="s">
        <v>702</v>
      </c>
      <c r="C291" s="1" t="s">
        <v>776</v>
      </c>
      <c r="D291" s="1" t="str">
        <f t="shared" si="13"/>
        <v>8415</v>
      </c>
      <c r="E291" s="1" t="str">
        <f>"015387012"</f>
        <v>015387012</v>
      </c>
      <c r="F291" s="1" t="s">
        <v>18</v>
      </c>
      <c r="G291" s="1" t="s">
        <v>15</v>
      </c>
      <c r="H291" s="1" t="str">
        <f t="shared" si="12"/>
        <v>1</v>
      </c>
      <c r="I291" s="3">
        <v>111.26</v>
      </c>
      <c r="J291" s="4">
        <v>46063</v>
      </c>
      <c r="K291" s="1" t="s">
        <v>762</v>
      </c>
    </row>
    <row r="292" spans="1:11" x14ac:dyDescent="0.35">
      <c r="A292" s="1" t="s">
        <v>692</v>
      </c>
      <c r="B292" s="1" t="s">
        <v>702</v>
      </c>
      <c r="C292" s="1" t="s">
        <v>721</v>
      </c>
      <c r="D292" s="1" t="str">
        <f>"2330"</f>
        <v>2330</v>
      </c>
      <c r="E292" s="1" t="str">
        <f>"005422039"</f>
        <v>005422039</v>
      </c>
      <c r="F292" s="1" t="s">
        <v>722</v>
      </c>
      <c r="G292" s="1" t="s">
        <v>15</v>
      </c>
      <c r="H292" s="1" t="str">
        <f t="shared" si="12"/>
        <v>1</v>
      </c>
      <c r="I292" s="3" t="str">
        <f>"2114"</f>
        <v>2114</v>
      </c>
      <c r="J292" s="4">
        <v>46070</v>
      </c>
      <c r="K292" s="1" t="s">
        <v>723</v>
      </c>
    </row>
    <row r="293" spans="1:11" x14ac:dyDescent="0.35">
      <c r="A293" s="1" t="s">
        <v>692</v>
      </c>
      <c r="B293" s="1" t="s">
        <v>702</v>
      </c>
      <c r="C293" s="1" t="s">
        <v>733</v>
      </c>
      <c r="D293" s="1" t="str">
        <f>"2610"</f>
        <v>2610</v>
      </c>
      <c r="E293" s="1" t="str">
        <f>"016581299"</f>
        <v>016581299</v>
      </c>
      <c r="F293" s="1" t="s">
        <v>729</v>
      </c>
      <c r="G293" s="1" t="s">
        <v>15</v>
      </c>
      <c r="H293" s="1" t="str">
        <f>"12"</f>
        <v>12</v>
      </c>
      <c r="I293" s="3">
        <v>982.6</v>
      </c>
      <c r="J293" s="4">
        <v>46078</v>
      </c>
      <c r="K293" s="1" t="s">
        <v>734</v>
      </c>
    </row>
    <row r="294" spans="1:11" x14ac:dyDescent="0.35">
      <c r="A294" s="1" t="s">
        <v>692</v>
      </c>
      <c r="B294" s="1" t="s">
        <v>793</v>
      </c>
      <c r="C294" s="1" t="s">
        <v>794</v>
      </c>
      <c r="D294" s="1" t="str">
        <f>"6115"</f>
        <v>6115</v>
      </c>
      <c r="E294" s="1" t="s">
        <v>157</v>
      </c>
      <c r="F294" s="1" t="s">
        <v>158</v>
      </c>
      <c r="G294" s="1" t="s">
        <v>15</v>
      </c>
      <c r="H294" s="1" t="str">
        <f>"1"</f>
        <v>1</v>
      </c>
      <c r="I294" s="3" t="str">
        <f>"799"</f>
        <v>799</v>
      </c>
      <c r="J294" s="4">
        <v>46084</v>
      </c>
      <c r="K294" s="1" t="s">
        <v>795</v>
      </c>
    </row>
    <row r="295" spans="1:11" x14ac:dyDescent="0.35">
      <c r="A295" s="1" t="s">
        <v>692</v>
      </c>
      <c r="B295" s="1" t="s">
        <v>702</v>
      </c>
      <c r="C295" s="1" t="s">
        <v>717</v>
      </c>
      <c r="D295" s="1" t="str">
        <f>"2330"</f>
        <v>2330</v>
      </c>
      <c r="E295" s="1" t="s">
        <v>104</v>
      </c>
      <c r="F295" s="1" t="s">
        <v>105</v>
      </c>
      <c r="G295" s="1" t="s">
        <v>15</v>
      </c>
      <c r="H295" s="1" t="str">
        <f>"1"</f>
        <v>1</v>
      </c>
      <c r="I295" s="3" t="str">
        <f>"12842"</f>
        <v>12842</v>
      </c>
      <c r="J295" s="4">
        <v>46085</v>
      </c>
      <c r="K295" s="1" t="s">
        <v>718</v>
      </c>
    </row>
    <row r="296" spans="1:11" x14ac:dyDescent="0.35">
      <c r="A296" s="1" t="s">
        <v>692</v>
      </c>
      <c r="B296" s="1" t="s">
        <v>702</v>
      </c>
      <c r="C296" s="1" t="s">
        <v>728</v>
      </c>
      <c r="D296" s="1" t="str">
        <f>"2610"</f>
        <v>2610</v>
      </c>
      <c r="E296" s="1" t="str">
        <f>"012810675"</f>
        <v>012810675</v>
      </c>
      <c r="F296" s="1" t="s">
        <v>729</v>
      </c>
      <c r="G296" s="1" t="s">
        <v>15</v>
      </c>
      <c r="H296" s="1" t="str">
        <f>"10"</f>
        <v>10</v>
      </c>
      <c r="I296" s="3">
        <v>810.07</v>
      </c>
      <c r="J296" s="4">
        <v>46086</v>
      </c>
      <c r="K296" s="1" t="s">
        <v>730</v>
      </c>
    </row>
    <row r="297" spans="1:11" x14ac:dyDescent="0.35">
      <c r="A297" s="1" t="s">
        <v>692</v>
      </c>
      <c r="B297" s="1" t="s">
        <v>702</v>
      </c>
      <c r="C297" s="1" t="s">
        <v>709</v>
      </c>
      <c r="D297" s="1" t="str">
        <f>"2310"</f>
        <v>2310</v>
      </c>
      <c r="E297" s="1" t="str">
        <f>"010907739"</f>
        <v>010907739</v>
      </c>
      <c r="F297" s="1" t="s">
        <v>710</v>
      </c>
      <c r="G297" s="1" t="s">
        <v>15</v>
      </c>
      <c r="H297" s="1" t="str">
        <f>"1"</f>
        <v>1</v>
      </c>
      <c r="I297" s="3" t="str">
        <f>"9176"</f>
        <v>9176</v>
      </c>
      <c r="J297" s="4">
        <v>46092</v>
      </c>
      <c r="K297" s="1" t="s">
        <v>711</v>
      </c>
    </row>
    <row r="298" spans="1:11" x14ac:dyDescent="0.35">
      <c r="A298" s="1" t="s">
        <v>692</v>
      </c>
      <c r="B298" s="1" t="s">
        <v>702</v>
      </c>
      <c r="C298" s="1" t="s">
        <v>712</v>
      </c>
      <c r="D298" s="1" t="str">
        <f>"2310"</f>
        <v>2310</v>
      </c>
      <c r="E298" s="1" t="str">
        <f>"010907739"</f>
        <v>010907739</v>
      </c>
      <c r="F298" s="1" t="s">
        <v>710</v>
      </c>
      <c r="G298" s="1" t="s">
        <v>15</v>
      </c>
      <c r="H298" s="1" t="str">
        <f>"1"</f>
        <v>1</v>
      </c>
      <c r="I298" s="3" t="str">
        <f>"9176"</f>
        <v>9176</v>
      </c>
      <c r="J298" s="4">
        <v>46092</v>
      </c>
      <c r="K298" s="1" t="s">
        <v>711</v>
      </c>
    </row>
    <row r="299" spans="1:11" x14ac:dyDescent="0.35">
      <c r="A299" s="1" t="s">
        <v>692</v>
      </c>
      <c r="B299" s="1" t="s">
        <v>702</v>
      </c>
      <c r="C299" s="1" t="s">
        <v>713</v>
      </c>
      <c r="D299" s="1" t="str">
        <f>"2310"</f>
        <v>2310</v>
      </c>
      <c r="E299" s="1" t="str">
        <f>"010907739"</f>
        <v>010907739</v>
      </c>
      <c r="F299" s="1" t="s">
        <v>710</v>
      </c>
      <c r="G299" s="1" t="s">
        <v>15</v>
      </c>
      <c r="H299" s="1" t="str">
        <f>"1"</f>
        <v>1</v>
      </c>
      <c r="I299" s="3" t="str">
        <f>"9176"</f>
        <v>9176</v>
      </c>
      <c r="J299" s="4">
        <v>46092</v>
      </c>
      <c r="K299" s="1" t="s">
        <v>711</v>
      </c>
    </row>
    <row r="300" spans="1:11" x14ac:dyDescent="0.35">
      <c r="A300" s="1" t="s">
        <v>692</v>
      </c>
      <c r="B300" s="1" t="s">
        <v>702</v>
      </c>
      <c r="C300" s="1" t="s">
        <v>714</v>
      </c>
      <c r="D300" s="1" t="str">
        <f>"2310"</f>
        <v>2310</v>
      </c>
      <c r="E300" s="1" t="str">
        <f>"010907739"</f>
        <v>010907739</v>
      </c>
      <c r="F300" s="1" t="s">
        <v>710</v>
      </c>
      <c r="G300" s="1" t="s">
        <v>15</v>
      </c>
      <c r="H300" s="1" t="str">
        <f>"1"</f>
        <v>1</v>
      </c>
      <c r="I300" s="3" t="str">
        <f>"9176"</f>
        <v>9176</v>
      </c>
      <c r="J300" s="4">
        <v>46092</v>
      </c>
      <c r="K300" s="1" t="s">
        <v>711</v>
      </c>
    </row>
    <row r="301" spans="1:11" x14ac:dyDescent="0.35">
      <c r="A301" s="1" t="s">
        <v>692</v>
      </c>
      <c r="B301" s="1" t="s">
        <v>796</v>
      </c>
      <c r="C301" s="1" t="s">
        <v>800</v>
      </c>
      <c r="D301" s="1" t="str">
        <f>"5855"</f>
        <v>5855</v>
      </c>
      <c r="E301" s="1" t="str">
        <f>"014199429"</f>
        <v>014199429</v>
      </c>
      <c r="F301" s="1" t="s">
        <v>614</v>
      </c>
      <c r="G301" s="1" t="s">
        <v>15</v>
      </c>
      <c r="H301" s="1" t="str">
        <f>"6"</f>
        <v>6</v>
      </c>
      <c r="I301" s="3" t="str">
        <f>"13003"</f>
        <v>13003</v>
      </c>
      <c r="J301" s="4">
        <v>46098</v>
      </c>
      <c r="K301" s="1" t="s">
        <v>799</v>
      </c>
    </row>
    <row r="302" spans="1:11" x14ac:dyDescent="0.35">
      <c r="A302" s="1" t="s">
        <v>692</v>
      </c>
      <c r="B302" s="1" t="s">
        <v>796</v>
      </c>
      <c r="C302" s="1" t="s">
        <v>801</v>
      </c>
      <c r="D302" s="1" t="str">
        <f>"5855"</f>
        <v>5855</v>
      </c>
      <c r="E302" s="1" t="str">
        <f>"014951038"</f>
        <v>014951038</v>
      </c>
      <c r="F302" s="1" t="s">
        <v>614</v>
      </c>
      <c r="G302" s="1" t="s">
        <v>15</v>
      </c>
      <c r="H302" s="1" t="str">
        <f>"4"</f>
        <v>4</v>
      </c>
      <c r="I302" s="3" t="str">
        <f>"14203"</f>
        <v>14203</v>
      </c>
      <c r="J302" s="4">
        <v>46098</v>
      </c>
      <c r="K302" s="1" t="s">
        <v>799</v>
      </c>
    </row>
    <row r="303" spans="1:11" x14ac:dyDescent="0.35">
      <c r="A303" s="1" t="s">
        <v>692</v>
      </c>
      <c r="B303" s="1" t="s">
        <v>702</v>
      </c>
      <c r="C303" s="1" t="s">
        <v>719</v>
      </c>
      <c r="D303" s="1" t="str">
        <f>"2330"</f>
        <v>2330</v>
      </c>
      <c r="E303" s="1" t="s">
        <v>104</v>
      </c>
      <c r="F303" s="1" t="s">
        <v>105</v>
      </c>
      <c r="G303" s="1" t="s">
        <v>15</v>
      </c>
      <c r="H303" s="1" t="str">
        <f>"1"</f>
        <v>1</v>
      </c>
      <c r="I303" s="3" t="str">
        <f>"3918"</f>
        <v>3918</v>
      </c>
      <c r="J303" s="4">
        <v>46099</v>
      </c>
      <c r="K303" s="1" t="s">
        <v>720</v>
      </c>
    </row>
    <row r="304" spans="1:11" x14ac:dyDescent="0.35">
      <c r="A304" s="1" t="s">
        <v>692</v>
      </c>
      <c r="B304" s="1" t="s">
        <v>702</v>
      </c>
      <c r="C304" s="1" t="s">
        <v>724</v>
      </c>
      <c r="D304" s="1" t="str">
        <f>"2530"</f>
        <v>2530</v>
      </c>
      <c r="E304" s="1" t="str">
        <f>"015065910"</f>
        <v>015065910</v>
      </c>
      <c r="F304" s="1" t="s">
        <v>725</v>
      </c>
      <c r="G304" s="1" t="s">
        <v>726</v>
      </c>
      <c r="H304" s="1" t="str">
        <f>"6"</f>
        <v>6</v>
      </c>
      <c r="I304" s="3" t="str">
        <f>"704"</f>
        <v>704</v>
      </c>
      <c r="J304" s="4">
        <v>46099</v>
      </c>
      <c r="K304" s="1" t="s">
        <v>727</v>
      </c>
    </row>
    <row r="305" spans="1:11" x14ac:dyDescent="0.35">
      <c r="A305" s="1" t="s">
        <v>692</v>
      </c>
      <c r="B305" s="1" t="s">
        <v>702</v>
      </c>
      <c r="C305" s="1" t="s">
        <v>748</v>
      </c>
      <c r="D305" s="1" t="str">
        <f>"7920"</f>
        <v>7920</v>
      </c>
      <c r="E305" s="1" t="s">
        <v>749</v>
      </c>
      <c r="F305" s="1" t="s">
        <v>750</v>
      </c>
      <c r="G305" s="1" t="s">
        <v>15</v>
      </c>
      <c r="H305" s="1" t="str">
        <f>"12"</f>
        <v>12</v>
      </c>
      <c r="I305" s="3" t="str">
        <f>"8"</f>
        <v>8</v>
      </c>
      <c r="J305" s="4">
        <v>46099</v>
      </c>
      <c r="K305" s="1" t="s">
        <v>751</v>
      </c>
    </row>
    <row r="306" spans="1:11" x14ac:dyDescent="0.35">
      <c r="A306" s="1" t="s">
        <v>692</v>
      </c>
      <c r="B306" s="1" t="s">
        <v>702</v>
      </c>
      <c r="C306" s="1" t="s">
        <v>752</v>
      </c>
      <c r="D306" s="1" t="str">
        <f>"8145"</f>
        <v>8145</v>
      </c>
      <c r="E306" s="1" t="str">
        <f>"013380615"</f>
        <v>013380615</v>
      </c>
      <c r="F306" s="1" t="s">
        <v>753</v>
      </c>
      <c r="G306" s="1" t="s">
        <v>15</v>
      </c>
      <c r="H306" s="1" t="str">
        <f>"2"</f>
        <v>2</v>
      </c>
      <c r="I306" s="3">
        <v>596.37</v>
      </c>
      <c r="J306" s="4">
        <v>46099</v>
      </c>
      <c r="K306" s="1" t="s">
        <v>754</v>
      </c>
    </row>
    <row r="307" spans="1:11" x14ac:dyDescent="0.35">
      <c r="A307" s="1" t="s">
        <v>692</v>
      </c>
      <c r="B307" s="1" t="s">
        <v>702</v>
      </c>
      <c r="C307" s="1" t="s">
        <v>786</v>
      </c>
      <c r="D307" s="1" t="str">
        <f>"8465"</f>
        <v>8465</v>
      </c>
      <c r="E307" s="1" t="s">
        <v>787</v>
      </c>
      <c r="F307" s="1" t="s">
        <v>788</v>
      </c>
      <c r="G307" s="1" t="s">
        <v>15</v>
      </c>
      <c r="H307" s="1" t="str">
        <f>"100"</f>
        <v>100</v>
      </c>
      <c r="I307" s="3">
        <v>0.01</v>
      </c>
      <c r="J307" s="4">
        <v>46099</v>
      </c>
      <c r="K307" s="1" t="s">
        <v>789</v>
      </c>
    </row>
    <row r="308" spans="1:11" x14ac:dyDescent="0.35">
      <c r="A308" s="1" t="s">
        <v>692</v>
      </c>
      <c r="B308" s="1" t="s">
        <v>790</v>
      </c>
      <c r="C308" s="1" t="s">
        <v>791</v>
      </c>
      <c r="D308" s="1" t="str">
        <f>"6545"</f>
        <v>6545</v>
      </c>
      <c r="E308" s="1" t="str">
        <f>"015300929"</f>
        <v>015300929</v>
      </c>
      <c r="F308" s="1" t="s">
        <v>167</v>
      </c>
      <c r="G308" s="1" t="s">
        <v>168</v>
      </c>
      <c r="H308" s="1" t="str">
        <f>"155"</f>
        <v>155</v>
      </c>
      <c r="I308" s="3">
        <v>48.71</v>
      </c>
      <c r="J308" s="4">
        <v>46112</v>
      </c>
      <c r="K308" s="1" t="s">
        <v>792</v>
      </c>
    </row>
    <row r="309" spans="1:11" x14ac:dyDescent="0.35">
      <c r="A309" s="1" t="s">
        <v>802</v>
      </c>
      <c r="B309" s="1" t="s">
        <v>803</v>
      </c>
      <c r="C309" s="1" t="s">
        <v>809</v>
      </c>
      <c r="D309" s="1" t="str">
        <f>"5855"</f>
        <v>5855</v>
      </c>
      <c r="E309" s="1" t="str">
        <f>"014853429"</f>
        <v>014853429</v>
      </c>
      <c r="F309" s="1" t="s">
        <v>810</v>
      </c>
      <c r="G309" s="1" t="s">
        <v>15</v>
      </c>
      <c r="H309" s="1" t="str">
        <f>"1"</f>
        <v>1</v>
      </c>
      <c r="I309" s="3" t="str">
        <f>"18500"</f>
        <v>18500</v>
      </c>
      <c r="J309" s="4">
        <v>46042</v>
      </c>
      <c r="K309" s="1" t="s">
        <v>811</v>
      </c>
    </row>
    <row r="310" spans="1:11" x14ac:dyDescent="0.35">
      <c r="A310" s="1" t="s">
        <v>802</v>
      </c>
      <c r="B310" s="1" t="s">
        <v>803</v>
      </c>
      <c r="C310" s="1" t="s">
        <v>804</v>
      </c>
      <c r="D310" s="1" t="str">
        <f>"4910"</f>
        <v>4910</v>
      </c>
      <c r="E310" s="1" t="s">
        <v>145</v>
      </c>
      <c r="F310" s="1" t="s">
        <v>146</v>
      </c>
      <c r="G310" s="1" t="s">
        <v>15</v>
      </c>
      <c r="H310" s="1" t="str">
        <f>"1"</f>
        <v>1</v>
      </c>
      <c r="I310" s="3" t="str">
        <f>"2400"</f>
        <v>2400</v>
      </c>
      <c r="J310" s="4">
        <v>46087</v>
      </c>
      <c r="K310" s="1" t="s">
        <v>805</v>
      </c>
    </row>
    <row r="311" spans="1:11" x14ac:dyDescent="0.35">
      <c r="A311" s="1" t="s">
        <v>802</v>
      </c>
      <c r="B311" s="1" t="s">
        <v>803</v>
      </c>
      <c r="C311" s="1" t="s">
        <v>806</v>
      </c>
      <c r="D311" s="1" t="str">
        <f>"5120"</f>
        <v>5120</v>
      </c>
      <c r="E311" s="1" t="str">
        <f>"010515841"</f>
        <v>010515841</v>
      </c>
      <c r="F311" s="1" t="s">
        <v>807</v>
      </c>
      <c r="G311" s="1" t="s">
        <v>15</v>
      </c>
      <c r="H311" s="1" t="str">
        <f>"8"</f>
        <v>8</v>
      </c>
      <c r="I311" s="3">
        <v>54.11</v>
      </c>
      <c r="J311" s="4">
        <v>46087</v>
      </c>
      <c r="K311" s="1" t="s">
        <v>808</v>
      </c>
    </row>
    <row r="312" spans="1:11" x14ac:dyDescent="0.35">
      <c r="A312" s="1" t="s">
        <v>802</v>
      </c>
      <c r="B312" s="1" t="s">
        <v>803</v>
      </c>
      <c r="C312" s="1" t="s">
        <v>812</v>
      </c>
      <c r="D312" s="1" t="str">
        <f>"8115"</f>
        <v>8115</v>
      </c>
      <c r="E312" s="1" t="s">
        <v>412</v>
      </c>
      <c r="F312" s="1" t="s">
        <v>413</v>
      </c>
      <c r="G312" s="1" t="s">
        <v>15</v>
      </c>
      <c r="H312" s="1" t="str">
        <f>"1"</f>
        <v>1</v>
      </c>
      <c r="I312" s="3" t="str">
        <f>"100"</f>
        <v>100</v>
      </c>
      <c r="J312" s="4">
        <v>46087</v>
      </c>
      <c r="K312" s="1" t="s">
        <v>813</v>
      </c>
    </row>
    <row r="313" spans="1:11" x14ac:dyDescent="0.35">
      <c r="A313" s="1" t="s">
        <v>802</v>
      </c>
      <c r="B313" s="1" t="s">
        <v>803</v>
      </c>
      <c r="C313" s="1" t="s">
        <v>814</v>
      </c>
      <c r="D313" s="1" t="str">
        <f>"8145"</f>
        <v>8145</v>
      </c>
      <c r="E313" s="1" t="s">
        <v>815</v>
      </c>
      <c r="F313" s="1" t="s">
        <v>816</v>
      </c>
      <c r="G313" s="1" t="s">
        <v>15</v>
      </c>
      <c r="H313" s="1" t="str">
        <f>"1"</f>
        <v>1</v>
      </c>
      <c r="I313" s="3" t="str">
        <f>"100"</f>
        <v>100</v>
      </c>
      <c r="J313" s="4">
        <v>46087</v>
      </c>
      <c r="K313" s="1" t="s">
        <v>817</v>
      </c>
    </row>
    <row r="314" spans="1:11" x14ac:dyDescent="0.35">
      <c r="A314" s="1" t="s">
        <v>802</v>
      </c>
      <c r="B314" s="1" t="s">
        <v>803</v>
      </c>
      <c r="C314" s="1" t="s">
        <v>818</v>
      </c>
      <c r="D314" s="1" t="str">
        <f t="shared" ref="D314:D327" si="14">"8415"</f>
        <v>8415</v>
      </c>
      <c r="E314" s="1" t="str">
        <f>"015802990"</f>
        <v>015802990</v>
      </c>
      <c r="F314" s="1" t="s">
        <v>819</v>
      </c>
      <c r="G314" s="1" t="s">
        <v>47</v>
      </c>
      <c r="H314" s="1" t="str">
        <f>"1"</f>
        <v>1</v>
      </c>
      <c r="I314" s="3">
        <v>113.3</v>
      </c>
      <c r="J314" s="4">
        <v>46087</v>
      </c>
      <c r="K314" s="1" t="s">
        <v>820</v>
      </c>
    </row>
    <row r="315" spans="1:11" x14ac:dyDescent="0.35">
      <c r="A315" s="1" t="s">
        <v>802</v>
      </c>
      <c r="B315" s="1" t="s">
        <v>803</v>
      </c>
      <c r="C315" s="1" t="s">
        <v>821</v>
      </c>
      <c r="D315" s="1" t="str">
        <f t="shared" si="14"/>
        <v>8415</v>
      </c>
      <c r="E315" s="1" t="str">
        <f>"016423723"</f>
        <v>016423723</v>
      </c>
      <c r="F315" s="1" t="s">
        <v>822</v>
      </c>
      <c r="G315" s="1" t="s">
        <v>15</v>
      </c>
      <c r="H315" s="1" t="str">
        <f>"1"</f>
        <v>1</v>
      </c>
      <c r="I315" s="3">
        <v>228.78</v>
      </c>
      <c r="J315" s="4">
        <v>46087</v>
      </c>
      <c r="K315" s="1" t="s">
        <v>823</v>
      </c>
    </row>
    <row r="316" spans="1:11" x14ac:dyDescent="0.35">
      <c r="A316" s="1" t="s">
        <v>802</v>
      </c>
      <c r="B316" s="1" t="s">
        <v>803</v>
      </c>
      <c r="C316" s="1" t="s">
        <v>824</v>
      </c>
      <c r="D316" s="1" t="str">
        <f t="shared" si="14"/>
        <v>8415</v>
      </c>
      <c r="E316" s="1" t="str">
        <f>"016423717"</f>
        <v>016423717</v>
      </c>
      <c r="F316" s="1" t="s">
        <v>822</v>
      </c>
      <c r="G316" s="1" t="s">
        <v>15</v>
      </c>
      <c r="H316" s="1" t="str">
        <f>"1"</f>
        <v>1</v>
      </c>
      <c r="I316" s="3">
        <v>228.78</v>
      </c>
      <c r="J316" s="4">
        <v>46087</v>
      </c>
      <c r="K316" s="1" t="s">
        <v>823</v>
      </c>
    </row>
    <row r="317" spans="1:11" x14ac:dyDescent="0.35">
      <c r="A317" s="1" t="s">
        <v>802</v>
      </c>
      <c r="B317" s="1" t="s">
        <v>803</v>
      </c>
      <c r="C317" s="1" t="s">
        <v>825</v>
      </c>
      <c r="D317" s="1" t="str">
        <f t="shared" si="14"/>
        <v>8415</v>
      </c>
      <c r="E317" s="1" t="str">
        <f>"015802984"</f>
        <v>015802984</v>
      </c>
      <c r="F317" s="1" t="s">
        <v>758</v>
      </c>
      <c r="G317" s="1" t="s">
        <v>47</v>
      </c>
      <c r="H317" s="1" t="str">
        <f>"2"</f>
        <v>2</v>
      </c>
      <c r="I317" s="3">
        <v>113.3</v>
      </c>
      <c r="J317" s="4">
        <v>46087</v>
      </c>
      <c r="K317" s="1" t="s">
        <v>826</v>
      </c>
    </row>
    <row r="318" spans="1:11" x14ac:dyDescent="0.35">
      <c r="A318" s="1" t="s">
        <v>802</v>
      </c>
      <c r="B318" s="1" t="s">
        <v>803</v>
      </c>
      <c r="C318" s="1" t="s">
        <v>827</v>
      </c>
      <c r="D318" s="1" t="str">
        <f t="shared" si="14"/>
        <v>8415</v>
      </c>
      <c r="E318" s="1" t="str">
        <f>"015802854"</f>
        <v>015802854</v>
      </c>
      <c r="F318" s="1" t="s">
        <v>18</v>
      </c>
      <c r="G318" s="1" t="s">
        <v>15</v>
      </c>
      <c r="H318" s="1" t="str">
        <f>"1"</f>
        <v>1</v>
      </c>
      <c r="I318" s="3">
        <v>146.83000000000001</v>
      </c>
      <c r="J318" s="4">
        <v>46087</v>
      </c>
      <c r="K318" s="1" t="s">
        <v>828</v>
      </c>
    </row>
    <row r="319" spans="1:11" x14ac:dyDescent="0.35">
      <c r="A319" s="1" t="s">
        <v>802</v>
      </c>
      <c r="B319" s="1" t="s">
        <v>803</v>
      </c>
      <c r="C319" s="1" t="s">
        <v>829</v>
      </c>
      <c r="D319" s="1" t="str">
        <f t="shared" si="14"/>
        <v>8415</v>
      </c>
      <c r="E319" s="1" t="str">
        <f>"015802493"</f>
        <v>015802493</v>
      </c>
      <c r="F319" s="1" t="s">
        <v>22</v>
      </c>
      <c r="G319" s="1" t="s">
        <v>47</v>
      </c>
      <c r="H319" s="1" t="str">
        <f>"1"</f>
        <v>1</v>
      </c>
      <c r="I319" s="3">
        <v>123.49</v>
      </c>
      <c r="J319" s="4">
        <v>46087</v>
      </c>
      <c r="K319" s="1" t="s">
        <v>830</v>
      </c>
    </row>
    <row r="320" spans="1:11" x14ac:dyDescent="0.35">
      <c r="A320" s="1" t="s">
        <v>802</v>
      </c>
      <c r="B320" s="1" t="s">
        <v>803</v>
      </c>
      <c r="C320" s="1" t="s">
        <v>831</v>
      </c>
      <c r="D320" s="1" t="str">
        <f t="shared" si="14"/>
        <v>8415</v>
      </c>
      <c r="E320" s="1" t="str">
        <f>"015802788"</f>
        <v>015802788</v>
      </c>
      <c r="F320" s="1" t="s">
        <v>18</v>
      </c>
      <c r="G320" s="1" t="s">
        <v>15</v>
      </c>
      <c r="H320" s="1" t="str">
        <f>"2"</f>
        <v>2</v>
      </c>
      <c r="I320" s="3">
        <v>146.81</v>
      </c>
      <c r="J320" s="4">
        <v>46087</v>
      </c>
      <c r="K320" s="1" t="s">
        <v>832</v>
      </c>
    </row>
    <row r="321" spans="1:11" x14ac:dyDescent="0.35">
      <c r="A321" s="1" t="s">
        <v>802</v>
      </c>
      <c r="B321" s="1" t="s">
        <v>803</v>
      </c>
      <c r="C321" s="1" t="s">
        <v>833</v>
      </c>
      <c r="D321" s="1" t="str">
        <f t="shared" si="14"/>
        <v>8415</v>
      </c>
      <c r="E321" s="1" t="str">
        <f>"015802497"</f>
        <v>015802497</v>
      </c>
      <c r="F321" s="1" t="s">
        <v>22</v>
      </c>
      <c r="G321" s="1" t="s">
        <v>47</v>
      </c>
      <c r="H321" s="1" t="str">
        <f>"1"</f>
        <v>1</v>
      </c>
      <c r="I321" s="3">
        <v>120.1</v>
      </c>
      <c r="J321" s="4">
        <v>46087</v>
      </c>
      <c r="K321" s="1" t="s">
        <v>834</v>
      </c>
    </row>
    <row r="322" spans="1:11" x14ac:dyDescent="0.35">
      <c r="A322" s="1" t="s">
        <v>802</v>
      </c>
      <c r="B322" s="1" t="s">
        <v>803</v>
      </c>
      <c r="C322" s="1" t="s">
        <v>839</v>
      </c>
      <c r="D322" s="1" t="str">
        <f t="shared" si="14"/>
        <v>8415</v>
      </c>
      <c r="E322" s="1" t="str">
        <f>"016868149"</f>
        <v>016868149</v>
      </c>
      <c r="F322" s="1" t="s">
        <v>840</v>
      </c>
      <c r="G322" s="1" t="s">
        <v>15</v>
      </c>
      <c r="H322" s="1" t="str">
        <f>"1"</f>
        <v>1</v>
      </c>
      <c r="I322" s="3">
        <v>171.6</v>
      </c>
      <c r="J322" s="4">
        <v>46087</v>
      </c>
      <c r="K322" s="1" t="s">
        <v>841</v>
      </c>
    </row>
    <row r="323" spans="1:11" x14ac:dyDescent="0.35">
      <c r="A323" s="1" t="s">
        <v>802</v>
      </c>
      <c r="B323" s="1" t="s">
        <v>803</v>
      </c>
      <c r="C323" s="1" t="s">
        <v>842</v>
      </c>
      <c r="D323" s="1" t="str">
        <f t="shared" si="14"/>
        <v>8415</v>
      </c>
      <c r="E323" s="1" t="str">
        <f>"015802854"</f>
        <v>015802854</v>
      </c>
      <c r="F323" s="1" t="s">
        <v>18</v>
      </c>
      <c r="G323" s="1" t="s">
        <v>15</v>
      </c>
      <c r="H323" s="1" t="str">
        <f>"1"</f>
        <v>1</v>
      </c>
      <c r="I323" s="3">
        <v>146.83000000000001</v>
      </c>
      <c r="J323" s="4">
        <v>46087</v>
      </c>
      <c r="K323" s="1" t="s">
        <v>843</v>
      </c>
    </row>
    <row r="324" spans="1:11" x14ac:dyDescent="0.35">
      <c r="A324" s="1" t="s">
        <v>802</v>
      </c>
      <c r="B324" s="1" t="s">
        <v>803</v>
      </c>
      <c r="C324" s="1" t="s">
        <v>844</v>
      </c>
      <c r="D324" s="1" t="str">
        <f t="shared" si="14"/>
        <v>8415</v>
      </c>
      <c r="E324" s="1" t="s">
        <v>836</v>
      </c>
      <c r="F324" s="1" t="s">
        <v>837</v>
      </c>
      <c r="G324" s="1" t="s">
        <v>47</v>
      </c>
      <c r="H324" s="1" t="str">
        <f>"4"</f>
        <v>4</v>
      </c>
      <c r="I324" s="3">
        <v>172.15</v>
      </c>
      <c r="J324" s="4">
        <v>46087</v>
      </c>
      <c r="K324" s="1" t="s">
        <v>845</v>
      </c>
    </row>
    <row r="325" spans="1:11" x14ac:dyDescent="0.35">
      <c r="A325" s="1" t="s">
        <v>802</v>
      </c>
      <c r="B325" s="1" t="s">
        <v>803</v>
      </c>
      <c r="C325" s="1" t="s">
        <v>846</v>
      </c>
      <c r="D325" s="1" t="str">
        <f t="shared" si="14"/>
        <v>8415</v>
      </c>
      <c r="E325" s="1" t="str">
        <f>"015802856"</f>
        <v>015802856</v>
      </c>
      <c r="F325" s="1" t="s">
        <v>18</v>
      </c>
      <c r="G325" s="1" t="s">
        <v>15</v>
      </c>
      <c r="H325" s="1" t="str">
        <f>"2"</f>
        <v>2</v>
      </c>
      <c r="I325" s="3">
        <v>146.16</v>
      </c>
      <c r="J325" s="4">
        <v>46087</v>
      </c>
      <c r="K325" s="1" t="s">
        <v>847</v>
      </c>
    </row>
    <row r="326" spans="1:11" x14ac:dyDescent="0.35">
      <c r="A326" s="1" t="s">
        <v>802</v>
      </c>
      <c r="B326" s="1" t="s">
        <v>803</v>
      </c>
      <c r="C326" s="1" t="s">
        <v>848</v>
      </c>
      <c r="D326" s="1" t="str">
        <f t="shared" si="14"/>
        <v>8415</v>
      </c>
      <c r="E326" s="1" t="str">
        <f>"015269184"</f>
        <v>015269184</v>
      </c>
      <c r="F326" s="1" t="s">
        <v>781</v>
      </c>
      <c r="G326" s="1" t="s">
        <v>15</v>
      </c>
      <c r="H326" s="1" t="str">
        <f>"2"</f>
        <v>2</v>
      </c>
      <c r="I326" s="3">
        <v>171.72</v>
      </c>
      <c r="J326" s="4">
        <v>46087</v>
      </c>
      <c r="K326" s="1" t="s">
        <v>849</v>
      </c>
    </row>
    <row r="327" spans="1:11" x14ac:dyDescent="0.35">
      <c r="A327" s="1" t="s">
        <v>802</v>
      </c>
      <c r="B327" s="1" t="s">
        <v>803</v>
      </c>
      <c r="C327" s="1" t="s">
        <v>850</v>
      </c>
      <c r="D327" s="1" t="str">
        <f t="shared" si="14"/>
        <v>8415</v>
      </c>
      <c r="E327" s="1" t="str">
        <f>"015386771"</f>
        <v>015386771</v>
      </c>
      <c r="F327" s="1" t="s">
        <v>758</v>
      </c>
      <c r="G327" s="1" t="s">
        <v>15</v>
      </c>
      <c r="H327" s="1" t="str">
        <f>"1"</f>
        <v>1</v>
      </c>
      <c r="I327" s="3">
        <v>93.33</v>
      </c>
      <c r="J327" s="4">
        <v>46087</v>
      </c>
      <c r="K327" s="1" t="s">
        <v>851</v>
      </c>
    </row>
    <row r="328" spans="1:11" x14ac:dyDescent="0.35">
      <c r="A328" s="1" t="s">
        <v>802</v>
      </c>
      <c r="B328" s="1" t="s">
        <v>803</v>
      </c>
      <c r="C328" s="1" t="s">
        <v>852</v>
      </c>
      <c r="D328" s="1" t="str">
        <f>"8460"</f>
        <v>8460</v>
      </c>
      <c r="E328" s="1" t="str">
        <f>"006068366"</f>
        <v>006068366</v>
      </c>
      <c r="F328" s="1" t="s">
        <v>853</v>
      </c>
      <c r="G328" s="1" t="s">
        <v>15</v>
      </c>
      <c r="H328" s="1" t="str">
        <f>"3"</f>
        <v>3</v>
      </c>
      <c r="I328" s="3">
        <v>41.55</v>
      </c>
      <c r="J328" s="4">
        <v>46087</v>
      </c>
      <c r="K328" s="1" t="s">
        <v>854</v>
      </c>
    </row>
    <row r="329" spans="1:11" x14ac:dyDescent="0.35">
      <c r="A329" s="1" t="s">
        <v>802</v>
      </c>
      <c r="B329" s="1" t="s">
        <v>803</v>
      </c>
      <c r="C329" s="1" t="s">
        <v>855</v>
      </c>
      <c r="D329" s="1" t="str">
        <f>"8465"</f>
        <v>8465</v>
      </c>
      <c r="E329" s="1" t="str">
        <f>"010199103"</f>
        <v>010199103</v>
      </c>
      <c r="F329" s="1" t="s">
        <v>856</v>
      </c>
      <c r="G329" s="1" t="s">
        <v>15</v>
      </c>
      <c r="H329" s="1" t="str">
        <f>"1"</f>
        <v>1</v>
      </c>
      <c r="I329" s="3">
        <v>45.64</v>
      </c>
      <c r="J329" s="4">
        <v>46087</v>
      </c>
      <c r="K329" s="1" t="s">
        <v>857</v>
      </c>
    </row>
    <row r="330" spans="1:11" x14ac:dyDescent="0.35">
      <c r="A330" s="1" t="s">
        <v>802</v>
      </c>
      <c r="B330" s="1" t="s">
        <v>803</v>
      </c>
      <c r="C330" s="1" t="s">
        <v>858</v>
      </c>
      <c r="D330" s="1" t="str">
        <f>"8465"</f>
        <v>8465</v>
      </c>
      <c r="E330" s="1" t="str">
        <f>"010738326"</f>
        <v>010738326</v>
      </c>
      <c r="F330" s="1" t="s">
        <v>859</v>
      </c>
      <c r="G330" s="1" t="s">
        <v>15</v>
      </c>
      <c r="H330" s="1" t="str">
        <f>"1"</f>
        <v>1</v>
      </c>
      <c r="I330" s="3">
        <v>38.42</v>
      </c>
      <c r="J330" s="4">
        <v>46087</v>
      </c>
      <c r="K330" s="1" t="s">
        <v>860</v>
      </c>
    </row>
    <row r="331" spans="1:11" x14ac:dyDescent="0.35">
      <c r="A331" s="1" t="s">
        <v>802</v>
      </c>
      <c r="B331" s="1" t="s">
        <v>803</v>
      </c>
      <c r="C331" s="1" t="s">
        <v>835</v>
      </c>
      <c r="D331" s="1" t="str">
        <f>"8415"</f>
        <v>8415</v>
      </c>
      <c r="E331" s="1" t="s">
        <v>836</v>
      </c>
      <c r="F331" s="1" t="s">
        <v>837</v>
      </c>
      <c r="G331" s="1" t="s">
        <v>47</v>
      </c>
      <c r="H331" s="1" t="str">
        <f>"3"</f>
        <v>3</v>
      </c>
      <c r="I331" s="3">
        <v>153.56</v>
      </c>
      <c r="J331" s="4">
        <v>46090</v>
      </c>
      <c r="K331" s="1" t="s">
        <v>838</v>
      </c>
    </row>
    <row r="332" spans="1:11" x14ac:dyDescent="0.35">
      <c r="A332" s="1" t="s">
        <v>861</v>
      </c>
      <c r="B332" s="1" t="s">
        <v>862</v>
      </c>
      <c r="C332" s="1" t="s">
        <v>863</v>
      </c>
      <c r="D332" s="1" t="str">
        <f t="shared" ref="D332:D338" si="15">"5865"</f>
        <v>5865</v>
      </c>
      <c r="E332" s="1" t="s">
        <v>864</v>
      </c>
      <c r="F332" s="1" t="s">
        <v>865</v>
      </c>
      <c r="G332" s="1" t="s">
        <v>168</v>
      </c>
      <c r="H332" s="1" t="str">
        <f t="shared" ref="H332:H338" si="16">"1"</f>
        <v>1</v>
      </c>
      <c r="I332" s="3" t="str">
        <f>"7546369"</f>
        <v>7546369</v>
      </c>
      <c r="J332" s="4">
        <v>46027</v>
      </c>
      <c r="K332" s="1" t="s">
        <v>866</v>
      </c>
    </row>
    <row r="333" spans="1:11" x14ac:dyDescent="0.35">
      <c r="A333" s="1" t="s">
        <v>861</v>
      </c>
      <c r="B333" s="1" t="s">
        <v>862</v>
      </c>
      <c r="C333" s="1" t="s">
        <v>867</v>
      </c>
      <c r="D333" s="1" t="str">
        <f t="shared" si="15"/>
        <v>5865</v>
      </c>
      <c r="E333" s="1" t="s">
        <v>864</v>
      </c>
      <c r="F333" s="1" t="s">
        <v>865</v>
      </c>
      <c r="G333" s="1" t="s">
        <v>168</v>
      </c>
      <c r="H333" s="1" t="str">
        <f t="shared" si="16"/>
        <v>1</v>
      </c>
      <c r="I333" s="3" t="str">
        <f>"99711"</f>
        <v>99711</v>
      </c>
      <c r="J333" s="4">
        <v>46027</v>
      </c>
      <c r="K333" s="1" t="s">
        <v>866</v>
      </c>
    </row>
    <row r="334" spans="1:11" x14ac:dyDescent="0.35">
      <c r="A334" s="1" t="s">
        <v>861</v>
      </c>
      <c r="B334" s="1" t="s">
        <v>862</v>
      </c>
      <c r="C334" s="1" t="s">
        <v>868</v>
      </c>
      <c r="D334" s="1" t="str">
        <f t="shared" si="15"/>
        <v>5865</v>
      </c>
      <c r="E334" s="1" t="s">
        <v>864</v>
      </c>
      <c r="F334" s="1" t="s">
        <v>865</v>
      </c>
      <c r="G334" s="1" t="s">
        <v>168</v>
      </c>
      <c r="H334" s="1" t="str">
        <f t="shared" si="16"/>
        <v>1</v>
      </c>
      <c r="I334" s="3" t="str">
        <f>"4497509"</f>
        <v>4497509</v>
      </c>
      <c r="J334" s="4">
        <v>46027</v>
      </c>
      <c r="K334" s="1" t="s">
        <v>866</v>
      </c>
    </row>
    <row r="335" spans="1:11" x14ac:dyDescent="0.35">
      <c r="A335" s="1" t="s">
        <v>861</v>
      </c>
      <c r="B335" s="1" t="s">
        <v>862</v>
      </c>
      <c r="C335" s="1" t="s">
        <v>869</v>
      </c>
      <c r="D335" s="1" t="str">
        <f t="shared" si="15"/>
        <v>5865</v>
      </c>
      <c r="E335" s="1" t="s">
        <v>864</v>
      </c>
      <c r="F335" s="1" t="s">
        <v>865</v>
      </c>
      <c r="G335" s="1" t="s">
        <v>168</v>
      </c>
      <c r="H335" s="1" t="str">
        <f t="shared" si="16"/>
        <v>1</v>
      </c>
      <c r="I335" s="3" t="str">
        <f>"22932048"</f>
        <v>22932048</v>
      </c>
      <c r="J335" s="4">
        <v>46027</v>
      </c>
      <c r="K335" s="1" t="s">
        <v>866</v>
      </c>
    </row>
    <row r="336" spans="1:11" x14ac:dyDescent="0.35">
      <c r="A336" s="1" t="s">
        <v>861</v>
      </c>
      <c r="B336" s="1" t="s">
        <v>862</v>
      </c>
      <c r="C336" s="1" t="s">
        <v>870</v>
      </c>
      <c r="D336" s="1" t="str">
        <f t="shared" si="15"/>
        <v>5865</v>
      </c>
      <c r="E336" s="1" t="s">
        <v>864</v>
      </c>
      <c r="F336" s="1" t="s">
        <v>865</v>
      </c>
      <c r="G336" s="1" t="s">
        <v>168</v>
      </c>
      <c r="H336" s="1" t="str">
        <f t="shared" si="16"/>
        <v>1</v>
      </c>
      <c r="I336" s="3" t="str">
        <f>"18723980"</f>
        <v>18723980</v>
      </c>
      <c r="J336" s="4">
        <v>46027</v>
      </c>
      <c r="K336" s="1" t="s">
        <v>866</v>
      </c>
    </row>
    <row r="337" spans="1:11" x14ac:dyDescent="0.35">
      <c r="A337" s="1" t="s">
        <v>861</v>
      </c>
      <c r="B337" s="1" t="s">
        <v>862</v>
      </c>
      <c r="C337" s="1" t="s">
        <v>871</v>
      </c>
      <c r="D337" s="1" t="str">
        <f t="shared" si="15"/>
        <v>5865</v>
      </c>
      <c r="E337" s="1" t="s">
        <v>864</v>
      </c>
      <c r="F337" s="1" t="s">
        <v>865</v>
      </c>
      <c r="G337" s="1" t="s">
        <v>168</v>
      </c>
      <c r="H337" s="1" t="str">
        <f t="shared" si="16"/>
        <v>1</v>
      </c>
      <c r="I337" s="3">
        <v>1130022.3999999999</v>
      </c>
      <c r="J337" s="4">
        <v>46027</v>
      </c>
      <c r="K337" s="1" t="s">
        <v>866</v>
      </c>
    </row>
    <row r="338" spans="1:11" x14ac:dyDescent="0.35">
      <c r="A338" s="1" t="s">
        <v>861</v>
      </c>
      <c r="B338" s="1" t="s">
        <v>862</v>
      </c>
      <c r="C338" s="1" t="s">
        <v>872</v>
      </c>
      <c r="D338" s="1" t="str">
        <f t="shared" si="15"/>
        <v>5865</v>
      </c>
      <c r="E338" s="1" t="s">
        <v>864</v>
      </c>
      <c r="F338" s="1" t="s">
        <v>865</v>
      </c>
      <c r="G338" s="1" t="s">
        <v>168</v>
      </c>
      <c r="H338" s="1" t="str">
        <f t="shared" si="16"/>
        <v>1</v>
      </c>
      <c r="I338" s="3">
        <v>583774.43999999994</v>
      </c>
      <c r="J338" s="4">
        <v>46027</v>
      </c>
      <c r="K338" s="1" t="s">
        <v>866</v>
      </c>
    </row>
    <row r="339" spans="1:11" x14ac:dyDescent="0.35">
      <c r="A339" s="1" t="s">
        <v>861</v>
      </c>
      <c r="B339" s="1" t="s">
        <v>873</v>
      </c>
      <c r="C339" s="1" t="s">
        <v>892</v>
      </c>
      <c r="D339" s="1" t="str">
        <f>"8405"</f>
        <v>8405</v>
      </c>
      <c r="E339" s="1" t="str">
        <f>"015472559"</f>
        <v>015472559</v>
      </c>
      <c r="F339" s="1" t="s">
        <v>893</v>
      </c>
      <c r="G339" s="1" t="s">
        <v>15</v>
      </c>
      <c r="H339" s="1" t="str">
        <f>"141"</f>
        <v>141</v>
      </c>
      <c r="I339" s="3">
        <v>38.4</v>
      </c>
      <c r="J339" s="4">
        <v>46042</v>
      </c>
      <c r="K339" s="1" t="s">
        <v>888</v>
      </c>
    </row>
    <row r="340" spans="1:11" x14ac:dyDescent="0.35">
      <c r="A340" s="1" t="s">
        <v>861</v>
      </c>
      <c r="B340" s="1" t="s">
        <v>873</v>
      </c>
      <c r="C340" s="1" t="s">
        <v>886</v>
      </c>
      <c r="D340" s="1" t="str">
        <f>"7105"</f>
        <v>7105</v>
      </c>
      <c r="E340" s="1" t="str">
        <f>"009350422"</f>
        <v>009350422</v>
      </c>
      <c r="F340" s="1" t="s">
        <v>887</v>
      </c>
      <c r="G340" s="1" t="s">
        <v>15</v>
      </c>
      <c r="H340" s="1" t="str">
        <f>"75"</f>
        <v>75</v>
      </c>
      <c r="I340" s="3">
        <v>133.93</v>
      </c>
      <c r="J340" s="4">
        <v>46071</v>
      </c>
      <c r="K340" s="1" t="s">
        <v>888</v>
      </c>
    </row>
    <row r="341" spans="1:11" x14ac:dyDescent="0.35">
      <c r="A341" s="1" t="s">
        <v>861</v>
      </c>
      <c r="B341" s="1" t="s">
        <v>873</v>
      </c>
      <c r="C341" s="1" t="s">
        <v>889</v>
      </c>
      <c r="D341" s="1" t="str">
        <f>"7105"</f>
        <v>7105</v>
      </c>
      <c r="E341" s="1" t="str">
        <f>"009350422"</f>
        <v>009350422</v>
      </c>
      <c r="F341" s="1" t="s">
        <v>887</v>
      </c>
      <c r="G341" s="1" t="s">
        <v>15</v>
      </c>
      <c r="H341" s="1" t="str">
        <f>"75"</f>
        <v>75</v>
      </c>
      <c r="I341" s="3">
        <v>133.93</v>
      </c>
      <c r="J341" s="4">
        <v>46071</v>
      </c>
      <c r="K341" s="1" t="s">
        <v>888</v>
      </c>
    </row>
    <row r="342" spans="1:11" x14ac:dyDescent="0.35">
      <c r="A342" s="1" t="s">
        <v>861</v>
      </c>
      <c r="B342" s="1" t="s">
        <v>873</v>
      </c>
      <c r="C342" s="1" t="s">
        <v>894</v>
      </c>
      <c r="D342" s="1" t="str">
        <f>"8415"</f>
        <v>8415</v>
      </c>
      <c r="E342" s="1" t="str">
        <f>"015066272"</f>
        <v>015066272</v>
      </c>
      <c r="F342" s="1" t="s">
        <v>895</v>
      </c>
      <c r="G342" s="1" t="s">
        <v>15</v>
      </c>
      <c r="H342" s="1" t="str">
        <f>"16"</f>
        <v>16</v>
      </c>
      <c r="I342" s="3">
        <v>162.94999999999999</v>
      </c>
      <c r="J342" s="4">
        <v>46072</v>
      </c>
      <c r="K342" s="1" t="s">
        <v>876</v>
      </c>
    </row>
    <row r="343" spans="1:11" x14ac:dyDescent="0.35">
      <c r="A343" s="1" t="s">
        <v>861</v>
      </c>
      <c r="B343" s="1" t="s">
        <v>873</v>
      </c>
      <c r="C343" s="1" t="s">
        <v>874</v>
      </c>
      <c r="D343" s="1" t="str">
        <f>"1005"</f>
        <v>1005</v>
      </c>
      <c r="E343" s="1" t="str">
        <f>"016309508"</f>
        <v>016309508</v>
      </c>
      <c r="F343" s="1" t="s">
        <v>875</v>
      </c>
      <c r="G343" s="1" t="s">
        <v>15</v>
      </c>
      <c r="H343" s="1" t="str">
        <f>"2"</f>
        <v>2</v>
      </c>
      <c r="I343" s="3">
        <v>13.87</v>
      </c>
      <c r="J343" s="4">
        <v>46073</v>
      </c>
      <c r="K343" s="1" t="s">
        <v>876</v>
      </c>
    </row>
    <row r="344" spans="1:11" x14ac:dyDescent="0.35">
      <c r="A344" s="1" t="s">
        <v>861</v>
      </c>
      <c r="B344" s="1" t="s">
        <v>873</v>
      </c>
      <c r="C344" s="1" t="s">
        <v>877</v>
      </c>
      <c r="D344" s="1" t="str">
        <f>"4510"</f>
        <v>4510</v>
      </c>
      <c r="E344" s="1" t="str">
        <f>"014850765"</f>
        <v>014850765</v>
      </c>
      <c r="F344" s="1" t="s">
        <v>878</v>
      </c>
      <c r="G344" s="1" t="s">
        <v>15</v>
      </c>
      <c r="H344" s="1" t="str">
        <f>"2"</f>
        <v>2</v>
      </c>
      <c r="I344" s="3">
        <v>437.32</v>
      </c>
      <c r="J344" s="4">
        <v>46073</v>
      </c>
      <c r="K344" s="1" t="s">
        <v>876</v>
      </c>
    </row>
    <row r="345" spans="1:11" x14ac:dyDescent="0.35">
      <c r="A345" s="1" t="s">
        <v>861</v>
      </c>
      <c r="B345" s="1" t="s">
        <v>873</v>
      </c>
      <c r="C345" s="1" t="s">
        <v>879</v>
      </c>
      <c r="D345" s="1" t="str">
        <f>"4940"</f>
        <v>4940</v>
      </c>
      <c r="E345" s="1" t="str">
        <f>"010287493"</f>
        <v>010287493</v>
      </c>
      <c r="F345" s="1" t="s">
        <v>880</v>
      </c>
      <c r="G345" s="1" t="s">
        <v>15</v>
      </c>
      <c r="H345" s="1" t="str">
        <f>"1"</f>
        <v>1</v>
      </c>
      <c r="I345" s="3">
        <v>109.49</v>
      </c>
      <c r="J345" s="4">
        <v>46073</v>
      </c>
      <c r="K345" s="1" t="s">
        <v>876</v>
      </c>
    </row>
    <row r="346" spans="1:11" x14ac:dyDescent="0.35">
      <c r="A346" s="1" t="s">
        <v>861</v>
      </c>
      <c r="B346" s="1" t="s">
        <v>873</v>
      </c>
      <c r="C346" s="1" t="s">
        <v>881</v>
      </c>
      <c r="D346" s="1" t="str">
        <f>"6130"</f>
        <v>6130</v>
      </c>
      <c r="E346" s="1" t="str">
        <f>"014952839"</f>
        <v>014952839</v>
      </c>
      <c r="F346" s="1" t="s">
        <v>882</v>
      </c>
      <c r="G346" s="1" t="s">
        <v>15</v>
      </c>
      <c r="H346" s="1" t="str">
        <f>"1"</f>
        <v>1</v>
      </c>
      <c r="I346" s="3" t="str">
        <f>"4393"</f>
        <v>4393</v>
      </c>
      <c r="J346" s="4">
        <v>46073</v>
      </c>
      <c r="K346" s="1" t="s">
        <v>876</v>
      </c>
    </row>
    <row r="347" spans="1:11" x14ac:dyDescent="0.35">
      <c r="A347" s="1" t="s">
        <v>861</v>
      </c>
      <c r="B347" s="1" t="s">
        <v>873</v>
      </c>
      <c r="C347" s="1" t="s">
        <v>883</v>
      </c>
      <c r="D347" s="1" t="str">
        <f>"7025"</f>
        <v>7025</v>
      </c>
      <c r="E347" s="1" t="str">
        <f>"017140342"</f>
        <v>017140342</v>
      </c>
      <c r="F347" s="1" t="s">
        <v>884</v>
      </c>
      <c r="G347" s="1" t="s">
        <v>15</v>
      </c>
      <c r="H347" s="1" t="str">
        <f>"15"</f>
        <v>15</v>
      </c>
      <c r="I347" s="3">
        <v>59.99</v>
      </c>
      <c r="J347" s="4">
        <v>46073</v>
      </c>
      <c r="K347" s="1" t="s">
        <v>885</v>
      </c>
    </row>
    <row r="348" spans="1:11" x14ac:dyDescent="0.35">
      <c r="A348" s="1" t="s">
        <v>861</v>
      </c>
      <c r="B348" s="1" t="s">
        <v>873</v>
      </c>
      <c r="C348" s="1" t="s">
        <v>890</v>
      </c>
      <c r="D348" s="1" t="str">
        <f>"7220"</f>
        <v>7220</v>
      </c>
      <c r="E348" s="1" t="str">
        <f>"016163624"</f>
        <v>016163624</v>
      </c>
      <c r="F348" s="1" t="s">
        <v>891</v>
      </c>
      <c r="G348" s="1" t="s">
        <v>15</v>
      </c>
      <c r="H348" s="1" t="str">
        <f>"1"</f>
        <v>1</v>
      </c>
      <c r="I348" s="3">
        <v>47.23</v>
      </c>
      <c r="J348" s="4">
        <v>46073</v>
      </c>
      <c r="K348" s="1" t="s">
        <v>885</v>
      </c>
    </row>
    <row r="349" spans="1:11" x14ac:dyDescent="0.35">
      <c r="A349" s="1" t="s">
        <v>861</v>
      </c>
      <c r="B349" s="1" t="s">
        <v>873</v>
      </c>
      <c r="C349" s="1" t="s">
        <v>896</v>
      </c>
      <c r="D349" s="1" t="str">
        <f>"8430"</f>
        <v>8430</v>
      </c>
      <c r="E349" s="1" t="s">
        <v>897</v>
      </c>
      <c r="F349" s="1" t="s">
        <v>898</v>
      </c>
      <c r="G349" s="1" t="s">
        <v>15</v>
      </c>
      <c r="H349" s="1" t="str">
        <f>"5"</f>
        <v>5</v>
      </c>
      <c r="I349" s="3" t="str">
        <f>"120"</f>
        <v>120</v>
      </c>
      <c r="J349" s="4">
        <v>46073</v>
      </c>
      <c r="K349" s="1" t="s">
        <v>876</v>
      </c>
    </row>
    <row r="350" spans="1:11" x14ac:dyDescent="0.35">
      <c r="A350" s="1" t="s">
        <v>861</v>
      </c>
      <c r="B350" s="1" t="s">
        <v>899</v>
      </c>
      <c r="C350" s="1" t="s">
        <v>904</v>
      </c>
      <c r="D350" s="1" t="str">
        <f>"8430"</f>
        <v>8430</v>
      </c>
      <c r="E350" s="1" t="str">
        <f>"016323138"</f>
        <v>016323138</v>
      </c>
      <c r="F350" s="1" t="s">
        <v>905</v>
      </c>
      <c r="G350" s="1" t="s">
        <v>47</v>
      </c>
      <c r="H350" s="1" t="str">
        <f>"2"</f>
        <v>2</v>
      </c>
      <c r="I350" s="3">
        <v>118.5</v>
      </c>
      <c r="J350" s="4">
        <v>46078</v>
      </c>
      <c r="K350" s="1" t="s">
        <v>906</v>
      </c>
    </row>
    <row r="351" spans="1:11" x14ac:dyDescent="0.35">
      <c r="A351" s="1" t="s">
        <v>861</v>
      </c>
      <c r="B351" s="1" t="s">
        <v>899</v>
      </c>
      <c r="C351" s="1" t="s">
        <v>911</v>
      </c>
      <c r="D351" s="1" t="str">
        <f>"8465"</f>
        <v>8465</v>
      </c>
      <c r="E351" s="1" t="str">
        <f>"015245250"</f>
        <v>015245250</v>
      </c>
      <c r="F351" s="1" t="s">
        <v>343</v>
      </c>
      <c r="G351" s="1" t="s">
        <v>15</v>
      </c>
      <c r="H351" s="1" t="str">
        <f>"30"</f>
        <v>30</v>
      </c>
      <c r="I351" s="3">
        <v>75.150000000000006</v>
      </c>
      <c r="J351" s="4">
        <v>46087</v>
      </c>
      <c r="K351" s="1" t="s">
        <v>912</v>
      </c>
    </row>
    <row r="352" spans="1:11" x14ac:dyDescent="0.35">
      <c r="A352" s="1" t="s">
        <v>861</v>
      </c>
      <c r="B352" s="1" t="s">
        <v>899</v>
      </c>
      <c r="C352" s="1" t="s">
        <v>907</v>
      </c>
      <c r="D352" s="1" t="str">
        <f>"8430"</f>
        <v>8430</v>
      </c>
      <c r="E352" s="1" t="str">
        <f>"016759438"</f>
        <v>016759438</v>
      </c>
      <c r="F352" s="1" t="s">
        <v>908</v>
      </c>
      <c r="G352" s="1" t="s">
        <v>47</v>
      </c>
      <c r="H352" s="1" t="str">
        <f>"1"</f>
        <v>1</v>
      </c>
      <c r="I352" s="3">
        <v>164.15</v>
      </c>
      <c r="J352" s="4">
        <v>46090</v>
      </c>
      <c r="K352" s="1" t="s">
        <v>906</v>
      </c>
    </row>
    <row r="353" spans="1:11" x14ac:dyDescent="0.35">
      <c r="A353" s="1" t="s">
        <v>861</v>
      </c>
      <c r="B353" s="1" t="s">
        <v>899</v>
      </c>
      <c r="C353" s="1" t="s">
        <v>909</v>
      </c>
      <c r="D353" s="1" t="str">
        <f>"8430"</f>
        <v>8430</v>
      </c>
      <c r="E353" s="1" t="str">
        <f>"016759427"</f>
        <v>016759427</v>
      </c>
      <c r="F353" s="1" t="s">
        <v>908</v>
      </c>
      <c r="G353" s="1" t="s">
        <v>47</v>
      </c>
      <c r="H353" s="1" t="str">
        <f>"2"</f>
        <v>2</v>
      </c>
      <c r="I353" s="3">
        <v>164.15</v>
      </c>
      <c r="J353" s="4">
        <v>46090</v>
      </c>
      <c r="K353" s="1" t="s">
        <v>906</v>
      </c>
    </row>
    <row r="354" spans="1:11" x14ac:dyDescent="0.35">
      <c r="A354" s="1" t="s">
        <v>861</v>
      </c>
      <c r="B354" s="1" t="s">
        <v>899</v>
      </c>
      <c r="C354" s="1" t="s">
        <v>910</v>
      </c>
      <c r="D354" s="1" t="str">
        <f>"8430"</f>
        <v>8430</v>
      </c>
      <c r="E354" s="1" t="str">
        <f>"016758660"</f>
        <v>016758660</v>
      </c>
      <c r="F354" s="1" t="s">
        <v>908</v>
      </c>
      <c r="G354" s="1" t="s">
        <v>47</v>
      </c>
      <c r="H354" s="1" t="str">
        <f>"1"</f>
        <v>1</v>
      </c>
      <c r="I354" s="3">
        <v>164.15</v>
      </c>
      <c r="J354" s="4">
        <v>46090</v>
      </c>
      <c r="K354" s="1" t="s">
        <v>906</v>
      </c>
    </row>
    <row r="355" spans="1:11" x14ac:dyDescent="0.35">
      <c r="A355" s="1" t="s">
        <v>861</v>
      </c>
      <c r="B355" s="1" t="s">
        <v>899</v>
      </c>
      <c r="C355" s="1" t="s">
        <v>900</v>
      </c>
      <c r="D355" s="1" t="str">
        <f>"8405"</f>
        <v>8405</v>
      </c>
      <c r="E355" s="1" t="str">
        <f>"015472559"</f>
        <v>015472559</v>
      </c>
      <c r="F355" s="1" t="s">
        <v>893</v>
      </c>
      <c r="G355" s="1" t="s">
        <v>15</v>
      </c>
      <c r="H355" s="1" t="str">
        <f>"25"</f>
        <v>25</v>
      </c>
      <c r="I355" s="3">
        <v>38.4</v>
      </c>
      <c r="J355" s="4">
        <v>46093</v>
      </c>
      <c r="K355" s="1" t="s">
        <v>901</v>
      </c>
    </row>
    <row r="356" spans="1:11" x14ac:dyDescent="0.35">
      <c r="A356" s="1" t="s">
        <v>861</v>
      </c>
      <c r="B356" s="1" t="s">
        <v>899</v>
      </c>
      <c r="C356" s="1" t="s">
        <v>902</v>
      </c>
      <c r="D356" s="1" t="str">
        <f>"8415"</f>
        <v>8415</v>
      </c>
      <c r="E356" s="1" t="str">
        <f>"015386768"</f>
        <v>015386768</v>
      </c>
      <c r="F356" s="1" t="s">
        <v>761</v>
      </c>
      <c r="G356" s="1" t="s">
        <v>15</v>
      </c>
      <c r="H356" s="1" t="str">
        <f>"1"</f>
        <v>1</v>
      </c>
      <c r="I356" s="3">
        <v>63.88</v>
      </c>
      <c r="J356" s="4">
        <v>46094</v>
      </c>
      <c r="K356" s="1" t="s">
        <v>903</v>
      </c>
    </row>
    <row r="357" spans="1:11" x14ac:dyDescent="0.35">
      <c r="A357" s="1" t="s">
        <v>913</v>
      </c>
      <c r="B357" s="1" t="s">
        <v>950</v>
      </c>
      <c r="C357" s="1" t="s">
        <v>951</v>
      </c>
      <c r="D357" s="1" t="str">
        <f>"5855"</f>
        <v>5855</v>
      </c>
      <c r="E357" s="1" t="str">
        <f>"015777174"</f>
        <v>015777174</v>
      </c>
      <c r="F357" s="1" t="s">
        <v>952</v>
      </c>
      <c r="G357" s="1" t="s">
        <v>15</v>
      </c>
      <c r="H357" s="1" t="str">
        <f>"30"</f>
        <v>30</v>
      </c>
      <c r="I357" s="3" t="str">
        <f>"1791"</f>
        <v>1791</v>
      </c>
      <c r="J357" s="4">
        <v>46038</v>
      </c>
      <c r="K357" s="1" t="s">
        <v>953</v>
      </c>
    </row>
    <row r="358" spans="1:11" x14ac:dyDescent="0.35">
      <c r="A358" s="1" t="s">
        <v>913</v>
      </c>
      <c r="B358" s="1" t="s">
        <v>918</v>
      </c>
      <c r="C358" s="1" t="s">
        <v>919</v>
      </c>
      <c r="D358" s="1" t="str">
        <f>"2815"</f>
        <v>2815</v>
      </c>
      <c r="E358" s="1" t="str">
        <f>"010790244"</f>
        <v>010790244</v>
      </c>
      <c r="F358" s="1" t="s">
        <v>920</v>
      </c>
      <c r="G358" s="1" t="s">
        <v>15</v>
      </c>
      <c r="H358" s="1" t="str">
        <f t="shared" ref="H358:H364" si="17">"1"</f>
        <v>1</v>
      </c>
      <c r="I358" s="3" t="str">
        <f>"50209"</f>
        <v>50209</v>
      </c>
      <c r="J358" s="4">
        <v>46048</v>
      </c>
      <c r="K358" s="1" t="s">
        <v>921</v>
      </c>
    </row>
    <row r="359" spans="1:11" x14ac:dyDescent="0.35">
      <c r="A359" s="1" t="s">
        <v>913</v>
      </c>
      <c r="B359" s="1" t="s">
        <v>934</v>
      </c>
      <c r="C359" s="1" t="s">
        <v>943</v>
      </c>
      <c r="D359" s="1" t="str">
        <f>"8150"</f>
        <v>8150</v>
      </c>
      <c r="E359" s="1" t="s">
        <v>944</v>
      </c>
      <c r="F359" s="1" t="s">
        <v>945</v>
      </c>
      <c r="G359" s="1" t="s">
        <v>15</v>
      </c>
      <c r="H359" s="1" t="str">
        <f t="shared" si="17"/>
        <v>1</v>
      </c>
      <c r="I359" s="3" t="str">
        <f>"1000"</f>
        <v>1000</v>
      </c>
      <c r="J359" s="4">
        <v>46056</v>
      </c>
      <c r="K359" s="1" t="s">
        <v>946</v>
      </c>
    </row>
    <row r="360" spans="1:11" x14ac:dyDescent="0.35">
      <c r="A360" s="1" t="s">
        <v>913</v>
      </c>
      <c r="B360" s="1" t="s">
        <v>947</v>
      </c>
      <c r="C360" s="1" t="s">
        <v>948</v>
      </c>
      <c r="D360" s="1" t="str">
        <f>"3930"</f>
        <v>3930</v>
      </c>
      <c r="E360" s="1" t="s">
        <v>95</v>
      </c>
      <c r="F360" s="1" t="s">
        <v>96</v>
      </c>
      <c r="G360" s="1" t="s">
        <v>15</v>
      </c>
      <c r="H360" s="1" t="str">
        <f t="shared" si="17"/>
        <v>1</v>
      </c>
      <c r="I360" s="3" t="str">
        <f>"38950"</f>
        <v>38950</v>
      </c>
      <c r="J360" s="4">
        <v>46062</v>
      </c>
      <c r="K360" s="1" t="s">
        <v>949</v>
      </c>
    </row>
    <row r="361" spans="1:11" x14ac:dyDescent="0.35">
      <c r="A361" s="1" t="s">
        <v>913</v>
      </c>
      <c r="B361" s="1" t="s">
        <v>934</v>
      </c>
      <c r="C361" s="1" t="s">
        <v>941</v>
      </c>
      <c r="D361" s="1" t="str">
        <f>"8145"</f>
        <v>8145</v>
      </c>
      <c r="E361" s="1" t="str">
        <f>"014423343"</f>
        <v>014423343</v>
      </c>
      <c r="F361" s="1" t="s">
        <v>753</v>
      </c>
      <c r="G361" s="1" t="s">
        <v>15</v>
      </c>
      <c r="H361" s="1" t="str">
        <f t="shared" si="17"/>
        <v>1</v>
      </c>
      <c r="I361" s="3">
        <v>5473.26</v>
      </c>
      <c r="J361" s="4">
        <v>46063</v>
      </c>
      <c r="K361" s="1" t="s">
        <v>939</v>
      </c>
    </row>
    <row r="362" spans="1:11" x14ac:dyDescent="0.35">
      <c r="A362" s="1" t="s">
        <v>913</v>
      </c>
      <c r="B362" s="1" t="s">
        <v>934</v>
      </c>
      <c r="C362" s="1" t="s">
        <v>942</v>
      </c>
      <c r="D362" s="1" t="str">
        <f>"8145"</f>
        <v>8145</v>
      </c>
      <c r="E362" s="1" t="str">
        <f>"014423343"</f>
        <v>014423343</v>
      </c>
      <c r="F362" s="1" t="s">
        <v>753</v>
      </c>
      <c r="G362" s="1" t="s">
        <v>15</v>
      </c>
      <c r="H362" s="1" t="str">
        <f t="shared" si="17"/>
        <v>1</v>
      </c>
      <c r="I362" s="3">
        <v>5473.26</v>
      </c>
      <c r="J362" s="4">
        <v>46063</v>
      </c>
      <c r="K362" s="1" t="s">
        <v>939</v>
      </c>
    </row>
    <row r="363" spans="1:11" x14ac:dyDescent="0.35">
      <c r="A363" s="1" t="s">
        <v>913</v>
      </c>
      <c r="B363" s="1" t="s">
        <v>934</v>
      </c>
      <c r="C363" s="1" t="s">
        <v>938</v>
      </c>
      <c r="D363" s="1" t="str">
        <f>"8145"</f>
        <v>8145</v>
      </c>
      <c r="E363" s="1" t="str">
        <f>"014423343"</f>
        <v>014423343</v>
      </c>
      <c r="F363" s="1" t="s">
        <v>753</v>
      </c>
      <c r="G363" s="1" t="s">
        <v>15</v>
      </c>
      <c r="H363" s="1" t="str">
        <f t="shared" si="17"/>
        <v>1</v>
      </c>
      <c r="I363" s="3">
        <v>5473.26</v>
      </c>
      <c r="J363" s="4">
        <v>46064</v>
      </c>
      <c r="K363" s="1" t="s">
        <v>939</v>
      </c>
    </row>
    <row r="364" spans="1:11" x14ac:dyDescent="0.35">
      <c r="A364" s="1" t="s">
        <v>913</v>
      </c>
      <c r="B364" s="1" t="s">
        <v>934</v>
      </c>
      <c r="C364" s="1" t="s">
        <v>940</v>
      </c>
      <c r="D364" s="1" t="str">
        <f>"8145"</f>
        <v>8145</v>
      </c>
      <c r="E364" s="1" t="str">
        <f>"014423365"</f>
        <v>014423365</v>
      </c>
      <c r="F364" s="1" t="s">
        <v>753</v>
      </c>
      <c r="G364" s="1" t="s">
        <v>15</v>
      </c>
      <c r="H364" s="1" t="str">
        <f t="shared" si="17"/>
        <v>1</v>
      </c>
      <c r="I364" s="3" t="str">
        <f>"9240"</f>
        <v>9240</v>
      </c>
      <c r="J364" s="4">
        <v>46064</v>
      </c>
      <c r="K364" s="1" t="s">
        <v>939</v>
      </c>
    </row>
    <row r="365" spans="1:11" x14ac:dyDescent="0.35">
      <c r="A365" s="1" t="s">
        <v>913</v>
      </c>
      <c r="B365" s="1" t="s">
        <v>973</v>
      </c>
      <c r="C365" s="1" t="s">
        <v>974</v>
      </c>
      <c r="D365" s="1" t="str">
        <f>"8465"</f>
        <v>8465</v>
      </c>
      <c r="E365" s="1" t="str">
        <f>"013936515"</f>
        <v>013936515</v>
      </c>
      <c r="F365" s="1" t="s">
        <v>975</v>
      </c>
      <c r="G365" s="1" t="s">
        <v>15</v>
      </c>
      <c r="H365" s="1" t="str">
        <f>"8"</f>
        <v>8</v>
      </c>
      <c r="I365" s="3">
        <v>68.81</v>
      </c>
      <c r="J365" s="4">
        <v>46073</v>
      </c>
      <c r="K365" s="1" t="s">
        <v>976</v>
      </c>
    </row>
    <row r="366" spans="1:11" x14ac:dyDescent="0.35">
      <c r="A366" s="1" t="s">
        <v>913</v>
      </c>
      <c r="B366" s="1" t="s">
        <v>918</v>
      </c>
      <c r="C366" s="1" t="s">
        <v>925</v>
      </c>
      <c r="D366" s="1" t="str">
        <f>"6530"</f>
        <v>6530</v>
      </c>
      <c r="E366" s="1" t="str">
        <f>"013386094"</f>
        <v>013386094</v>
      </c>
      <c r="F366" s="1" t="s">
        <v>926</v>
      </c>
      <c r="G366" s="1" t="s">
        <v>15</v>
      </c>
      <c r="H366" s="1" t="str">
        <f>"5"</f>
        <v>5</v>
      </c>
      <c r="I366" s="3">
        <v>2494.0700000000002</v>
      </c>
      <c r="J366" s="4">
        <v>46076</v>
      </c>
      <c r="K366" s="1" t="s">
        <v>927</v>
      </c>
    </row>
    <row r="367" spans="1:11" x14ac:dyDescent="0.35">
      <c r="A367" s="1" t="s">
        <v>913</v>
      </c>
      <c r="B367" s="1" t="s">
        <v>928</v>
      </c>
      <c r="C367" s="1" t="s">
        <v>929</v>
      </c>
      <c r="D367" s="1" t="str">
        <f>"2320"</f>
        <v>2320</v>
      </c>
      <c r="E367" s="1" t="str">
        <f>"014476343"</f>
        <v>014476343</v>
      </c>
      <c r="F367" s="1" t="s">
        <v>930</v>
      </c>
      <c r="G367" s="1" t="s">
        <v>15</v>
      </c>
      <c r="H367" s="1" t="str">
        <f>"1"</f>
        <v>1</v>
      </c>
      <c r="I367" s="3" t="str">
        <f>"176428"</f>
        <v>176428</v>
      </c>
      <c r="J367" s="4">
        <v>46077</v>
      </c>
      <c r="K367" s="1" t="s">
        <v>931</v>
      </c>
    </row>
    <row r="368" spans="1:11" x14ac:dyDescent="0.35">
      <c r="A368" s="1" t="s">
        <v>913</v>
      </c>
      <c r="B368" s="1" t="s">
        <v>977</v>
      </c>
      <c r="C368" s="1" t="s">
        <v>989</v>
      </c>
      <c r="D368" s="1" t="str">
        <f t="shared" ref="D368:D376" si="18">"6545"</f>
        <v>6545</v>
      </c>
      <c r="E368" s="1" t="str">
        <f>"015841582"</f>
        <v>015841582</v>
      </c>
      <c r="F368" s="1" t="s">
        <v>990</v>
      </c>
      <c r="G368" s="1" t="s">
        <v>168</v>
      </c>
      <c r="H368" s="1" t="str">
        <f>"1"</f>
        <v>1</v>
      </c>
      <c r="I368" s="3">
        <v>103.24</v>
      </c>
      <c r="J368" s="4">
        <v>46083</v>
      </c>
      <c r="K368" s="1" t="s">
        <v>991</v>
      </c>
    </row>
    <row r="369" spans="1:11" x14ac:dyDescent="0.35">
      <c r="A369" s="1" t="s">
        <v>913</v>
      </c>
      <c r="B369" s="1" t="s">
        <v>977</v>
      </c>
      <c r="C369" s="1" t="s">
        <v>994</v>
      </c>
      <c r="D369" s="1" t="str">
        <f t="shared" si="18"/>
        <v>6545</v>
      </c>
      <c r="E369" s="1" t="str">
        <f>"015841582"</f>
        <v>015841582</v>
      </c>
      <c r="F369" s="1" t="s">
        <v>990</v>
      </c>
      <c r="G369" s="1" t="s">
        <v>168</v>
      </c>
      <c r="H369" s="1" t="str">
        <f>"4"</f>
        <v>4</v>
      </c>
      <c r="I369" s="3">
        <v>103.24</v>
      </c>
      <c r="J369" s="4">
        <v>46083</v>
      </c>
      <c r="K369" s="1" t="s">
        <v>991</v>
      </c>
    </row>
    <row r="370" spans="1:11" x14ac:dyDescent="0.35">
      <c r="A370" s="1" t="s">
        <v>913</v>
      </c>
      <c r="B370" s="1" t="s">
        <v>977</v>
      </c>
      <c r="C370" s="1" t="s">
        <v>995</v>
      </c>
      <c r="D370" s="1" t="str">
        <f t="shared" si="18"/>
        <v>6545</v>
      </c>
      <c r="E370" s="1" t="str">
        <f>"015841582"</f>
        <v>015841582</v>
      </c>
      <c r="F370" s="1" t="s">
        <v>990</v>
      </c>
      <c r="G370" s="1" t="s">
        <v>168</v>
      </c>
      <c r="H370" s="1" t="str">
        <f>"1"</f>
        <v>1</v>
      </c>
      <c r="I370" s="3">
        <v>103.24</v>
      </c>
      <c r="J370" s="4">
        <v>46083</v>
      </c>
      <c r="K370" s="1" t="s">
        <v>991</v>
      </c>
    </row>
    <row r="371" spans="1:11" x14ac:dyDescent="0.35">
      <c r="A371" s="1" t="s">
        <v>913</v>
      </c>
      <c r="B371" s="1" t="s">
        <v>977</v>
      </c>
      <c r="C371" s="1" t="s">
        <v>996</v>
      </c>
      <c r="D371" s="1" t="str">
        <f t="shared" si="18"/>
        <v>6545</v>
      </c>
      <c r="E371" s="1" t="str">
        <f t="shared" ref="E371:E376" si="19">"015300929"</f>
        <v>015300929</v>
      </c>
      <c r="F371" s="1" t="s">
        <v>167</v>
      </c>
      <c r="G371" s="1" t="s">
        <v>168</v>
      </c>
      <c r="H371" s="1" t="str">
        <f>"1"</f>
        <v>1</v>
      </c>
      <c r="I371" s="3">
        <v>48.71</v>
      </c>
      <c r="J371" s="4">
        <v>46083</v>
      </c>
      <c r="K371" s="1" t="s">
        <v>997</v>
      </c>
    </row>
    <row r="372" spans="1:11" x14ac:dyDescent="0.35">
      <c r="A372" s="1" t="s">
        <v>913</v>
      </c>
      <c r="B372" s="1" t="s">
        <v>977</v>
      </c>
      <c r="C372" s="1" t="s">
        <v>998</v>
      </c>
      <c r="D372" s="1" t="str">
        <f t="shared" si="18"/>
        <v>6545</v>
      </c>
      <c r="E372" s="1" t="str">
        <f t="shared" si="19"/>
        <v>015300929</v>
      </c>
      <c r="F372" s="1" t="s">
        <v>167</v>
      </c>
      <c r="G372" s="1" t="s">
        <v>168</v>
      </c>
      <c r="H372" s="1" t="str">
        <f>"1"</f>
        <v>1</v>
      </c>
      <c r="I372" s="3">
        <v>48.71</v>
      </c>
      <c r="J372" s="4">
        <v>46083</v>
      </c>
      <c r="K372" s="1" t="s">
        <v>997</v>
      </c>
    </row>
    <row r="373" spans="1:11" x14ac:dyDescent="0.35">
      <c r="A373" s="1" t="s">
        <v>913</v>
      </c>
      <c r="B373" s="1" t="s">
        <v>977</v>
      </c>
      <c r="C373" s="1" t="s">
        <v>999</v>
      </c>
      <c r="D373" s="1" t="str">
        <f t="shared" si="18"/>
        <v>6545</v>
      </c>
      <c r="E373" s="1" t="str">
        <f t="shared" si="19"/>
        <v>015300929</v>
      </c>
      <c r="F373" s="1" t="s">
        <v>167</v>
      </c>
      <c r="G373" s="1" t="s">
        <v>168</v>
      </c>
      <c r="H373" s="1" t="str">
        <f>"5"</f>
        <v>5</v>
      </c>
      <c r="I373" s="3">
        <v>48.71</v>
      </c>
      <c r="J373" s="4">
        <v>46083</v>
      </c>
      <c r="K373" s="1" t="s">
        <v>997</v>
      </c>
    </row>
    <row r="374" spans="1:11" x14ac:dyDescent="0.35">
      <c r="A374" s="1" t="s">
        <v>913</v>
      </c>
      <c r="B374" s="1" t="s">
        <v>977</v>
      </c>
      <c r="C374" s="1" t="s">
        <v>1000</v>
      </c>
      <c r="D374" s="1" t="str">
        <f t="shared" si="18"/>
        <v>6545</v>
      </c>
      <c r="E374" s="1" t="str">
        <f t="shared" si="19"/>
        <v>015300929</v>
      </c>
      <c r="F374" s="1" t="s">
        <v>167</v>
      </c>
      <c r="G374" s="1" t="s">
        <v>168</v>
      </c>
      <c r="H374" s="1" t="str">
        <f>"8"</f>
        <v>8</v>
      </c>
      <c r="I374" s="3">
        <v>48.71</v>
      </c>
      <c r="J374" s="4">
        <v>46083</v>
      </c>
      <c r="K374" s="1" t="s">
        <v>997</v>
      </c>
    </row>
    <row r="375" spans="1:11" x14ac:dyDescent="0.35">
      <c r="A375" s="1" t="s">
        <v>913</v>
      </c>
      <c r="B375" s="1" t="s">
        <v>977</v>
      </c>
      <c r="C375" s="1" t="s">
        <v>1001</v>
      </c>
      <c r="D375" s="1" t="str">
        <f t="shared" si="18"/>
        <v>6545</v>
      </c>
      <c r="E375" s="1" t="str">
        <f t="shared" si="19"/>
        <v>015300929</v>
      </c>
      <c r="F375" s="1" t="s">
        <v>167</v>
      </c>
      <c r="G375" s="1" t="s">
        <v>168</v>
      </c>
      <c r="H375" s="1" t="str">
        <f>"5"</f>
        <v>5</v>
      </c>
      <c r="I375" s="3">
        <v>48.71</v>
      </c>
      <c r="J375" s="4">
        <v>46083</v>
      </c>
      <c r="K375" s="1" t="s">
        <v>997</v>
      </c>
    </row>
    <row r="376" spans="1:11" x14ac:dyDescent="0.35">
      <c r="A376" s="1" t="s">
        <v>913</v>
      </c>
      <c r="B376" s="1" t="s">
        <v>977</v>
      </c>
      <c r="C376" s="1" t="s">
        <v>1002</v>
      </c>
      <c r="D376" s="1" t="str">
        <f t="shared" si="18"/>
        <v>6545</v>
      </c>
      <c r="E376" s="1" t="str">
        <f t="shared" si="19"/>
        <v>015300929</v>
      </c>
      <c r="F376" s="1" t="s">
        <v>167</v>
      </c>
      <c r="G376" s="1" t="s">
        <v>168</v>
      </c>
      <c r="H376" s="1" t="str">
        <f>"11"</f>
        <v>11</v>
      </c>
      <c r="I376" s="3">
        <v>48.71</v>
      </c>
      <c r="J376" s="4">
        <v>46083</v>
      </c>
      <c r="K376" s="1" t="s">
        <v>997</v>
      </c>
    </row>
    <row r="377" spans="1:11" x14ac:dyDescent="0.35">
      <c r="A377" s="1" t="s">
        <v>913</v>
      </c>
      <c r="B377" s="1" t="s">
        <v>977</v>
      </c>
      <c r="C377" s="1" t="s">
        <v>980</v>
      </c>
      <c r="D377" s="1" t="str">
        <f>"5140"</f>
        <v>5140</v>
      </c>
      <c r="E377" s="1" t="s">
        <v>364</v>
      </c>
      <c r="F377" s="1" t="s">
        <v>365</v>
      </c>
      <c r="G377" s="1" t="s">
        <v>15</v>
      </c>
      <c r="H377" s="1" t="str">
        <f>"5"</f>
        <v>5</v>
      </c>
      <c r="I377" s="3" t="str">
        <f>"200"</f>
        <v>200</v>
      </c>
      <c r="J377" s="4">
        <v>46085</v>
      </c>
      <c r="K377" s="1" t="s">
        <v>981</v>
      </c>
    </row>
    <row r="378" spans="1:11" x14ac:dyDescent="0.35">
      <c r="A378" s="1" t="s">
        <v>913</v>
      </c>
      <c r="B378" s="1" t="s">
        <v>977</v>
      </c>
      <c r="C378" s="1" t="s">
        <v>982</v>
      </c>
      <c r="D378" s="1" t="str">
        <f>"5140"</f>
        <v>5140</v>
      </c>
      <c r="E378" s="1" t="s">
        <v>364</v>
      </c>
      <c r="F378" s="1" t="s">
        <v>365</v>
      </c>
      <c r="G378" s="1" t="s">
        <v>15</v>
      </c>
      <c r="H378" s="1" t="str">
        <f>"6"</f>
        <v>6</v>
      </c>
      <c r="I378" s="3" t="str">
        <f>"50"</f>
        <v>50</v>
      </c>
      <c r="J378" s="4">
        <v>46085</v>
      </c>
      <c r="K378" s="1" t="s">
        <v>983</v>
      </c>
    </row>
    <row r="379" spans="1:11" x14ac:dyDescent="0.35">
      <c r="A379" s="1" t="s">
        <v>913</v>
      </c>
      <c r="B379" s="1" t="s">
        <v>977</v>
      </c>
      <c r="C379" s="1" t="s">
        <v>984</v>
      </c>
      <c r="D379" s="1" t="str">
        <f>"5855"</f>
        <v>5855</v>
      </c>
      <c r="E379" s="1" t="s">
        <v>985</v>
      </c>
      <c r="F379" s="1" t="s">
        <v>986</v>
      </c>
      <c r="G379" s="1" t="s">
        <v>15</v>
      </c>
      <c r="H379" s="1" t="str">
        <f>"1"</f>
        <v>1</v>
      </c>
      <c r="I379" s="3" t="str">
        <f>"1000"</f>
        <v>1000</v>
      </c>
      <c r="J379" s="4">
        <v>46085</v>
      </c>
      <c r="K379" s="1" t="s">
        <v>987</v>
      </c>
    </row>
    <row r="380" spans="1:11" x14ac:dyDescent="0.35">
      <c r="A380" s="1" t="s">
        <v>913</v>
      </c>
      <c r="B380" s="1" t="s">
        <v>977</v>
      </c>
      <c r="C380" s="1" t="s">
        <v>988</v>
      </c>
      <c r="D380" s="1" t="str">
        <f>"5855"</f>
        <v>5855</v>
      </c>
      <c r="E380" s="1" t="s">
        <v>985</v>
      </c>
      <c r="F380" s="1" t="s">
        <v>986</v>
      </c>
      <c r="G380" s="1" t="s">
        <v>15</v>
      </c>
      <c r="H380" s="1" t="str">
        <f>"1"</f>
        <v>1</v>
      </c>
      <c r="I380" s="3" t="str">
        <f>"1000"</f>
        <v>1000</v>
      </c>
      <c r="J380" s="4">
        <v>46085</v>
      </c>
      <c r="K380" s="1" t="s">
        <v>987</v>
      </c>
    </row>
    <row r="381" spans="1:11" x14ac:dyDescent="0.35">
      <c r="A381" s="1" t="s">
        <v>913</v>
      </c>
      <c r="B381" s="1" t="s">
        <v>977</v>
      </c>
      <c r="C381" s="1" t="s">
        <v>992</v>
      </c>
      <c r="D381" s="1" t="str">
        <f>"6545"</f>
        <v>6545</v>
      </c>
      <c r="E381" s="1" t="str">
        <f>"015841582"</f>
        <v>015841582</v>
      </c>
      <c r="F381" s="1" t="s">
        <v>990</v>
      </c>
      <c r="G381" s="1" t="s">
        <v>168</v>
      </c>
      <c r="H381" s="1" t="str">
        <f>"17"</f>
        <v>17</v>
      </c>
      <c r="I381" s="3">
        <v>103.24</v>
      </c>
      <c r="J381" s="4">
        <v>46085</v>
      </c>
      <c r="K381" s="1" t="s">
        <v>991</v>
      </c>
    </row>
    <row r="382" spans="1:11" x14ac:dyDescent="0.35">
      <c r="A382" s="1" t="s">
        <v>913</v>
      </c>
      <c r="B382" s="1" t="s">
        <v>977</v>
      </c>
      <c r="C382" s="1" t="s">
        <v>993</v>
      </c>
      <c r="D382" s="1" t="str">
        <f>"6545"</f>
        <v>6545</v>
      </c>
      <c r="E382" s="1" t="str">
        <f>"015841582"</f>
        <v>015841582</v>
      </c>
      <c r="F382" s="1" t="s">
        <v>990</v>
      </c>
      <c r="G382" s="1" t="s">
        <v>168</v>
      </c>
      <c r="H382" s="1" t="str">
        <f>"11"</f>
        <v>11</v>
      </c>
      <c r="I382" s="3">
        <v>103.24</v>
      </c>
      <c r="J382" s="4">
        <v>46085</v>
      </c>
      <c r="K382" s="1" t="s">
        <v>991</v>
      </c>
    </row>
    <row r="383" spans="1:11" x14ac:dyDescent="0.35">
      <c r="A383" s="1" t="s">
        <v>913</v>
      </c>
      <c r="B383" s="1" t="s">
        <v>977</v>
      </c>
      <c r="C383" s="1" t="s">
        <v>1003</v>
      </c>
      <c r="D383" s="1" t="str">
        <f>"6650"</f>
        <v>6650</v>
      </c>
      <c r="E383" s="1" t="str">
        <f>"014537551"</f>
        <v>014537551</v>
      </c>
      <c r="F383" s="1" t="s">
        <v>1004</v>
      </c>
      <c r="G383" s="1" t="s">
        <v>15</v>
      </c>
      <c r="H383" s="1" t="str">
        <f>"2"</f>
        <v>2</v>
      </c>
      <c r="I383" s="3">
        <v>6393.6</v>
      </c>
      <c r="J383" s="4">
        <v>46085</v>
      </c>
      <c r="K383" s="1" t="s">
        <v>987</v>
      </c>
    </row>
    <row r="384" spans="1:11" x14ac:dyDescent="0.35">
      <c r="A384" s="1" t="s">
        <v>913</v>
      </c>
      <c r="B384" s="1" t="s">
        <v>977</v>
      </c>
      <c r="C384" s="1" t="s">
        <v>1005</v>
      </c>
      <c r="D384" s="1" t="str">
        <f>"8460"</f>
        <v>8460</v>
      </c>
      <c r="E384" s="1" t="s">
        <v>1006</v>
      </c>
      <c r="F384" s="1" t="s">
        <v>1007</v>
      </c>
      <c r="G384" s="1" t="s">
        <v>15</v>
      </c>
      <c r="H384" s="1" t="str">
        <f>"2"</f>
        <v>2</v>
      </c>
      <c r="I384" s="3" t="str">
        <f>"120"</f>
        <v>120</v>
      </c>
      <c r="J384" s="4">
        <v>46085</v>
      </c>
      <c r="K384" s="1" t="s">
        <v>1008</v>
      </c>
    </row>
    <row r="385" spans="1:11" x14ac:dyDescent="0.35">
      <c r="A385" s="1" t="s">
        <v>913</v>
      </c>
      <c r="B385" s="1" t="s">
        <v>977</v>
      </c>
      <c r="C385" s="1" t="s">
        <v>1009</v>
      </c>
      <c r="D385" s="1" t="str">
        <f>"8465"</f>
        <v>8465</v>
      </c>
      <c r="E385" s="1" t="s">
        <v>1010</v>
      </c>
      <c r="F385" s="1" t="s">
        <v>1011</v>
      </c>
      <c r="G385" s="1" t="s">
        <v>15</v>
      </c>
      <c r="H385" s="1" t="str">
        <f>"11"</f>
        <v>11</v>
      </c>
      <c r="I385" s="3" t="str">
        <f>"100"</f>
        <v>100</v>
      </c>
      <c r="J385" s="4">
        <v>46085</v>
      </c>
      <c r="K385" s="1" t="s">
        <v>1012</v>
      </c>
    </row>
    <row r="386" spans="1:11" x14ac:dyDescent="0.35">
      <c r="A386" s="1" t="s">
        <v>913</v>
      </c>
      <c r="B386" s="1" t="s">
        <v>914</v>
      </c>
      <c r="C386" s="5" t="s">
        <v>915</v>
      </c>
      <c r="D386" s="1" t="str">
        <f>"1520"</f>
        <v>1520</v>
      </c>
      <c r="E386" s="1" t="s">
        <v>83</v>
      </c>
      <c r="F386" s="1" t="s">
        <v>84</v>
      </c>
      <c r="G386" s="1" t="s">
        <v>15</v>
      </c>
      <c r="H386" s="1" t="str">
        <f>"1"</f>
        <v>1</v>
      </c>
      <c r="I386" s="3" t="str">
        <f>"1200000"</f>
        <v>1200000</v>
      </c>
      <c r="J386" s="4">
        <v>46090</v>
      </c>
      <c r="K386" s="1" t="s">
        <v>4487</v>
      </c>
    </row>
    <row r="387" spans="1:11" x14ac:dyDescent="0.35">
      <c r="A387" s="1" t="s">
        <v>913</v>
      </c>
      <c r="B387" s="1" t="s">
        <v>914</v>
      </c>
      <c r="C387" s="1" t="s">
        <v>916</v>
      </c>
      <c r="D387" s="1" t="str">
        <f>"1520"</f>
        <v>1520</v>
      </c>
      <c r="E387" s="1" t="s">
        <v>83</v>
      </c>
      <c r="F387" s="1" t="s">
        <v>84</v>
      </c>
      <c r="G387" s="1" t="s">
        <v>15</v>
      </c>
      <c r="H387" s="1" t="str">
        <f>"1"</f>
        <v>1</v>
      </c>
      <c r="I387" s="3" t="str">
        <f>"1200000"</f>
        <v>1200000</v>
      </c>
      <c r="J387" s="4">
        <v>46090</v>
      </c>
      <c r="K387" s="1" t="s">
        <v>917</v>
      </c>
    </row>
    <row r="388" spans="1:11" x14ac:dyDescent="0.35">
      <c r="A388" s="1" t="s">
        <v>913</v>
      </c>
      <c r="B388" s="1" t="s">
        <v>928</v>
      </c>
      <c r="C388" s="1" t="s">
        <v>932</v>
      </c>
      <c r="D388" s="1" t="str">
        <f>"2320"</f>
        <v>2320</v>
      </c>
      <c r="E388" s="1" t="str">
        <f>"014476343"</f>
        <v>014476343</v>
      </c>
      <c r="F388" s="1" t="s">
        <v>930</v>
      </c>
      <c r="G388" s="1" t="s">
        <v>15</v>
      </c>
      <c r="H388" s="1" t="str">
        <f>"1"</f>
        <v>1</v>
      </c>
      <c r="I388" s="3" t="str">
        <f>"176428"</f>
        <v>176428</v>
      </c>
      <c r="J388" s="4">
        <v>46091</v>
      </c>
      <c r="K388" s="1" t="s">
        <v>933</v>
      </c>
    </row>
    <row r="389" spans="1:11" x14ac:dyDescent="0.35">
      <c r="A389" s="1" t="s">
        <v>913</v>
      </c>
      <c r="B389" s="1" t="s">
        <v>977</v>
      </c>
      <c r="C389" s="1" t="s">
        <v>978</v>
      </c>
      <c r="D389" s="1" t="str">
        <f>"1240"</f>
        <v>1240</v>
      </c>
      <c r="E389" s="1" t="str">
        <f>"015515762"</f>
        <v>015515762</v>
      </c>
      <c r="F389" s="1" t="s">
        <v>71</v>
      </c>
      <c r="G389" s="1" t="s">
        <v>15</v>
      </c>
      <c r="H389" s="1" t="str">
        <f>"26"</f>
        <v>26</v>
      </c>
      <c r="I389" s="3" t="str">
        <f>"460"</f>
        <v>460</v>
      </c>
      <c r="J389" s="4">
        <v>46091</v>
      </c>
      <c r="K389" s="1" t="s">
        <v>979</v>
      </c>
    </row>
    <row r="390" spans="1:11" x14ac:dyDescent="0.35">
      <c r="A390" s="1" t="s">
        <v>913</v>
      </c>
      <c r="B390" s="1" t="s">
        <v>954</v>
      </c>
      <c r="C390" s="1" t="s">
        <v>958</v>
      </c>
      <c r="D390" s="1" t="str">
        <f>"3020"</f>
        <v>3020</v>
      </c>
      <c r="E390" s="1" t="str">
        <f>"014910776"</f>
        <v>014910776</v>
      </c>
      <c r="F390" s="1" t="s">
        <v>959</v>
      </c>
      <c r="G390" s="1" t="s">
        <v>15</v>
      </c>
      <c r="H390" s="1" t="str">
        <f>"1"</f>
        <v>1</v>
      </c>
      <c r="I390" s="3">
        <v>84.45</v>
      </c>
      <c r="J390" s="4">
        <v>46092</v>
      </c>
      <c r="K390" s="1" t="s">
        <v>960</v>
      </c>
    </row>
    <row r="391" spans="1:11" x14ac:dyDescent="0.35">
      <c r="A391" s="1" t="s">
        <v>913</v>
      </c>
      <c r="B391" s="1" t="s">
        <v>954</v>
      </c>
      <c r="C391" s="1" t="s">
        <v>961</v>
      </c>
      <c r="D391" s="1" t="str">
        <f>"4020"</f>
        <v>4020</v>
      </c>
      <c r="E391" s="1" t="str">
        <f>"012047039"</f>
        <v>012047039</v>
      </c>
      <c r="F391" s="1" t="s">
        <v>962</v>
      </c>
      <c r="G391" s="1" t="s">
        <v>963</v>
      </c>
      <c r="H391" s="1" t="str">
        <f>"25"</f>
        <v>25</v>
      </c>
      <c r="I391" s="3">
        <v>44.27</v>
      </c>
      <c r="J391" s="4">
        <v>46092</v>
      </c>
      <c r="K391" s="1" t="s">
        <v>964</v>
      </c>
    </row>
    <row r="392" spans="1:11" x14ac:dyDescent="0.35">
      <c r="A392" s="1" t="s">
        <v>913</v>
      </c>
      <c r="B392" s="1" t="s">
        <v>954</v>
      </c>
      <c r="C392" s="1" t="s">
        <v>965</v>
      </c>
      <c r="D392" s="1" t="str">
        <f>"5120"</f>
        <v>5120</v>
      </c>
      <c r="E392" s="1" t="str">
        <f>"013748969"</f>
        <v>013748969</v>
      </c>
      <c r="F392" s="1" t="s">
        <v>966</v>
      </c>
      <c r="G392" s="1" t="s">
        <v>15</v>
      </c>
      <c r="H392" s="1" t="str">
        <f>"1"</f>
        <v>1</v>
      </c>
      <c r="I392" s="3">
        <v>54.38</v>
      </c>
      <c r="J392" s="4">
        <v>46092</v>
      </c>
      <c r="K392" s="1" t="s">
        <v>967</v>
      </c>
    </row>
    <row r="393" spans="1:11" x14ac:dyDescent="0.35">
      <c r="A393" s="1" t="s">
        <v>913</v>
      </c>
      <c r="B393" s="1" t="s">
        <v>954</v>
      </c>
      <c r="C393" s="1" t="s">
        <v>968</v>
      </c>
      <c r="D393" s="1" t="str">
        <f>"5120"</f>
        <v>5120</v>
      </c>
      <c r="E393" s="1" t="str">
        <f>"013572937"</f>
        <v>013572937</v>
      </c>
      <c r="F393" s="1" t="s">
        <v>966</v>
      </c>
      <c r="G393" s="1" t="s">
        <v>15</v>
      </c>
      <c r="H393" s="1" t="str">
        <f>"1"</f>
        <v>1</v>
      </c>
      <c r="I393" s="3">
        <v>29.41</v>
      </c>
      <c r="J393" s="4">
        <v>46092</v>
      </c>
      <c r="K393" s="1" t="s">
        <v>967</v>
      </c>
    </row>
    <row r="394" spans="1:11" x14ac:dyDescent="0.35">
      <c r="A394" s="1" t="s">
        <v>913</v>
      </c>
      <c r="B394" s="1" t="s">
        <v>954</v>
      </c>
      <c r="C394" s="1" t="s">
        <v>969</v>
      </c>
      <c r="D394" s="1" t="str">
        <f>"5440"</f>
        <v>5440</v>
      </c>
      <c r="E394" s="1" t="s">
        <v>970</v>
      </c>
      <c r="F394" s="1" t="s">
        <v>971</v>
      </c>
      <c r="G394" s="1" t="s">
        <v>15</v>
      </c>
      <c r="H394" s="1" t="str">
        <f>"1"</f>
        <v>1</v>
      </c>
      <c r="I394" s="3" t="str">
        <f>"100"</f>
        <v>100</v>
      </c>
      <c r="J394" s="4">
        <v>46092</v>
      </c>
      <c r="K394" s="1" t="s">
        <v>972</v>
      </c>
    </row>
    <row r="395" spans="1:11" x14ac:dyDescent="0.35">
      <c r="A395" s="1" t="s">
        <v>913</v>
      </c>
      <c r="B395" s="1" t="s">
        <v>918</v>
      </c>
      <c r="C395" s="1" t="s">
        <v>922</v>
      </c>
      <c r="D395" s="1" t="str">
        <f>"6515"</f>
        <v>6515</v>
      </c>
      <c r="E395" s="1" t="str">
        <f>"016485814"</f>
        <v>016485814</v>
      </c>
      <c r="F395" s="1" t="s">
        <v>923</v>
      </c>
      <c r="G395" s="1" t="s">
        <v>15</v>
      </c>
      <c r="H395" s="1" t="str">
        <f>"10"</f>
        <v>10</v>
      </c>
      <c r="I395" s="3">
        <v>34017.879999999997</v>
      </c>
      <c r="J395" s="4">
        <v>46098</v>
      </c>
      <c r="K395" s="1" t="s">
        <v>924</v>
      </c>
    </row>
    <row r="396" spans="1:11" x14ac:dyDescent="0.35">
      <c r="A396" s="1" t="s">
        <v>913</v>
      </c>
      <c r="B396" s="1" t="s">
        <v>934</v>
      </c>
      <c r="C396" s="1" t="s">
        <v>935</v>
      </c>
      <c r="D396" s="1" t="str">
        <f>"6665"</f>
        <v>6665</v>
      </c>
      <c r="E396" s="1" t="str">
        <f>"015996704"</f>
        <v>015996704</v>
      </c>
      <c r="F396" s="1" t="s">
        <v>936</v>
      </c>
      <c r="G396" s="1" t="s">
        <v>15</v>
      </c>
      <c r="H396" s="1" t="str">
        <f>"1"</f>
        <v>1</v>
      </c>
      <c r="I396" s="3">
        <v>3442.82</v>
      </c>
      <c r="J396" s="4">
        <v>46106</v>
      </c>
      <c r="K396" s="1" t="s">
        <v>937</v>
      </c>
    </row>
    <row r="397" spans="1:11" x14ac:dyDescent="0.35">
      <c r="A397" s="1" t="s">
        <v>913</v>
      </c>
      <c r="B397" s="1" t="s">
        <v>954</v>
      </c>
      <c r="C397" s="1" t="s">
        <v>955</v>
      </c>
      <c r="D397" s="1" t="str">
        <f>"1730"</f>
        <v>1730</v>
      </c>
      <c r="E397" s="1" t="str">
        <f>"003905618"</f>
        <v>003905618</v>
      </c>
      <c r="F397" s="1" t="s">
        <v>956</v>
      </c>
      <c r="G397" s="1" t="s">
        <v>15</v>
      </c>
      <c r="H397" s="1" t="str">
        <f>"1"</f>
        <v>1</v>
      </c>
      <c r="I397" s="3" t="str">
        <f>"20583"</f>
        <v>20583</v>
      </c>
      <c r="J397" s="4">
        <v>46112</v>
      </c>
      <c r="K397" s="1" t="s">
        <v>957</v>
      </c>
    </row>
    <row r="398" spans="1:11" x14ac:dyDescent="0.35">
      <c r="A398" s="1" t="s">
        <v>1013</v>
      </c>
      <c r="B398" s="1" t="s">
        <v>1014</v>
      </c>
      <c r="C398" s="1" t="s">
        <v>1025</v>
      </c>
      <c r="D398" s="1" t="str">
        <f>"8145"</f>
        <v>8145</v>
      </c>
      <c r="E398" s="1" t="str">
        <f>"014423343"</f>
        <v>014423343</v>
      </c>
      <c r="F398" s="1" t="s">
        <v>753</v>
      </c>
      <c r="G398" s="1" t="s">
        <v>15</v>
      </c>
      <c r="H398" s="1" t="str">
        <f>"2"</f>
        <v>2</v>
      </c>
      <c r="I398" s="3">
        <v>5473.26</v>
      </c>
      <c r="J398" s="4">
        <v>46029</v>
      </c>
      <c r="K398" s="1" t="s">
        <v>1026</v>
      </c>
    </row>
    <row r="399" spans="1:11" x14ac:dyDescent="0.35">
      <c r="A399" s="1" t="s">
        <v>1013</v>
      </c>
      <c r="B399" s="1" t="s">
        <v>1100</v>
      </c>
      <c r="C399" s="1" t="s">
        <v>1115</v>
      </c>
      <c r="D399" s="1" t="str">
        <f>"8115"</f>
        <v>8115</v>
      </c>
      <c r="E399" s="1" t="str">
        <f>"014747089"</f>
        <v>014747089</v>
      </c>
      <c r="F399" s="1" t="s">
        <v>1116</v>
      </c>
      <c r="G399" s="1" t="s">
        <v>15</v>
      </c>
      <c r="H399" s="1" t="str">
        <f>"3"</f>
        <v>3</v>
      </c>
      <c r="I399" s="3">
        <v>2945.84</v>
      </c>
      <c r="J399" s="4">
        <v>46034</v>
      </c>
      <c r="K399" s="1" t="s">
        <v>1117</v>
      </c>
    </row>
    <row r="400" spans="1:11" x14ac:dyDescent="0.35">
      <c r="A400" s="1" t="s">
        <v>1013</v>
      </c>
      <c r="B400" s="1" t="s">
        <v>1100</v>
      </c>
      <c r="C400" s="1" t="s">
        <v>1118</v>
      </c>
      <c r="D400" s="1" t="str">
        <f>"8145"</f>
        <v>8145</v>
      </c>
      <c r="E400" s="1" t="str">
        <f>"014423370"</f>
        <v>014423370</v>
      </c>
      <c r="F400" s="1" t="s">
        <v>753</v>
      </c>
      <c r="G400" s="1" t="s">
        <v>15</v>
      </c>
      <c r="H400" s="1" t="str">
        <f>"2"</f>
        <v>2</v>
      </c>
      <c r="I400" s="3">
        <v>8356.2999999999993</v>
      </c>
      <c r="J400" s="4">
        <v>46034</v>
      </c>
      <c r="K400" s="1" t="s">
        <v>1119</v>
      </c>
    </row>
    <row r="401" spans="1:11" x14ac:dyDescent="0.35">
      <c r="A401" s="1" t="s">
        <v>1013</v>
      </c>
      <c r="B401" s="1" t="s">
        <v>1100</v>
      </c>
      <c r="C401" s="1" t="s">
        <v>1120</v>
      </c>
      <c r="D401" s="1" t="str">
        <f>"8145"</f>
        <v>8145</v>
      </c>
      <c r="E401" s="1" t="str">
        <f>"014423343"</f>
        <v>014423343</v>
      </c>
      <c r="F401" s="1" t="s">
        <v>753</v>
      </c>
      <c r="G401" s="1" t="s">
        <v>15</v>
      </c>
      <c r="H401" s="1" t="str">
        <f>"3"</f>
        <v>3</v>
      </c>
      <c r="I401" s="3">
        <v>5473.26</v>
      </c>
      <c r="J401" s="4">
        <v>46034</v>
      </c>
      <c r="K401" s="1" t="s">
        <v>1119</v>
      </c>
    </row>
    <row r="402" spans="1:11" x14ac:dyDescent="0.35">
      <c r="A402" s="1" t="s">
        <v>1013</v>
      </c>
      <c r="B402" s="1" t="s">
        <v>1041</v>
      </c>
      <c r="C402" s="1" t="s">
        <v>1047</v>
      </c>
      <c r="D402" s="1" t="str">
        <f>"6910"</f>
        <v>6910</v>
      </c>
      <c r="E402" s="1" t="str">
        <f>"016297815"</f>
        <v>016297815</v>
      </c>
      <c r="F402" s="1" t="s">
        <v>1048</v>
      </c>
      <c r="G402" s="1" t="s">
        <v>257</v>
      </c>
      <c r="H402" s="1" t="str">
        <f>"1"</f>
        <v>1</v>
      </c>
      <c r="I402" s="3">
        <v>428158.5</v>
      </c>
      <c r="J402" s="4">
        <v>46037</v>
      </c>
      <c r="K402" s="1" t="s">
        <v>1049</v>
      </c>
    </row>
    <row r="403" spans="1:11" x14ac:dyDescent="0.35">
      <c r="A403" s="1" t="s">
        <v>1013</v>
      </c>
      <c r="B403" s="1" t="s">
        <v>1083</v>
      </c>
      <c r="C403" s="1" t="s">
        <v>1084</v>
      </c>
      <c r="D403" s="1" t="str">
        <f>"2330"</f>
        <v>2330</v>
      </c>
      <c r="E403" s="1" t="s">
        <v>104</v>
      </c>
      <c r="F403" s="1" t="s">
        <v>105</v>
      </c>
      <c r="G403" s="1" t="s">
        <v>15</v>
      </c>
      <c r="H403" s="1" t="str">
        <f>"1"</f>
        <v>1</v>
      </c>
      <c r="I403" s="3" t="str">
        <f>"19633"</f>
        <v>19633</v>
      </c>
      <c r="J403" s="4">
        <v>46037</v>
      </c>
      <c r="K403" s="1" t="s">
        <v>1085</v>
      </c>
    </row>
    <row r="404" spans="1:11" x14ac:dyDescent="0.35">
      <c r="A404" s="1" t="s">
        <v>1013</v>
      </c>
      <c r="B404" s="1" t="s">
        <v>1100</v>
      </c>
      <c r="C404" s="1" t="s">
        <v>1101</v>
      </c>
      <c r="D404" s="1" t="str">
        <f>"1095"</f>
        <v>1095</v>
      </c>
      <c r="E404" s="1" t="str">
        <f>"015506607"</f>
        <v>015506607</v>
      </c>
      <c r="F404" s="1" t="s">
        <v>1102</v>
      </c>
      <c r="G404" s="1" t="s">
        <v>15</v>
      </c>
      <c r="H404" s="1" t="str">
        <f>"5"</f>
        <v>5</v>
      </c>
      <c r="I404" s="3">
        <v>1245.01</v>
      </c>
      <c r="J404" s="4">
        <v>46037</v>
      </c>
      <c r="K404" s="1" t="s">
        <v>1103</v>
      </c>
    </row>
    <row r="405" spans="1:11" x14ac:dyDescent="0.35">
      <c r="A405" s="1" t="s">
        <v>1013</v>
      </c>
      <c r="B405" s="1" t="s">
        <v>1041</v>
      </c>
      <c r="C405" s="1" t="s">
        <v>1042</v>
      </c>
      <c r="D405" s="1" t="str">
        <f>"6515"</f>
        <v>6515</v>
      </c>
      <c r="E405" s="1" t="str">
        <f>"014586057"</f>
        <v>014586057</v>
      </c>
      <c r="F405" s="1" t="s">
        <v>1043</v>
      </c>
      <c r="G405" s="1" t="s">
        <v>168</v>
      </c>
      <c r="H405" s="1" t="str">
        <f>"3"</f>
        <v>3</v>
      </c>
      <c r="I405" s="3">
        <v>208.48</v>
      </c>
      <c r="J405" s="4">
        <v>46038</v>
      </c>
      <c r="K405" s="1" t="s">
        <v>1044</v>
      </c>
    </row>
    <row r="406" spans="1:11" x14ac:dyDescent="0.35">
      <c r="A406" s="1" t="s">
        <v>1013</v>
      </c>
      <c r="B406" s="1" t="s">
        <v>1041</v>
      </c>
      <c r="C406" s="1" t="s">
        <v>1045</v>
      </c>
      <c r="D406" s="1" t="str">
        <f>"6545"</f>
        <v>6545</v>
      </c>
      <c r="E406" s="1" t="str">
        <f>"015300929"</f>
        <v>015300929</v>
      </c>
      <c r="F406" s="1" t="s">
        <v>167</v>
      </c>
      <c r="G406" s="1" t="s">
        <v>168</v>
      </c>
      <c r="H406" s="1" t="str">
        <f>"16"</f>
        <v>16</v>
      </c>
      <c r="I406" s="3">
        <v>48.71</v>
      </c>
      <c r="J406" s="4">
        <v>46038</v>
      </c>
      <c r="K406" s="1" t="s">
        <v>1046</v>
      </c>
    </row>
    <row r="407" spans="1:11" x14ac:dyDescent="0.35">
      <c r="A407" s="1" t="s">
        <v>1013</v>
      </c>
      <c r="B407" s="1" t="s">
        <v>1091</v>
      </c>
      <c r="C407" s="1" t="s">
        <v>1092</v>
      </c>
      <c r="D407" s="1" t="str">
        <f>"2320"</f>
        <v>2320</v>
      </c>
      <c r="E407" s="1" t="str">
        <f>"011762223"</f>
        <v>011762223</v>
      </c>
      <c r="F407" s="1" t="s">
        <v>1093</v>
      </c>
      <c r="G407" s="1" t="s">
        <v>15</v>
      </c>
      <c r="H407" s="1" t="str">
        <f>"1"</f>
        <v>1</v>
      </c>
      <c r="I407" s="3" t="str">
        <f>"51000"</f>
        <v>51000</v>
      </c>
      <c r="J407" s="4">
        <v>46045</v>
      </c>
      <c r="K407" s="1" t="s">
        <v>1094</v>
      </c>
    </row>
    <row r="408" spans="1:11" x14ac:dyDescent="0.35">
      <c r="A408" s="1" t="s">
        <v>1013</v>
      </c>
      <c r="B408" s="1" t="s">
        <v>1100</v>
      </c>
      <c r="C408" s="1" t="s">
        <v>1128</v>
      </c>
      <c r="D408" s="1" t="str">
        <f>"8145"</f>
        <v>8145</v>
      </c>
      <c r="E408" s="1" t="str">
        <f>"014423336"</f>
        <v>014423336</v>
      </c>
      <c r="F408" s="1" t="s">
        <v>753</v>
      </c>
      <c r="G408" s="1" t="s">
        <v>15</v>
      </c>
      <c r="H408" s="1" t="str">
        <f>"1"</f>
        <v>1</v>
      </c>
      <c r="I408" s="3" t="str">
        <f>"4975"</f>
        <v>4975</v>
      </c>
      <c r="J408" s="4">
        <v>46048</v>
      </c>
      <c r="K408" s="1" t="s">
        <v>1122</v>
      </c>
    </row>
    <row r="409" spans="1:11" x14ac:dyDescent="0.35">
      <c r="A409" s="1" t="s">
        <v>1013</v>
      </c>
      <c r="B409" s="1" t="s">
        <v>1100</v>
      </c>
      <c r="C409" s="1" t="s">
        <v>1125</v>
      </c>
      <c r="D409" s="1" t="str">
        <f>"8145"</f>
        <v>8145</v>
      </c>
      <c r="E409" s="1" t="str">
        <f>"014423336"</f>
        <v>014423336</v>
      </c>
      <c r="F409" s="1" t="s">
        <v>753</v>
      </c>
      <c r="G409" s="1" t="s">
        <v>15</v>
      </c>
      <c r="H409" s="1" t="str">
        <f>"1"</f>
        <v>1</v>
      </c>
      <c r="I409" s="3" t="str">
        <f>"4975"</f>
        <v>4975</v>
      </c>
      <c r="J409" s="4">
        <v>46050</v>
      </c>
      <c r="K409" s="1" t="s">
        <v>1122</v>
      </c>
    </row>
    <row r="410" spans="1:11" x14ac:dyDescent="0.35">
      <c r="A410" s="1" t="s">
        <v>1013</v>
      </c>
      <c r="B410" s="1" t="s">
        <v>1100</v>
      </c>
      <c r="C410" s="1" t="s">
        <v>1127</v>
      </c>
      <c r="D410" s="1" t="str">
        <f>"8145"</f>
        <v>8145</v>
      </c>
      <c r="E410" s="1" t="str">
        <f>"014423336"</f>
        <v>014423336</v>
      </c>
      <c r="F410" s="1" t="s">
        <v>753</v>
      </c>
      <c r="G410" s="1" t="s">
        <v>15</v>
      </c>
      <c r="H410" s="1" t="str">
        <f>"1"</f>
        <v>1</v>
      </c>
      <c r="I410" s="3" t="str">
        <f>"4975"</f>
        <v>4975</v>
      </c>
      <c r="J410" s="4">
        <v>46050</v>
      </c>
      <c r="K410" s="1" t="s">
        <v>1122</v>
      </c>
    </row>
    <row r="411" spans="1:11" x14ac:dyDescent="0.35">
      <c r="A411" s="1" t="s">
        <v>1013</v>
      </c>
      <c r="B411" s="1" t="s">
        <v>1086</v>
      </c>
      <c r="C411" s="1" t="s">
        <v>1087</v>
      </c>
      <c r="D411" s="1" t="str">
        <f>"4120"</f>
        <v>4120</v>
      </c>
      <c r="E411" s="1" t="str">
        <f>"016128300"</f>
        <v>016128300</v>
      </c>
      <c r="F411" s="1" t="s">
        <v>1088</v>
      </c>
      <c r="G411" s="1" t="s">
        <v>15</v>
      </c>
      <c r="H411" s="1" t="str">
        <f>"2"</f>
        <v>2</v>
      </c>
      <c r="I411" s="3">
        <v>5549.69</v>
      </c>
      <c r="J411" s="4">
        <v>46055</v>
      </c>
      <c r="K411" s="1" t="s">
        <v>1089</v>
      </c>
    </row>
    <row r="412" spans="1:11" x14ac:dyDescent="0.35">
      <c r="A412" s="1" t="s">
        <v>1013</v>
      </c>
      <c r="B412" s="1" t="s">
        <v>1086</v>
      </c>
      <c r="C412" s="1" t="s">
        <v>1090</v>
      </c>
      <c r="D412" s="1" t="str">
        <f>"4120"</f>
        <v>4120</v>
      </c>
      <c r="E412" s="1" t="str">
        <f>"016128300"</f>
        <v>016128300</v>
      </c>
      <c r="F412" s="1" t="s">
        <v>1088</v>
      </c>
      <c r="G412" s="1" t="s">
        <v>15</v>
      </c>
      <c r="H412" s="1" t="str">
        <f>"4"</f>
        <v>4</v>
      </c>
      <c r="I412" s="3">
        <v>5549.69</v>
      </c>
      <c r="J412" s="4">
        <v>46055</v>
      </c>
      <c r="K412" s="1" t="s">
        <v>1089</v>
      </c>
    </row>
    <row r="413" spans="1:11" x14ac:dyDescent="0.35">
      <c r="A413" s="1" t="s">
        <v>1013</v>
      </c>
      <c r="B413" s="1" t="s">
        <v>1014</v>
      </c>
      <c r="C413" s="1" t="s">
        <v>1019</v>
      </c>
      <c r="D413" s="1" t="str">
        <f>"3805"</f>
        <v>3805</v>
      </c>
      <c r="E413" s="1" t="s">
        <v>1020</v>
      </c>
      <c r="F413" s="1" t="s">
        <v>1021</v>
      </c>
      <c r="G413" s="1" t="s">
        <v>15</v>
      </c>
      <c r="H413" s="1" t="str">
        <f>"1"</f>
        <v>1</v>
      </c>
      <c r="I413" s="3" t="str">
        <f>"7500"</f>
        <v>7500</v>
      </c>
      <c r="J413" s="4">
        <v>46056</v>
      </c>
      <c r="K413" s="1" t="s">
        <v>1022</v>
      </c>
    </row>
    <row r="414" spans="1:11" x14ac:dyDescent="0.35">
      <c r="A414" s="1" t="s">
        <v>1013</v>
      </c>
      <c r="B414" s="1" t="s">
        <v>1054</v>
      </c>
      <c r="C414" s="1" t="s">
        <v>1055</v>
      </c>
      <c r="D414" s="1" t="str">
        <f>"4110"</f>
        <v>4110</v>
      </c>
      <c r="E414" s="1" t="s">
        <v>1056</v>
      </c>
      <c r="F414" s="1" t="s">
        <v>1057</v>
      </c>
      <c r="G414" s="1" t="s">
        <v>15</v>
      </c>
      <c r="H414" s="1" t="str">
        <f>"1"</f>
        <v>1</v>
      </c>
      <c r="I414" s="3">
        <v>15877.28</v>
      </c>
      <c r="J414" s="4">
        <v>46056</v>
      </c>
      <c r="K414" s="1" t="s">
        <v>1058</v>
      </c>
    </row>
    <row r="415" spans="1:11" x14ac:dyDescent="0.35">
      <c r="A415" s="1" t="s">
        <v>1013</v>
      </c>
      <c r="B415" s="1" t="s">
        <v>1054</v>
      </c>
      <c r="C415" s="1" t="s">
        <v>1059</v>
      </c>
      <c r="D415" s="1" t="str">
        <f>"6670"</f>
        <v>6670</v>
      </c>
      <c r="E415" s="1" t="s">
        <v>1060</v>
      </c>
      <c r="F415" s="1" t="s">
        <v>1061</v>
      </c>
      <c r="G415" s="1" t="s">
        <v>15</v>
      </c>
      <c r="H415" s="1" t="str">
        <f>"2"</f>
        <v>2</v>
      </c>
      <c r="I415" s="3">
        <v>7642.41</v>
      </c>
      <c r="J415" s="4">
        <v>46056</v>
      </c>
      <c r="K415" s="1" t="s">
        <v>1062</v>
      </c>
    </row>
    <row r="416" spans="1:11" x14ac:dyDescent="0.35">
      <c r="A416" s="1" t="s">
        <v>1013</v>
      </c>
      <c r="B416" s="1" t="s">
        <v>1054</v>
      </c>
      <c r="C416" s="1" t="s">
        <v>1063</v>
      </c>
      <c r="D416" s="1" t="str">
        <f>"6670"</f>
        <v>6670</v>
      </c>
      <c r="E416" s="1" t="s">
        <v>1060</v>
      </c>
      <c r="F416" s="1" t="s">
        <v>1061</v>
      </c>
      <c r="G416" s="1" t="s">
        <v>15</v>
      </c>
      <c r="H416" s="1" t="str">
        <f>"2"</f>
        <v>2</v>
      </c>
      <c r="I416" s="3">
        <v>7642.41</v>
      </c>
      <c r="J416" s="4">
        <v>46056</v>
      </c>
      <c r="K416" s="1" t="s">
        <v>1064</v>
      </c>
    </row>
    <row r="417" spans="1:11" x14ac:dyDescent="0.35">
      <c r="A417" s="1" t="s">
        <v>1013</v>
      </c>
      <c r="B417" s="1" t="s">
        <v>1054</v>
      </c>
      <c r="C417" s="1" t="s">
        <v>1065</v>
      </c>
      <c r="D417" s="1" t="str">
        <f>"7110"</f>
        <v>7110</v>
      </c>
      <c r="E417" s="1" t="s">
        <v>1066</v>
      </c>
      <c r="F417" s="1" t="s">
        <v>1067</v>
      </c>
      <c r="G417" s="1" t="s">
        <v>15</v>
      </c>
      <c r="H417" s="1" t="str">
        <f>"3"</f>
        <v>3</v>
      </c>
      <c r="I417" s="3" t="str">
        <f>"100"</f>
        <v>100</v>
      </c>
      <c r="J417" s="4">
        <v>46056</v>
      </c>
      <c r="K417" s="1" t="s">
        <v>1068</v>
      </c>
    </row>
    <row r="418" spans="1:11" x14ac:dyDescent="0.35">
      <c r="A418" s="1" t="s">
        <v>1013</v>
      </c>
      <c r="B418" s="1" t="s">
        <v>1014</v>
      </c>
      <c r="C418" s="1" t="s">
        <v>1023</v>
      </c>
      <c r="D418" s="1" t="str">
        <f>"3930"</f>
        <v>3930</v>
      </c>
      <c r="E418" s="1" t="str">
        <f>"014172886"</f>
        <v>014172886</v>
      </c>
      <c r="F418" s="1" t="s">
        <v>124</v>
      </c>
      <c r="G418" s="1" t="s">
        <v>15</v>
      </c>
      <c r="H418" s="1" t="str">
        <f>"1"</f>
        <v>1</v>
      </c>
      <c r="I418" s="3" t="str">
        <f>"100199"</f>
        <v>100199</v>
      </c>
      <c r="J418" s="4">
        <v>46057</v>
      </c>
      <c r="K418" s="1" t="s">
        <v>1024</v>
      </c>
    </row>
    <row r="419" spans="1:11" x14ac:dyDescent="0.35">
      <c r="A419" s="1" t="s">
        <v>1013</v>
      </c>
      <c r="B419" s="1" t="s">
        <v>1077</v>
      </c>
      <c r="C419" s="1" t="s">
        <v>1078</v>
      </c>
      <c r="D419" s="1" t="str">
        <f>"8150"</f>
        <v>8150</v>
      </c>
      <c r="E419" s="1" t="str">
        <f>"014839125"</f>
        <v>014839125</v>
      </c>
      <c r="F419" s="1" t="s">
        <v>387</v>
      </c>
      <c r="G419" s="1" t="s">
        <v>15</v>
      </c>
      <c r="H419" s="1" t="str">
        <f>"1"</f>
        <v>1</v>
      </c>
      <c r="I419" s="3">
        <v>7265.03</v>
      </c>
      <c r="J419" s="4">
        <v>46058</v>
      </c>
      <c r="K419" s="1" t="s">
        <v>1079</v>
      </c>
    </row>
    <row r="420" spans="1:11" x14ac:dyDescent="0.35">
      <c r="A420" s="1" t="s">
        <v>1013</v>
      </c>
      <c r="B420" s="1" t="s">
        <v>1077</v>
      </c>
      <c r="C420" s="1" t="s">
        <v>1080</v>
      </c>
      <c r="D420" s="1" t="str">
        <f>"8150"</f>
        <v>8150</v>
      </c>
      <c r="E420" s="1" t="str">
        <f>"014759570"</f>
        <v>014759570</v>
      </c>
      <c r="F420" s="1" t="s">
        <v>1081</v>
      </c>
      <c r="G420" s="1" t="s">
        <v>15</v>
      </c>
      <c r="H420" s="1" t="str">
        <f>"1"</f>
        <v>1</v>
      </c>
      <c r="I420" s="3" t="str">
        <f>"7922"</f>
        <v>7922</v>
      </c>
      <c r="J420" s="4">
        <v>46058</v>
      </c>
      <c r="K420" s="1" t="s">
        <v>1082</v>
      </c>
    </row>
    <row r="421" spans="1:11" x14ac:dyDescent="0.35">
      <c r="A421" s="1" t="s">
        <v>1013</v>
      </c>
      <c r="B421" s="1" t="s">
        <v>1100</v>
      </c>
      <c r="C421" s="1" t="s">
        <v>1126</v>
      </c>
      <c r="D421" s="1" t="str">
        <f>"8145"</f>
        <v>8145</v>
      </c>
      <c r="E421" s="1" t="str">
        <f>"014423336"</f>
        <v>014423336</v>
      </c>
      <c r="F421" s="1" t="s">
        <v>753</v>
      </c>
      <c r="G421" s="1" t="s">
        <v>15</v>
      </c>
      <c r="H421" s="1" t="str">
        <f>"1"</f>
        <v>1</v>
      </c>
      <c r="I421" s="3" t="str">
        <f>"4975"</f>
        <v>4975</v>
      </c>
      <c r="J421" s="4">
        <v>46063</v>
      </c>
      <c r="K421" s="1" t="s">
        <v>1122</v>
      </c>
    </row>
    <row r="422" spans="1:11" x14ac:dyDescent="0.35">
      <c r="A422" s="1" t="s">
        <v>1013</v>
      </c>
      <c r="B422" s="1" t="s">
        <v>1074</v>
      </c>
      <c r="C422" s="1" t="s">
        <v>1075</v>
      </c>
      <c r="D422" s="1" t="str">
        <f>"6115"</f>
        <v>6115</v>
      </c>
      <c r="E422" s="1" t="str">
        <f>"012747387"</f>
        <v>012747387</v>
      </c>
      <c r="F422" s="1" t="s">
        <v>383</v>
      </c>
      <c r="G422" s="1" t="s">
        <v>15</v>
      </c>
      <c r="H422" s="1" t="str">
        <f>"2"</f>
        <v>2</v>
      </c>
      <c r="I422" s="3">
        <v>12797.7</v>
      </c>
      <c r="J422" s="4">
        <v>46064</v>
      </c>
      <c r="K422" s="1" t="s">
        <v>1076</v>
      </c>
    </row>
    <row r="423" spans="1:11" x14ac:dyDescent="0.35">
      <c r="A423" s="1" t="s">
        <v>1013</v>
      </c>
      <c r="B423" s="1" t="s">
        <v>1100</v>
      </c>
      <c r="C423" s="1" t="s">
        <v>1124</v>
      </c>
      <c r="D423" s="1" t="str">
        <f>"8145"</f>
        <v>8145</v>
      </c>
      <c r="E423" s="1" t="str">
        <f>"014423336"</f>
        <v>014423336</v>
      </c>
      <c r="F423" s="1" t="s">
        <v>753</v>
      </c>
      <c r="G423" s="1" t="s">
        <v>15</v>
      </c>
      <c r="H423" s="1" t="str">
        <f t="shared" ref="H423:H430" si="20">"1"</f>
        <v>1</v>
      </c>
      <c r="I423" s="3" t="str">
        <f>"4975"</f>
        <v>4975</v>
      </c>
      <c r="J423" s="4">
        <v>46064</v>
      </c>
      <c r="K423" s="1" t="s">
        <v>1122</v>
      </c>
    </row>
    <row r="424" spans="1:11" x14ac:dyDescent="0.35">
      <c r="A424" s="1" t="s">
        <v>1013</v>
      </c>
      <c r="B424" s="1" t="s">
        <v>1095</v>
      </c>
      <c r="C424" s="1" t="s">
        <v>1096</v>
      </c>
      <c r="D424" s="1" t="str">
        <f>"6115"</f>
        <v>6115</v>
      </c>
      <c r="E424" s="1" t="str">
        <f>"012747387"</f>
        <v>012747387</v>
      </c>
      <c r="F424" s="1" t="s">
        <v>383</v>
      </c>
      <c r="G424" s="1" t="s">
        <v>15</v>
      </c>
      <c r="H424" s="1" t="str">
        <f t="shared" si="20"/>
        <v>1</v>
      </c>
      <c r="I424" s="3">
        <v>12797.7</v>
      </c>
      <c r="J424" s="4">
        <v>46065</v>
      </c>
      <c r="K424" s="1" t="s">
        <v>1097</v>
      </c>
    </row>
    <row r="425" spans="1:11" x14ac:dyDescent="0.35">
      <c r="A425" s="1" t="s">
        <v>1013</v>
      </c>
      <c r="B425" s="1" t="s">
        <v>1095</v>
      </c>
      <c r="C425" s="1" t="s">
        <v>1098</v>
      </c>
      <c r="D425" s="1" t="str">
        <f>"6115"</f>
        <v>6115</v>
      </c>
      <c r="E425" s="1" t="str">
        <f>"012755061"</f>
        <v>012755061</v>
      </c>
      <c r="F425" s="1" t="s">
        <v>383</v>
      </c>
      <c r="G425" s="1" t="s">
        <v>15</v>
      </c>
      <c r="H425" s="1" t="str">
        <f t="shared" si="20"/>
        <v>1</v>
      </c>
      <c r="I425" s="3" t="str">
        <f>"10700"</f>
        <v>10700</v>
      </c>
      <c r="J425" s="4">
        <v>46065</v>
      </c>
      <c r="K425" s="1" t="s">
        <v>1099</v>
      </c>
    </row>
    <row r="426" spans="1:11" x14ac:dyDescent="0.35">
      <c r="A426" s="1" t="s">
        <v>1013</v>
      </c>
      <c r="B426" s="1" t="s">
        <v>1100</v>
      </c>
      <c r="C426" s="1" t="s">
        <v>1123</v>
      </c>
      <c r="D426" s="1" t="str">
        <f>"8145"</f>
        <v>8145</v>
      </c>
      <c r="E426" s="1" t="str">
        <f>"014423336"</f>
        <v>014423336</v>
      </c>
      <c r="F426" s="1" t="s">
        <v>753</v>
      </c>
      <c r="G426" s="1" t="s">
        <v>15</v>
      </c>
      <c r="H426" s="1" t="str">
        <f t="shared" si="20"/>
        <v>1</v>
      </c>
      <c r="I426" s="3" t="str">
        <f>"4975"</f>
        <v>4975</v>
      </c>
      <c r="J426" s="4">
        <v>46066</v>
      </c>
      <c r="K426" s="1" t="s">
        <v>1122</v>
      </c>
    </row>
    <row r="427" spans="1:11" x14ac:dyDescent="0.35">
      <c r="A427" s="1" t="s">
        <v>1013</v>
      </c>
      <c r="B427" s="1" t="s">
        <v>1100</v>
      </c>
      <c r="C427" s="1" t="s">
        <v>1107</v>
      </c>
      <c r="D427" s="1" t="str">
        <f>"7110"</f>
        <v>7110</v>
      </c>
      <c r="E427" s="1" t="s">
        <v>1108</v>
      </c>
      <c r="F427" s="1" t="s">
        <v>1109</v>
      </c>
      <c r="G427" s="1" t="s">
        <v>15</v>
      </c>
      <c r="H427" s="1" t="str">
        <f t="shared" si="20"/>
        <v>1</v>
      </c>
      <c r="I427" s="3">
        <v>1219.8900000000001</v>
      </c>
      <c r="J427" s="4">
        <v>46070</v>
      </c>
      <c r="K427" s="1" t="s">
        <v>1110</v>
      </c>
    </row>
    <row r="428" spans="1:11" x14ac:dyDescent="0.35">
      <c r="A428" s="1" t="s">
        <v>1013</v>
      </c>
      <c r="B428" s="1" t="s">
        <v>1069</v>
      </c>
      <c r="C428" s="1" t="s">
        <v>1070</v>
      </c>
      <c r="D428" s="1" t="str">
        <f>"2340"</f>
        <v>2340</v>
      </c>
      <c r="E428" s="1" t="s">
        <v>1071</v>
      </c>
      <c r="F428" s="1" t="s">
        <v>1072</v>
      </c>
      <c r="G428" s="1" t="s">
        <v>15</v>
      </c>
      <c r="H428" s="1" t="str">
        <f t="shared" si="20"/>
        <v>1</v>
      </c>
      <c r="I428" s="3" t="str">
        <f>"20000"</f>
        <v>20000</v>
      </c>
      <c r="J428" s="4">
        <v>46072</v>
      </c>
      <c r="K428" s="1" t="s">
        <v>1073</v>
      </c>
    </row>
    <row r="429" spans="1:11" x14ac:dyDescent="0.35">
      <c r="A429" s="1" t="s">
        <v>1013</v>
      </c>
      <c r="B429" s="1" t="s">
        <v>1100</v>
      </c>
      <c r="C429" s="1" t="s">
        <v>1121</v>
      </c>
      <c r="D429" s="1" t="str">
        <f>"8145"</f>
        <v>8145</v>
      </c>
      <c r="E429" s="1" t="str">
        <f>"014423336"</f>
        <v>014423336</v>
      </c>
      <c r="F429" s="1" t="s">
        <v>753</v>
      </c>
      <c r="G429" s="1" t="s">
        <v>15</v>
      </c>
      <c r="H429" s="1" t="str">
        <f t="shared" si="20"/>
        <v>1</v>
      </c>
      <c r="I429" s="3" t="str">
        <f>"4975"</f>
        <v>4975</v>
      </c>
      <c r="J429" s="4">
        <v>46072</v>
      </c>
      <c r="K429" s="1" t="s">
        <v>1122</v>
      </c>
    </row>
    <row r="430" spans="1:11" x14ac:dyDescent="0.35">
      <c r="A430" s="1" t="s">
        <v>1013</v>
      </c>
      <c r="B430" s="1" t="s">
        <v>1014</v>
      </c>
      <c r="C430" s="1" t="s">
        <v>1015</v>
      </c>
      <c r="D430" s="1" t="str">
        <f>"2320"</f>
        <v>2320</v>
      </c>
      <c r="E430" s="1" t="s">
        <v>1016</v>
      </c>
      <c r="F430" s="1" t="s">
        <v>1017</v>
      </c>
      <c r="G430" s="1" t="s">
        <v>15</v>
      </c>
      <c r="H430" s="1" t="str">
        <f t="shared" si="20"/>
        <v>1</v>
      </c>
      <c r="I430" s="3">
        <v>20917.099999999999</v>
      </c>
      <c r="J430" s="4">
        <v>46078</v>
      </c>
      <c r="K430" s="1" t="s">
        <v>1018</v>
      </c>
    </row>
    <row r="431" spans="1:11" x14ac:dyDescent="0.35">
      <c r="A431" s="1" t="s">
        <v>1013</v>
      </c>
      <c r="B431" s="1" t="s">
        <v>1027</v>
      </c>
      <c r="C431" s="1" t="s">
        <v>1031</v>
      </c>
      <c r="D431" s="1" t="str">
        <f>"5855"</f>
        <v>5855</v>
      </c>
      <c r="E431" s="1" t="str">
        <f>"014441233"</f>
        <v>014441233</v>
      </c>
      <c r="F431" s="1" t="s">
        <v>1032</v>
      </c>
      <c r="G431" s="1" t="s">
        <v>15</v>
      </c>
      <c r="H431" s="1" t="str">
        <f>"6"</f>
        <v>6</v>
      </c>
      <c r="I431" s="3" t="str">
        <f>"219"</f>
        <v>219</v>
      </c>
      <c r="J431" s="4">
        <v>46085</v>
      </c>
      <c r="K431" s="1" t="s">
        <v>1033</v>
      </c>
    </row>
    <row r="432" spans="1:11" x14ac:dyDescent="0.35">
      <c r="A432" s="1" t="s">
        <v>1013</v>
      </c>
      <c r="B432" s="1" t="s">
        <v>1050</v>
      </c>
      <c r="C432" s="5" t="s">
        <v>1051</v>
      </c>
      <c r="D432" s="1" t="str">
        <f>"3590"</f>
        <v>3590</v>
      </c>
      <c r="E432" s="1" t="s">
        <v>1052</v>
      </c>
      <c r="F432" s="1" t="s">
        <v>1053</v>
      </c>
      <c r="G432" s="1" t="s">
        <v>15</v>
      </c>
      <c r="H432" s="1" t="str">
        <f t="shared" ref="H432:H440" si="21">"1"</f>
        <v>1</v>
      </c>
      <c r="I432" s="3" t="str">
        <f>"20000"</f>
        <v>20000</v>
      </c>
      <c r="J432" s="4">
        <v>46090</v>
      </c>
      <c r="K432" s="1" t="s">
        <v>4487</v>
      </c>
    </row>
    <row r="433" spans="1:11" x14ac:dyDescent="0.35">
      <c r="A433" s="1" t="s">
        <v>1013</v>
      </c>
      <c r="B433" s="1" t="s">
        <v>1027</v>
      </c>
      <c r="C433" s="1" t="s">
        <v>1028</v>
      </c>
      <c r="D433" s="1" t="str">
        <f>"2320"</f>
        <v>2320</v>
      </c>
      <c r="E433" s="1" t="str">
        <f>"012395371"</f>
        <v>012395371</v>
      </c>
      <c r="F433" s="1" t="s">
        <v>1029</v>
      </c>
      <c r="G433" s="1" t="s">
        <v>15</v>
      </c>
      <c r="H433" s="1" t="str">
        <f t="shared" si="21"/>
        <v>1</v>
      </c>
      <c r="I433" s="3">
        <v>94124.96</v>
      </c>
      <c r="J433" s="4">
        <v>46091</v>
      </c>
      <c r="K433" s="1" t="s">
        <v>1030</v>
      </c>
    </row>
    <row r="434" spans="1:11" x14ac:dyDescent="0.35">
      <c r="A434" s="1" t="s">
        <v>1013</v>
      </c>
      <c r="B434" s="1" t="s">
        <v>1100</v>
      </c>
      <c r="C434" s="1" t="s">
        <v>1104</v>
      </c>
      <c r="D434" s="1" t="str">
        <f>"7110"</f>
        <v>7110</v>
      </c>
      <c r="E434" s="1" t="str">
        <f>"009209342"</f>
        <v>009209342</v>
      </c>
      <c r="F434" s="1" t="s">
        <v>1105</v>
      </c>
      <c r="G434" s="1" t="s">
        <v>15</v>
      </c>
      <c r="H434" s="1" t="str">
        <f t="shared" si="21"/>
        <v>1</v>
      </c>
      <c r="I434" s="3">
        <v>4636.8</v>
      </c>
      <c r="J434" s="4">
        <v>46093</v>
      </c>
      <c r="K434" s="1" t="s">
        <v>1106</v>
      </c>
    </row>
    <row r="435" spans="1:11" x14ac:dyDescent="0.35">
      <c r="A435" s="1" t="s">
        <v>1013</v>
      </c>
      <c r="B435" s="1" t="s">
        <v>1038</v>
      </c>
      <c r="C435" s="1" t="s">
        <v>1039</v>
      </c>
      <c r="D435" s="1" t="str">
        <f>"2330"</f>
        <v>2330</v>
      </c>
      <c r="E435" s="1" t="s">
        <v>104</v>
      </c>
      <c r="F435" s="1" t="s">
        <v>105</v>
      </c>
      <c r="G435" s="1" t="s">
        <v>15</v>
      </c>
      <c r="H435" s="1" t="str">
        <f t="shared" si="21"/>
        <v>1</v>
      </c>
      <c r="I435" s="3" t="str">
        <f>"13000"</f>
        <v>13000</v>
      </c>
      <c r="J435" s="4">
        <v>46111</v>
      </c>
      <c r="K435" s="1" t="s">
        <v>1040</v>
      </c>
    </row>
    <row r="436" spans="1:11" x14ac:dyDescent="0.35">
      <c r="A436" s="1" t="s">
        <v>1013</v>
      </c>
      <c r="B436" s="1" t="s">
        <v>1100</v>
      </c>
      <c r="C436" s="1" t="s">
        <v>1111</v>
      </c>
      <c r="D436" s="1" t="str">
        <f>"7490"</f>
        <v>7490</v>
      </c>
      <c r="E436" s="1" t="str">
        <f>"013953263"</f>
        <v>013953263</v>
      </c>
      <c r="F436" s="1" t="s">
        <v>1112</v>
      </c>
      <c r="G436" s="1" t="s">
        <v>15</v>
      </c>
      <c r="H436" s="1" t="str">
        <f t="shared" si="21"/>
        <v>1</v>
      </c>
      <c r="I436" s="3">
        <v>7042.09</v>
      </c>
      <c r="J436" s="4">
        <v>46111</v>
      </c>
      <c r="K436" s="1" t="s">
        <v>1113</v>
      </c>
    </row>
    <row r="437" spans="1:11" x14ac:dyDescent="0.35">
      <c r="A437" s="1" t="s">
        <v>1013</v>
      </c>
      <c r="B437" s="1" t="s">
        <v>1100</v>
      </c>
      <c r="C437" s="1" t="s">
        <v>1114</v>
      </c>
      <c r="D437" s="1" t="str">
        <f>"7490"</f>
        <v>7490</v>
      </c>
      <c r="E437" s="1" t="str">
        <f>"013953263"</f>
        <v>013953263</v>
      </c>
      <c r="F437" s="1" t="s">
        <v>1112</v>
      </c>
      <c r="G437" s="1" t="s">
        <v>15</v>
      </c>
      <c r="H437" s="1" t="str">
        <f t="shared" si="21"/>
        <v>1</v>
      </c>
      <c r="I437" s="3">
        <v>7042.09</v>
      </c>
      <c r="J437" s="4">
        <v>46111</v>
      </c>
      <c r="K437" s="1" t="s">
        <v>1113</v>
      </c>
    </row>
    <row r="438" spans="1:11" x14ac:dyDescent="0.35">
      <c r="A438" s="1" t="s">
        <v>1013</v>
      </c>
      <c r="B438" s="1" t="s">
        <v>1034</v>
      </c>
      <c r="C438" s="1" t="s">
        <v>1035</v>
      </c>
      <c r="D438" s="1" t="str">
        <f>"4210"</f>
        <v>4210</v>
      </c>
      <c r="E438" s="1" t="str">
        <f>"015992309"</f>
        <v>015992309</v>
      </c>
      <c r="F438" s="1" t="s">
        <v>1036</v>
      </c>
      <c r="G438" s="1" t="s">
        <v>15</v>
      </c>
      <c r="H438" s="1" t="str">
        <f t="shared" si="21"/>
        <v>1</v>
      </c>
      <c r="I438" s="3" t="str">
        <f>"236650"</f>
        <v>236650</v>
      </c>
      <c r="J438" s="4">
        <v>46112</v>
      </c>
      <c r="K438" s="1" t="s">
        <v>1037</v>
      </c>
    </row>
    <row r="439" spans="1:11" x14ac:dyDescent="0.35">
      <c r="A439" s="1" t="s">
        <v>1129</v>
      </c>
      <c r="B439" s="1" t="s">
        <v>1130</v>
      </c>
      <c r="C439" s="1" t="s">
        <v>1133</v>
      </c>
      <c r="D439" s="1" t="str">
        <f>"2330"</f>
        <v>2330</v>
      </c>
      <c r="E439" s="1" t="s">
        <v>104</v>
      </c>
      <c r="F439" s="1" t="s">
        <v>105</v>
      </c>
      <c r="G439" s="1" t="s">
        <v>15</v>
      </c>
      <c r="H439" s="1" t="str">
        <f t="shared" si="21"/>
        <v>1</v>
      </c>
      <c r="I439" s="3" t="str">
        <f>"2360"</f>
        <v>2360</v>
      </c>
      <c r="J439" s="4">
        <v>46036</v>
      </c>
      <c r="K439" s="1" t="s">
        <v>1134</v>
      </c>
    </row>
    <row r="440" spans="1:11" x14ac:dyDescent="0.35">
      <c r="A440" s="1" t="s">
        <v>1129</v>
      </c>
      <c r="B440" s="1" t="s">
        <v>1130</v>
      </c>
      <c r="C440" s="1" t="s">
        <v>1131</v>
      </c>
      <c r="D440" s="1" t="str">
        <f>"2320"</f>
        <v>2320</v>
      </c>
      <c r="E440" s="1" t="s">
        <v>100</v>
      </c>
      <c r="F440" s="1" t="s">
        <v>101</v>
      </c>
      <c r="G440" s="1" t="s">
        <v>15</v>
      </c>
      <c r="H440" s="1" t="str">
        <f t="shared" si="21"/>
        <v>1</v>
      </c>
      <c r="I440" s="3" t="str">
        <f>"68287"</f>
        <v>68287</v>
      </c>
      <c r="J440" s="4">
        <v>46050</v>
      </c>
      <c r="K440" s="1" t="s">
        <v>1132</v>
      </c>
    </row>
    <row r="441" spans="1:11" x14ac:dyDescent="0.35">
      <c r="A441" s="1" t="s">
        <v>1129</v>
      </c>
      <c r="B441" s="1" t="s">
        <v>1149</v>
      </c>
      <c r="C441" s="1" t="s">
        <v>1172</v>
      </c>
      <c r="D441" s="1" t="str">
        <f>"7021"</f>
        <v>7021</v>
      </c>
      <c r="E441" s="1" t="s">
        <v>1173</v>
      </c>
      <c r="F441" s="1" t="s">
        <v>1174</v>
      </c>
      <c r="G441" s="1" t="s">
        <v>15</v>
      </c>
      <c r="H441" s="1" t="str">
        <f>"10"</f>
        <v>10</v>
      </c>
      <c r="I441" s="3" t="str">
        <f>"1000"</f>
        <v>1000</v>
      </c>
      <c r="J441" s="4">
        <v>46057</v>
      </c>
      <c r="K441" s="1" t="s">
        <v>1175</v>
      </c>
    </row>
    <row r="442" spans="1:11" x14ac:dyDescent="0.35">
      <c r="A442" s="1" t="s">
        <v>1129</v>
      </c>
      <c r="B442" s="1" t="s">
        <v>1149</v>
      </c>
      <c r="C442" s="1" t="s">
        <v>1157</v>
      </c>
      <c r="D442" s="1" t="str">
        <f t="shared" ref="D442:D447" si="22">"2805"</f>
        <v>2805</v>
      </c>
      <c r="E442" s="1" t="str">
        <f>"016279171"</f>
        <v>016279171</v>
      </c>
      <c r="F442" s="1" t="s">
        <v>1158</v>
      </c>
      <c r="G442" s="1" t="s">
        <v>15</v>
      </c>
      <c r="H442" s="1" t="str">
        <f t="shared" ref="H442:H447" si="23">"1"</f>
        <v>1</v>
      </c>
      <c r="I442" s="3">
        <v>10256.290000000001</v>
      </c>
      <c r="J442" s="4">
        <v>46072</v>
      </c>
      <c r="K442" s="1" t="s">
        <v>1159</v>
      </c>
    </row>
    <row r="443" spans="1:11" x14ac:dyDescent="0.35">
      <c r="A443" s="1" t="s">
        <v>1129</v>
      </c>
      <c r="B443" s="1" t="s">
        <v>1149</v>
      </c>
      <c r="C443" s="1" t="s">
        <v>1160</v>
      </c>
      <c r="D443" s="1" t="str">
        <f t="shared" si="22"/>
        <v>2805</v>
      </c>
      <c r="E443" s="1" t="str">
        <f>"016279819"</f>
        <v>016279819</v>
      </c>
      <c r="F443" s="1" t="s">
        <v>1161</v>
      </c>
      <c r="G443" s="1" t="s">
        <v>15</v>
      </c>
      <c r="H443" s="1" t="str">
        <f t="shared" si="23"/>
        <v>1</v>
      </c>
      <c r="I443" s="3">
        <v>14518.47</v>
      </c>
      <c r="J443" s="4">
        <v>46072</v>
      </c>
      <c r="K443" s="1" t="s">
        <v>1159</v>
      </c>
    </row>
    <row r="444" spans="1:11" x14ac:dyDescent="0.35">
      <c r="A444" s="1" t="s">
        <v>1129</v>
      </c>
      <c r="B444" s="1" t="s">
        <v>1149</v>
      </c>
      <c r="C444" s="1" t="s">
        <v>1162</v>
      </c>
      <c r="D444" s="1" t="str">
        <f t="shared" si="22"/>
        <v>2805</v>
      </c>
      <c r="E444" s="1" t="str">
        <f>"016279819"</f>
        <v>016279819</v>
      </c>
      <c r="F444" s="1" t="s">
        <v>1161</v>
      </c>
      <c r="G444" s="1" t="s">
        <v>15</v>
      </c>
      <c r="H444" s="1" t="str">
        <f t="shared" si="23"/>
        <v>1</v>
      </c>
      <c r="I444" s="3">
        <v>14518.47</v>
      </c>
      <c r="J444" s="4">
        <v>46072</v>
      </c>
      <c r="K444" s="1" t="s">
        <v>1159</v>
      </c>
    </row>
    <row r="445" spans="1:11" x14ac:dyDescent="0.35">
      <c r="A445" s="1" t="s">
        <v>1129</v>
      </c>
      <c r="B445" s="1" t="s">
        <v>1149</v>
      </c>
      <c r="C445" s="1" t="s">
        <v>1163</v>
      </c>
      <c r="D445" s="1" t="str">
        <f t="shared" si="22"/>
        <v>2805</v>
      </c>
      <c r="E445" s="1" t="str">
        <f>"016279819"</f>
        <v>016279819</v>
      </c>
      <c r="F445" s="1" t="s">
        <v>1161</v>
      </c>
      <c r="G445" s="1" t="s">
        <v>15</v>
      </c>
      <c r="H445" s="1" t="str">
        <f t="shared" si="23"/>
        <v>1</v>
      </c>
      <c r="I445" s="3">
        <v>14518.47</v>
      </c>
      <c r="J445" s="4">
        <v>46072</v>
      </c>
      <c r="K445" s="1" t="s">
        <v>1159</v>
      </c>
    </row>
    <row r="446" spans="1:11" x14ac:dyDescent="0.35">
      <c r="A446" s="1" t="s">
        <v>1129</v>
      </c>
      <c r="B446" s="1" t="s">
        <v>1149</v>
      </c>
      <c r="C446" s="1" t="s">
        <v>1164</v>
      </c>
      <c r="D446" s="1" t="str">
        <f t="shared" si="22"/>
        <v>2805</v>
      </c>
      <c r="E446" s="1" t="str">
        <f>"016279819"</f>
        <v>016279819</v>
      </c>
      <c r="F446" s="1" t="s">
        <v>1161</v>
      </c>
      <c r="G446" s="1" t="s">
        <v>15</v>
      </c>
      <c r="H446" s="1" t="str">
        <f t="shared" si="23"/>
        <v>1</v>
      </c>
      <c r="I446" s="3">
        <v>14518.47</v>
      </c>
      <c r="J446" s="4">
        <v>46072</v>
      </c>
      <c r="K446" s="1" t="s">
        <v>1159</v>
      </c>
    </row>
    <row r="447" spans="1:11" x14ac:dyDescent="0.35">
      <c r="A447" s="1" t="s">
        <v>1129</v>
      </c>
      <c r="B447" s="1" t="s">
        <v>1149</v>
      </c>
      <c r="C447" s="1" t="s">
        <v>1165</v>
      </c>
      <c r="D447" s="1" t="str">
        <f t="shared" si="22"/>
        <v>2805</v>
      </c>
      <c r="E447" s="1" t="str">
        <f>"016279819"</f>
        <v>016279819</v>
      </c>
      <c r="F447" s="1" t="s">
        <v>1161</v>
      </c>
      <c r="G447" s="1" t="s">
        <v>15</v>
      </c>
      <c r="H447" s="1" t="str">
        <f t="shared" si="23"/>
        <v>1</v>
      </c>
      <c r="I447" s="3">
        <v>14518.47</v>
      </c>
      <c r="J447" s="4">
        <v>46072</v>
      </c>
      <c r="K447" s="1" t="s">
        <v>1159</v>
      </c>
    </row>
    <row r="448" spans="1:11" x14ac:dyDescent="0.35">
      <c r="A448" s="1" t="s">
        <v>1129</v>
      </c>
      <c r="B448" s="1" t="s">
        <v>1149</v>
      </c>
      <c r="C448" s="1" t="s">
        <v>1150</v>
      </c>
      <c r="D448" s="1" t="str">
        <f>"1670"</f>
        <v>1670</v>
      </c>
      <c r="E448" s="1" t="str">
        <f>"010653755"</f>
        <v>010653755</v>
      </c>
      <c r="F448" s="1" t="s">
        <v>1151</v>
      </c>
      <c r="G448" s="1" t="s">
        <v>15</v>
      </c>
      <c r="H448" s="1" t="str">
        <f>"3"</f>
        <v>3</v>
      </c>
      <c r="I448" s="3" t="str">
        <f>"4298"</f>
        <v>4298</v>
      </c>
      <c r="J448" s="4">
        <v>46079</v>
      </c>
      <c r="K448" s="1" t="s">
        <v>1152</v>
      </c>
    </row>
    <row r="449" spans="1:11" x14ac:dyDescent="0.35">
      <c r="A449" s="1" t="s">
        <v>1129</v>
      </c>
      <c r="B449" s="1" t="s">
        <v>1149</v>
      </c>
      <c r="C449" s="1" t="s">
        <v>1153</v>
      </c>
      <c r="D449" s="1" t="str">
        <f>"1670"</f>
        <v>1670</v>
      </c>
      <c r="E449" s="1" t="str">
        <f>"012363820"</f>
        <v>012363820</v>
      </c>
      <c r="F449" s="1" t="s">
        <v>1154</v>
      </c>
      <c r="G449" s="1" t="s">
        <v>15</v>
      </c>
      <c r="H449" s="1" t="str">
        <f>"1"</f>
        <v>1</v>
      </c>
      <c r="I449" s="3">
        <v>1196.9100000000001</v>
      </c>
      <c r="J449" s="4">
        <v>46079</v>
      </c>
      <c r="K449" s="1" t="s">
        <v>1155</v>
      </c>
    </row>
    <row r="450" spans="1:11" x14ac:dyDescent="0.35">
      <c r="A450" s="1" t="s">
        <v>1129</v>
      </c>
      <c r="B450" s="1" t="s">
        <v>1149</v>
      </c>
      <c r="C450" s="1" t="s">
        <v>1156</v>
      </c>
      <c r="D450" s="1" t="str">
        <f>"1670"</f>
        <v>1670</v>
      </c>
      <c r="E450" s="1" t="str">
        <f>"012363820"</f>
        <v>012363820</v>
      </c>
      <c r="F450" s="1" t="s">
        <v>1154</v>
      </c>
      <c r="G450" s="1" t="s">
        <v>15</v>
      </c>
      <c r="H450" s="1" t="str">
        <f>"1"</f>
        <v>1</v>
      </c>
      <c r="I450" s="3">
        <v>1196.9100000000001</v>
      </c>
      <c r="J450" s="4">
        <v>46079</v>
      </c>
      <c r="K450" s="1" t="s">
        <v>1155</v>
      </c>
    </row>
    <row r="451" spans="1:11" x14ac:dyDescent="0.35">
      <c r="A451" s="1" t="s">
        <v>1129</v>
      </c>
      <c r="B451" s="1" t="s">
        <v>1149</v>
      </c>
      <c r="C451" s="1" t="s">
        <v>1166</v>
      </c>
      <c r="D451" s="1" t="str">
        <f>"5180"</f>
        <v>5180</v>
      </c>
      <c r="E451" s="1" t="str">
        <f>"005961474"</f>
        <v>005961474</v>
      </c>
      <c r="F451" s="1" t="s">
        <v>1143</v>
      </c>
      <c r="G451" s="1" t="s">
        <v>168</v>
      </c>
      <c r="H451" s="1" t="str">
        <f>"1"</f>
        <v>1</v>
      </c>
      <c r="I451" s="3" t="str">
        <f>"5688"</f>
        <v>5688</v>
      </c>
      <c r="J451" s="4">
        <v>46079</v>
      </c>
      <c r="K451" s="1" t="s">
        <v>1167</v>
      </c>
    </row>
    <row r="452" spans="1:11" x14ac:dyDescent="0.35">
      <c r="A452" s="1" t="s">
        <v>1129</v>
      </c>
      <c r="B452" s="1" t="s">
        <v>1149</v>
      </c>
      <c r="C452" s="1" t="s">
        <v>1168</v>
      </c>
      <c r="D452" s="1" t="str">
        <f>"6115"</f>
        <v>6115</v>
      </c>
      <c r="E452" s="1" t="str">
        <f>"015301458"</f>
        <v>015301458</v>
      </c>
      <c r="F452" s="1" t="s">
        <v>383</v>
      </c>
      <c r="G452" s="1" t="s">
        <v>15</v>
      </c>
      <c r="H452" s="1" t="str">
        <f>"1"</f>
        <v>1</v>
      </c>
      <c r="I452" s="3" t="str">
        <f>"26334"</f>
        <v>26334</v>
      </c>
      <c r="J452" s="4">
        <v>46079</v>
      </c>
      <c r="K452" s="1" t="s">
        <v>1169</v>
      </c>
    </row>
    <row r="453" spans="1:11" x14ac:dyDescent="0.35">
      <c r="A453" s="1" t="s">
        <v>1129</v>
      </c>
      <c r="B453" s="1" t="s">
        <v>1149</v>
      </c>
      <c r="C453" s="1" t="s">
        <v>1170</v>
      </c>
      <c r="D453" s="1" t="str">
        <f>"6115"</f>
        <v>6115</v>
      </c>
      <c r="E453" s="1" t="str">
        <f>"012747387"</f>
        <v>012747387</v>
      </c>
      <c r="F453" s="1" t="s">
        <v>383</v>
      </c>
      <c r="G453" s="1" t="s">
        <v>15</v>
      </c>
      <c r="H453" s="1" t="str">
        <f>"1"</f>
        <v>1</v>
      </c>
      <c r="I453" s="3">
        <v>12797.7</v>
      </c>
      <c r="J453" s="4">
        <v>46079</v>
      </c>
      <c r="K453" s="1" t="s">
        <v>1171</v>
      </c>
    </row>
    <row r="454" spans="1:11" x14ac:dyDescent="0.35">
      <c r="A454" s="1" t="s">
        <v>1129</v>
      </c>
      <c r="B454" s="1" t="s">
        <v>1130</v>
      </c>
      <c r="C454" s="1" t="s">
        <v>1135</v>
      </c>
      <c r="D454" s="1" t="str">
        <f>"2510"</f>
        <v>2510</v>
      </c>
      <c r="E454" s="1" t="str">
        <f>"013306174"</f>
        <v>013306174</v>
      </c>
      <c r="F454" s="1" t="s">
        <v>1136</v>
      </c>
      <c r="G454" s="1" t="s">
        <v>15</v>
      </c>
      <c r="H454" s="1" t="str">
        <f>"2"</f>
        <v>2</v>
      </c>
      <c r="I454" s="3">
        <v>183.08</v>
      </c>
      <c r="J454" s="4">
        <v>46093</v>
      </c>
      <c r="K454" s="1" t="s">
        <v>1137</v>
      </c>
    </row>
    <row r="455" spans="1:11" x14ac:dyDescent="0.35">
      <c r="A455" s="1" t="s">
        <v>1129</v>
      </c>
      <c r="B455" s="1" t="s">
        <v>1130</v>
      </c>
      <c r="C455" s="1" t="s">
        <v>1138</v>
      </c>
      <c r="D455" s="1" t="str">
        <f>"5140"</f>
        <v>5140</v>
      </c>
      <c r="E455" s="1" t="s">
        <v>364</v>
      </c>
      <c r="F455" s="1" t="s">
        <v>365</v>
      </c>
      <c r="G455" s="1" t="s">
        <v>15</v>
      </c>
      <c r="H455" s="1" t="str">
        <f>"4"</f>
        <v>4</v>
      </c>
      <c r="I455" s="3" t="str">
        <f>"1780"</f>
        <v>1780</v>
      </c>
      <c r="J455" s="4">
        <v>46093</v>
      </c>
      <c r="K455" s="1" t="s">
        <v>1139</v>
      </c>
    </row>
    <row r="456" spans="1:11" x14ac:dyDescent="0.35">
      <c r="A456" s="1" t="s">
        <v>1129</v>
      </c>
      <c r="B456" s="1" t="s">
        <v>1130</v>
      </c>
      <c r="C456" s="1" t="s">
        <v>1140</v>
      </c>
      <c r="D456" s="1" t="str">
        <f>"5180"</f>
        <v>5180</v>
      </c>
      <c r="E456" s="1" t="s">
        <v>268</v>
      </c>
      <c r="F456" s="1" t="s">
        <v>269</v>
      </c>
      <c r="G456" s="1" t="s">
        <v>15</v>
      </c>
      <c r="H456" s="1" t="str">
        <f>"2"</f>
        <v>2</v>
      </c>
      <c r="I456" s="3">
        <v>9999.99</v>
      </c>
      <c r="J456" s="4">
        <v>46093</v>
      </c>
      <c r="K456" s="1" t="s">
        <v>1141</v>
      </c>
    </row>
    <row r="457" spans="1:11" x14ac:dyDescent="0.35">
      <c r="A457" s="1" t="s">
        <v>1129</v>
      </c>
      <c r="B457" s="1" t="s">
        <v>1130</v>
      </c>
      <c r="C457" s="1" t="s">
        <v>1142</v>
      </c>
      <c r="D457" s="1" t="str">
        <f>"5180"</f>
        <v>5180</v>
      </c>
      <c r="E457" s="1" t="str">
        <f>"005961474"</f>
        <v>005961474</v>
      </c>
      <c r="F457" s="1" t="s">
        <v>1143</v>
      </c>
      <c r="G457" s="1" t="s">
        <v>168</v>
      </c>
      <c r="H457" s="1" t="str">
        <f>"4"</f>
        <v>4</v>
      </c>
      <c r="I457" s="3" t="str">
        <f>"5688"</f>
        <v>5688</v>
      </c>
      <c r="J457" s="4">
        <v>46093</v>
      </c>
      <c r="K457" s="1" t="s">
        <v>1144</v>
      </c>
    </row>
    <row r="458" spans="1:11" x14ac:dyDescent="0.35">
      <c r="A458" s="1" t="s">
        <v>1129</v>
      </c>
      <c r="B458" s="1" t="s">
        <v>1145</v>
      </c>
      <c r="C458" s="1" t="s">
        <v>1146</v>
      </c>
      <c r="D458" s="1" t="str">
        <f>"2320"</f>
        <v>2320</v>
      </c>
      <c r="E458" s="1" t="str">
        <f>"013477645"</f>
        <v>013477645</v>
      </c>
      <c r="F458" s="1" t="s">
        <v>1147</v>
      </c>
      <c r="G458" s="1" t="s">
        <v>15</v>
      </c>
      <c r="H458" s="1" t="str">
        <f t="shared" ref="H458:H464" si="24">"1"</f>
        <v>1</v>
      </c>
      <c r="I458" s="3" t="str">
        <f>"350000"</f>
        <v>350000</v>
      </c>
      <c r="J458" s="4">
        <v>46106</v>
      </c>
      <c r="K458" s="1" t="s">
        <v>1148</v>
      </c>
    </row>
    <row r="459" spans="1:11" x14ac:dyDescent="0.35">
      <c r="A459" s="1" t="s">
        <v>1176</v>
      </c>
      <c r="B459" s="1" t="s">
        <v>1220</v>
      </c>
      <c r="C459" s="1" t="s">
        <v>1258</v>
      </c>
      <c r="D459" s="1" t="str">
        <f>"7320"</f>
        <v>7320</v>
      </c>
      <c r="E459" s="1" t="s">
        <v>1259</v>
      </c>
      <c r="F459" s="1" t="s">
        <v>1260</v>
      </c>
      <c r="G459" s="1" t="s">
        <v>15</v>
      </c>
      <c r="H459" s="1" t="str">
        <f t="shared" si="24"/>
        <v>1</v>
      </c>
      <c r="I459" s="3" t="str">
        <f>"30000"</f>
        <v>30000</v>
      </c>
      <c r="J459" s="4">
        <v>46034</v>
      </c>
      <c r="K459" s="1" t="s">
        <v>1261</v>
      </c>
    </row>
    <row r="460" spans="1:11" x14ac:dyDescent="0.35">
      <c r="A460" s="1" t="s">
        <v>1176</v>
      </c>
      <c r="B460" s="1" t="s">
        <v>1267</v>
      </c>
      <c r="C460" s="1" t="s">
        <v>1268</v>
      </c>
      <c r="D460" s="1" t="str">
        <f>"5855"</f>
        <v>5855</v>
      </c>
      <c r="E460" s="1" t="str">
        <f>"015277098"</f>
        <v>015277098</v>
      </c>
      <c r="F460" s="1" t="s">
        <v>614</v>
      </c>
      <c r="G460" s="1" t="s">
        <v>15</v>
      </c>
      <c r="H460" s="1" t="str">
        <f t="shared" si="24"/>
        <v>1</v>
      </c>
      <c r="I460" s="3">
        <v>28.92</v>
      </c>
      <c r="J460" s="4">
        <v>46038</v>
      </c>
      <c r="K460" s="1" t="s">
        <v>1269</v>
      </c>
    </row>
    <row r="461" spans="1:11" x14ac:dyDescent="0.35">
      <c r="A461" s="1" t="s">
        <v>1176</v>
      </c>
      <c r="B461" s="1" t="s">
        <v>1267</v>
      </c>
      <c r="C461" s="1" t="s">
        <v>1270</v>
      </c>
      <c r="D461" s="1" t="str">
        <f>"5855"</f>
        <v>5855</v>
      </c>
      <c r="E461" s="1" t="str">
        <f>"015277098"</f>
        <v>015277098</v>
      </c>
      <c r="F461" s="1" t="s">
        <v>614</v>
      </c>
      <c r="G461" s="1" t="s">
        <v>15</v>
      </c>
      <c r="H461" s="1" t="str">
        <f t="shared" si="24"/>
        <v>1</v>
      </c>
      <c r="I461" s="3">
        <v>28.92</v>
      </c>
      <c r="J461" s="4">
        <v>46038</v>
      </c>
      <c r="K461" s="1" t="s">
        <v>1269</v>
      </c>
    </row>
    <row r="462" spans="1:11" x14ac:dyDescent="0.35">
      <c r="A462" s="1" t="s">
        <v>1176</v>
      </c>
      <c r="B462" s="1" t="s">
        <v>1220</v>
      </c>
      <c r="C462" s="1" t="s">
        <v>1221</v>
      </c>
      <c r="D462" s="1" t="str">
        <f>"3433"</f>
        <v>3433</v>
      </c>
      <c r="E462" s="1" t="s">
        <v>1222</v>
      </c>
      <c r="F462" s="1" t="s">
        <v>1223</v>
      </c>
      <c r="G462" s="1" t="s">
        <v>15</v>
      </c>
      <c r="H462" s="1" t="str">
        <f t="shared" si="24"/>
        <v>1</v>
      </c>
      <c r="I462" s="3">
        <v>2219.13</v>
      </c>
      <c r="J462" s="4">
        <v>46042</v>
      </c>
      <c r="K462" s="1" t="s">
        <v>1224</v>
      </c>
    </row>
    <row r="463" spans="1:11" x14ac:dyDescent="0.35">
      <c r="A463" s="1" t="s">
        <v>1176</v>
      </c>
      <c r="B463" s="1" t="s">
        <v>1213</v>
      </c>
      <c r="C463" s="1" t="s">
        <v>1214</v>
      </c>
      <c r="D463" s="1" t="str">
        <f>"6515"</f>
        <v>6515</v>
      </c>
      <c r="E463" s="1" t="s">
        <v>333</v>
      </c>
      <c r="F463" s="1" t="s">
        <v>334</v>
      </c>
      <c r="G463" s="1" t="s">
        <v>15</v>
      </c>
      <c r="H463" s="1" t="str">
        <f t="shared" si="24"/>
        <v>1</v>
      </c>
      <c r="I463" s="3" t="str">
        <f>"2000"</f>
        <v>2000</v>
      </c>
      <c r="J463" s="4">
        <v>46044</v>
      </c>
      <c r="K463" s="1" t="s">
        <v>1215</v>
      </c>
    </row>
    <row r="464" spans="1:11" x14ac:dyDescent="0.35">
      <c r="A464" s="1" t="s">
        <v>1176</v>
      </c>
      <c r="B464" s="1" t="s">
        <v>1271</v>
      </c>
      <c r="C464" s="1" t="s">
        <v>1277</v>
      </c>
      <c r="D464" s="1" t="str">
        <f>"2360"</f>
        <v>2360</v>
      </c>
      <c r="E464" s="1" t="str">
        <f>"016631022"</f>
        <v>016631022</v>
      </c>
      <c r="F464" s="1" t="s">
        <v>1275</v>
      </c>
      <c r="G464" s="1" t="s">
        <v>15</v>
      </c>
      <c r="H464" s="1" t="str">
        <f t="shared" si="24"/>
        <v>1</v>
      </c>
      <c r="I464" s="3">
        <v>53375.13</v>
      </c>
      <c r="J464" s="4">
        <v>46044</v>
      </c>
      <c r="K464" s="1" t="s">
        <v>1278</v>
      </c>
    </row>
    <row r="465" spans="1:11" x14ac:dyDescent="0.35">
      <c r="A465" s="1" t="s">
        <v>1176</v>
      </c>
      <c r="B465" s="1" t="s">
        <v>1220</v>
      </c>
      <c r="C465" s="1" t="s">
        <v>1256</v>
      </c>
      <c r="D465" s="1" t="str">
        <f>"6670"</f>
        <v>6670</v>
      </c>
      <c r="E465" s="1" t="s">
        <v>1060</v>
      </c>
      <c r="F465" s="1" t="s">
        <v>1061</v>
      </c>
      <c r="G465" s="1" t="s">
        <v>15</v>
      </c>
      <c r="H465" s="1" t="str">
        <f>"2"</f>
        <v>2</v>
      </c>
      <c r="I465" s="3">
        <v>7642.41</v>
      </c>
      <c r="J465" s="4">
        <v>46055</v>
      </c>
      <c r="K465" s="1" t="s">
        <v>1257</v>
      </c>
    </row>
    <row r="466" spans="1:11" x14ac:dyDescent="0.35">
      <c r="A466" s="1" t="s">
        <v>1176</v>
      </c>
      <c r="B466" s="1" t="s">
        <v>1216</v>
      </c>
      <c r="C466" s="1" t="s">
        <v>1217</v>
      </c>
      <c r="D466" s="1" t="str">
        <f>"6115"</f>
        <v>6115</v>
      </c>
      <c r="E466" s="1" t="str">
        <f>"014743776"</f>
        <v>014743776</v>
      </c>
      <c r="F466" s="1" t="s">
        <v>1218</v>
      </c>
      <c r="G466" s="1" t="s">
        <v>15</v>
      </c>
      <c r="H466" s="1" t="str">
        <f t="shared" ref="H466:H480" si="25">"1"</f>
        <v>1</v>
      </c>
      <c r="I466" s="3" t="str">
        <f>"96819"</f>
        <v>96819</v>
      </c>
      <c r="J466" s="4">
        <v>46057</v>
      </c>
      <c r="K466" s="1" t="s">
        <v>1219</v>
      </c>
    </row>
    <row r="467" spans="1:11" x14ac:dyDescent="0.35">
      <c r="A467" s="1" t="s">
        <v>1176</v>
      </c>
      <c r="B467" s="1" t="s">
        <v>1186</v>
      </c>
      <c r="C467" s="1" t="s">
        <v>1187</v>
      </c>
      <c r="D467" s="1" t="str">
        <f>"5855"</f>
        <v>5855</v>
      </c>
      <c r="E467" s="1" t="str">
        <f>"014587524"</f>
        <v>014587524</v>
      </c>
      <c r="F467" s="1" t="s">
        <v>1188</v>
      </c>
      <c r="G467" s="1" t="s">
        <v>15</v>
      </c>
      <c r="H467" s="1" t="str">
        <f t="shared" si="25"/>
        <v>1</v>
      </c>
      <c r="I467" s="3" t="str">
        <f>"3500"</f>
        <v>3500</v>
      </c>
      <c r="J467" s="4">
        <v>46065</v>
      </c>
      <c r="K467" s="1" t="s">
        <v>1189</v>
      </c>
    </row>
    <row r="468" spans="1:11" x14ac:dyDescent="0.35">
      <c r="A468" s="1" t="s">
        <v>1176</v>
      </c>
      <c r="B468" s="1" t="s">
        <v>1177</v>
      </c>
      <c r="C468" s="1" t="s">
        <v>1178</v>
      </c>
      <c r="D468" s="1" t="str">
        <f>"6115"</f>
        <v>6115</v>
      </c>
      <c r="E468" s="1" t="str">
        <f>"013199032"</f>
        <v>013199032</v>
      </c>
      <c r="F468" s="1" t="s">
        <v>1179</v>
      </c>
      <c r="G468" s="1" t="s">
        <v>15</v>
      </c>
      <c r="H468" s="1" t="str">
        <f t="shared" si="25"/>
        <v>1</v>
      </c>
      <c r="I468" s="3" t="str">
        <f>"17730"</f>
        <v>17730</v>
      </c>
      <c r="J468" s="4">
        <v>46071</v>
      </c>
      <c r="K468" s="1" t="s">
        <v>1180</v>
      </c>
    </row>
    <row r="469" spans="1:11" x14ac:dyDescent="0.35">
      <c r="A469" s="1" t="s">
        <v>1176</v>
      </c>
      <c r="B469" s="1" t="s">
        <v>1177</v>
      </c>
      <c r="C469" s="1" t="s">
        <v>1181</v>
      </c>
      <c r="D469" s="1" t="str">
        <f>"6115"</f>
        <v>6115</v>
      </c>
      <c r="E469" s="1" t="str">
        <f>"013199032"</f>
        <v>013199032</v>
      </c>
      <c r="F469" s="1" t="s">
        <v>1179</v>
      </c>
      <c r="G469" s="1" t="s">
        <v>15</v>
      </c>
      <c r="H469" s="1" t="str">
        <f t="shared" si="25"/>
        <v>1</v>
      </c>
      <c r="I469" s="3" t="str">
        <f>"17730"</f>
        <v>17730</v>
      </c>
      <c r="J469" s="4">
        <v>46071</v>
      </c>
      <c r="K469" s="1" t="s">
        <v>1180</v>
      </c>
    </row>
    <row r="470" spans="1:11" x14ac:dyDescent="0.35">
      <c r="A470" s="1" t="s">
        <v>1176</v>
      </c>
      <c r="B470" s="1" t="s">
        <v>1271</v>
      </c>
      <c r="C470" s="1" t="s">
        <v>1272</v>
      </c>
      <c r="D470" s="1" t="str">
        <f>"1240"</f>
        <v>1240</v>
      </c>
      <c r="E470" s="1" t="str">
        <f>"014111265"</f>
        <v>014111265</v>
      </c>
      <c r="F470" s="1" t="s">
        <v>71</v>
      </c>
      <c r="G470" s="1" t="s">
        <v>15</v>
      </c>
      <c r="H470" s="1" t="str">
        <f t="shared" si="25"/>
        <v>1</v>
      </c>
      <c r="I470" s="3" t="str">
        <f>"339"</f>
        <v>339</v>
      </c>
      <c r="J470" s="4">
        <v>46079</v>
      </c>
      <c r="K470" s="1" t="s">
        <v>1273</v>
      </c>
    </row>
    <row r="471" spans="1:11" x14ac:dyDescent="0.35">
      <c r="A471" s="1" t="s">
        <v>1176</v>
      </c>
      <c r="B471" s="1" t="s">
        <v>1220</v>
      </c>
      <c r="C471" s="5" t="s">
        <v>1262</v>
      </c>
      <c r="D471" s="1" t="str">
        <f>"7320"</f>
        <v>7320</v>
      </c>
      <c r="E471" s="1" t="str">
        <f>"016212220"</f>
        <v>016212220</v>
      </c>
      <c r="F471" s="1" t="s">
        <v>1263</v>
      </c>
      <c r="G471" s="1" t="s">
        <v>15</v>
      </c>
      <c r="H471" s="1" t="str">
        <f t="shared" si="25"/>
        <v>1</v>
      </c>
      <c r="I471" s="3">
        <v>8302.1299999999992</v>
      </c>
      <c r="J471" s="4">
        <v>46082</v>
      </c>
      <c r="K471" s="1" t="s">
        <v>4487</v>
      </c>
    </row>
    <row r="472" spans="1:11" x14ac:dyDescent="0.35">
      <c r="A472" s="1" t="s">
        <v>1176</v>
      </c>
      <c r="B472" s="1" t="s">
        <v>1220</v>
      </c>
      <c r="C472" s="1" t="s">
        <v>1228</v>
      </c>
      <c r="D472" s="1" t="str">
        <f>"6130"</f>
        <v>6130</v>
      </c>
      <c r="E472" s="1" t="str">
        <f>"014402712"</f>
        <v>014402712</v>
      </c>
      <c r="F472" s="1" t="s">
        <v>1229</v>
      </c>
      <c r="G472" s="1" t="s">
        <v>15</v>
      </c>
      <c r="H472" s="1" t="str">
        <f t="shared" si="25"/>
        <v>1</v>
      </c>
      <c r="I472" s="3">
        <v>11104.38</v>
      </c>
      <c r="J472" s="4">
        <v>46082</v>
      </c>
      <c r="K472" s="1" t="s">
        <v>1230</v>
      </c>
    </row>
    <row r="473" spans="1:11" x14ac:dyDescent="0.35">
      <c r="A473" s="1" t="s">
        <v>1176</v>
      </c>
      <c r="B473" s="1" t="s">
        <v>1220</v>
      </c>
      <c r="C473" s="1" t="s">
        <v>1231</v>
      </c>
      <c r="D473" s="1" t="str">
        <f>"6515"</f>
        <v>6515</v>
      </c>
      <c r="E473" s="1" t="str">
        <f>"016542994"</f>
        <v>016542994</v>
      </c>
      <c r="F473" s="1" t="s">
        <v>301</v>
      </c>
      <c r="G473" s="1" t="s">
        <v>15</v>
      </c>
      <c r="H473" s="1" t="str">
        <f t="shared" si="25"/>
        <v>1</v>
      </c>
      <c r="I473" s="3">
        <v>383.33</v>
      </c>
      <c r="J473" s="4">
        <v>46082</v>
      </c>
      <c r="K473" s="1" t="s">
        <v>1232</v>
      </c>
    </row>
    <row r="474" spans="1:11" x14ac:dyDescent="0.35">
      <c r="A474" s="1" t="s">
        <v>1176</v>
      </c>
      <c r="B474" s="1" t="s">
        <v>1220</v>
      </c>
      <c r="C474" s="1" t="s">
        <v>1233</v>
      </c>
      <c r="D474" s="1" t="str">
        <f>"6515"</f>
        <v>6515</v>
      </c>
      <c r="E474" s="1" t="str">
        <f>"016542994"</f>
        <v>016542994</v>
      </c>
      <c r="F474" s="1" t="s">
        <v>301</v>
      </c>
      <c r="G474" s="1" t="s">
        <v>15</v>
      </c>
      <c r="H474" s="1" t="str">
        <f t="shared" si="25"/>
        <v>1</v>
      </c>
      <c r="I474" s="3">
        <v>383.33</v>
      </c>
      <c r="J474" s="4">
        <v>46082</v>
      </c>
      <c r="K474" s="1" t="s">
        <v>1234</v>
      </c>
    </row>
    <row r="475" spans="1:11" x14ac:dyDescent="0.35">
      <c r="A475" s="1" t="s">
        <v>1176</v>
      </c>
      <c r="B475" s="1" t="s">
        <v>1220</v>
      </c>
      <c r="C475" s="1" t="s">
        <v>1235</v>
      </c>
      <c r="D475" s="1" t="str">
        <f>"6515"</f>
        <v>6515</v>
      </c>
      <c r="E475" s="1" t="str">
        <f>"016542994"</f>
        <v>016542994</v>
      </c>
      <c r="F475" s="1" t="s">
        <v>301</v>
      </c>
      <c r="G475" s="1" t="s">
        <v>15</v>
      </c>
      <c r="H475" s="1" t="str">
        <f t="shared" si="25"/>
        <v>1</v>
      </c>
      <c r="I475" s="3">
        <v>383.33</v>
      </c>
      <c r="J475" s="4">
        <v>46082</v>
      </c>
      <c r="K475" s="1" t="s">
        <v>1232</v>
      </c>
    </row>
    <row r="476" spans="1:11" x14ac:dyDescent="0.35">
      <c r="A476" s="1" t="s">
        <v>1176</v>
      </c>
      <c r="B476" s="1" t="s">
        <v>1220</v>
      </c>
      <c r="C476" s="1" t="s">
        <v>1249</v>
      </c>
      <c r="D476" s="1" t="str">
        <f>"6640"</f>
        <v>6640</v>
      </c>
      <c r="E476" s="1" t="str">
        <f>"015428932"</f>
        <v>015428932</v>
      </c>
      <c r="F476" s="1" t="s">
        <v>1250</v>
      </c>
      <c r="G476" s="1" t="s">
        <v>15</v>
      </c>
      <c r="H476" s="1" t="str">
        <f t="shared" si="25"/>
        <v>1</v>
      </c>
      <c r="I476" s="3">
        <v>2752.51</v>
      </c>
      <c r="J476" s="4">
        <v>46082</v>
      </c>
      <c r="K476" s="1" t="s">
        <v>1251</v>
      </c>
    </row>
    <row r="477" spans="1:11" x14ac:dyDescent="0.35">
      <c r="A477" s="1" t="s">
        <v>1176</v>
      </c>
      <c r="B477" s="1" t="s">
        <v>1220</v>
      </c>
      <c r="C477" s="1" t="s">
        <v>1252</v>
      </c>
      <c r="D477" s="1" t="str">
        <f>"6640"</f>
        <v>6640</v>
      </c>
      <c r="E477" s="1" t="str">
        <f>"015428932"</f>
        <v>015428932</v>
      </c>
      <c r="F477" s="1" t="s">
        <v>1250</v>
      </c>
      <c r="G477" s="1" t="s">
        <v>15</v>
      </c>
      <c r="H477" s="1" t="str">
        <f t="shared" si="25"/>
        <v>1</v>
      </c>
      <c r="I477" s="3">
        <v>2752.51</v>
      </c>
      <c r="J477" s="4">
        <v>46082</v>
      </c>
      <c r="K477" s="1" t="s">
        <v>1251</v>
      </c>
    </row>
    <row r="478" spans="1:11" x14ac:dyDescent="0.35">
      <c r="A478" s="1" t="s">
        <v>1176</v>
      </c>
      <c r="B478" s="1" t="s">
        <v>1220</v>
      </c>
      <c r="C478" s="1" t="s">
        <v>1253</v>
      </c>
      <c r="D478" s="1" t="str">
        <f>"6665"</f>
        <v>6665</v>
      </c>
      <c r="E478" s="1" t="str">
        <f>"017158103"</f>
        <v>017158103</v>
      </c>
      <c r="F478" s="1" t="s">
        <v>1254</v>
      </c>
      <c r="G478" s="1" t="s">
        <v>15</v>
      </c>
      <c r="H478" s="1" t="str">
        <f t="shared" si="25"/>
        <v>1</v>
      </c>
      <c r="I478" s="3">
        <v>7115.8</v>
      </c>
      <c r="J478" s="4">
        <v>46082</v>
      </c>
      <c r="K478" s="1" t="s">
        <v>1255</v>
      </c>
    </row>
    <row r="479" spans="1:11" x14ac:dyDescent="0.35">
      <c r="A479" s="1" t="s">
        <v>1176</v>
      </c>
      <c r="B479" s="1" t="s">
        <v>1271</v>
      </c>
      <c r="C479" s="1" t="s">
        <v>1274</v>
      </c>
      <c r="D479" s="1" t="str">
        <f>"2360"</f>
        <v>2360</v>
      </c>
      <c r="E479" s="1" t="str">
        <f>"016631082"</f>
        <v>016631082</v>
      </c>
      <c r="F479" s="1" t="s">
        <v>1275</v>
      </c>
      <c r="G479" s="1" t="s">
        <v>15</v>
      </c>
      <c r="H479" s="1" t="str">
        <f t="shared" si="25"/>
        <v>1</v>
      </c>
      <c r="I479" s="3" t="str">
        <f>"77060"</f>
        <v>77060</v>
      </c>
      <c r="J479" s="4">
        <v>46085</v>
      </c>
      <c r="K479" s="1" t="s">
        <v>1276</v>
      </c>
    </row>
    <row r="480" spans="1:11" x14ac:dyDescent="0.35">
      <c r="A480" s="1" t="s">
        <v>1176</v>
      </c>
      <c r="B480" s="1" t="s">
        <v>1271</v>
      </c>
      <c r="C480" s="1" t="s">
        <v>1282</v>
      </c>
      <c r="D480" s="1" t="str">
        <f>"6130"</f>
        <v>6130</v>
      </c>
      <c r="E480" s="1" t="str">
        <f>"014430970"</f>
        <v>014430970</v>
      </c>
      <c r="F480" s="1" t="s">
        <v>882</v>
      </c>
      <c r="G480" s="1" t="s">
        <v>15</v>
      </c>
      <c r="H480" s="1" t="str">
        <f t="shared" si="25"/>
        <v>1</v>
      </c>
      <c r="I480" s="3" t="str">
        <f>"4393"</f>
        <v>4393</v>
      </c>
      <c r="J480" s="4">
        <v>46085</v>
      </c>
      <c r="K480" s="1" t="s">
        <v>1283</v>
      </c>
    </row>
    <row r="481" spans="1:11" x14ac:dyDescent="0.35">
      <c r="A481" s="1" t="s">
        <v>1176</v>
      </c>
      <c r="B481" s="1" t="s">
        <v>1271</v>
      </c>
      <c r="C481" s="1" t="s">
        <v>1279</v>
      </c>
      <c r="D481" s="1" t="str">
        <f>"5855"</f>
        <v>5855</v>
      </c>
      <c r="E481" s="1" t="str">
        <f>"015387994"</f>
        <v>015387994</v>
      </c>
      <c r="F481" s="1" t="s">
        <v>1280</v>
      </c>
      <c r="G481" s="1" t="s">
        <v>15</v>
      </c>
      <c r="H481" s="1" t="str">
        <f>"3"</f>
        <v>3</v>
      </c>
      <c r="I481" s="3">
        <v>18742.830000000002</v>
      </c>
      <c r="J481" s="4">
        <v>46087</v>
      </c>
      <c r="K481" s="1" t="s">
        <v>1281</v>
      </c>
    </row>
    <row r="482" spans="1:11" x14ac:dyDescent="0.35">
      <c r="A482" s="1" t="s">
        <v>1176</v>
      </c>
      <c r="B482" s="1" t="s">
        <v>1190</v>
      </c>
      <c r="C482" s="1" t="s">
        <v>1191</v>
      </c>
      <c r="D482" s="1" t="str">
        <f>"5975"</f>
        <v>5975</v>
      </c>
      <c r="E482" s="1" t="s">
        <v>1192</v>
      </c>
      <c r="F482" s="1" t="s">
        <v>1193</v>
      </c>
      <c r="G482" s="1" t="s">
        <v>15</v>
      </c>
      <c r="H482" s="1" t="str">
        <f>"1"</f>
        <v>1</v>
      </c>
      <c r="I482" s="3" t="str">
        <f>"500"</f>
        <v>500</v>
      </c>
      <c r="J482" s="4">
        <v>46093</v>
      </c>
      <c r="K482" s="1" t="s">
        <v>1194</v>
      </c>
    </row>
    <row r="483" spans="1:11" x14ac:dyDescent="0.35">
      <c r="A483" s="1" t="s">
        <v>1176</v>
      </c>
      <c r="B483" s="1" t="s">
        <v>1190</v>
      </c>
      <c r="C483" s="1" t="s">
        <v>1206</v>
      </c>
      <c r="D483" s="1" t="str">
        <f>"7035"</f>
        <v>7035</v>
      </c>
      <c r="E483" s="1" t="s">
        <v>1207</v>
      </c>
      <c r="F483" s="1" t="s">
        <v>1208</v>
      </c>
      <c r="G483" s="1" t="s">
        <v>15</v>
      </c>
      <c r="H483" s="1" t="str">
        <f>"1"</f>
        <v>1</v>
      </c>
      <c r="I483" s="3" t="str">
        <f>"300"</f>
        <v>300</v>
      </c>
      <c r="J483" s="4">
        <v>46093</v>
      </c>
      <c r="K483" s="1" t="s">
        <v>1209</v>
      </c>
    </row>
    <row r="484" spans="1:11" x14ac:dyDescent="0.35">
      <c r="A484" s="1" t="s">
        <v>1176</v>
      </c>
      <c r="B484" s="1" t="s">
        <v>1182</v>
      </c>
      <c r="C484" s="1" t="s">
        <v>1183</v>
      </c>
      <c r="D484" s="1" t="str">
        <f>"5855"</f>
        <v>5855</v>
      </c>
      <c r="E484" s="1" t="str">
        <f>"015666748"</f>
        <v>015666748</v>
      </c>
      <c r="F484" s="1" t="s">
        <v>1184</v>
      </c>
      <c r="G484" s="1" t="s">
        <v>15</v>
      </c>
      <c r="H484" s="1" t="str">
        <f>"75"</f>
        <v>75</v>
      </c>
      <c r="I484" s="3">
        <v>128.41999999999999</v>
      </c>
      <c r="J484" s="4">
        <v>46094</v>
      </c>
      <c r="K484" s="1" t="s">
        <v>1185</v>
      </c>
    </row>
    <row r="485" spans="1:11" x14ac:dyDescent="0.35">
      <c r="A485" s="1" t="s">
        <v>1176</v>
      </c>
      <c r="B485" s="1" t="s">
        <v>1220</v>
      </c>
      <c r="C485" s="1" t="s">
        <v>1225</v>
      </c>
      <c r="D485" s="1" t="str">
        <f>"4940"</f>
        <v>4940</v>
      </c>
      <c r="E485" s="1" t="str">
        <f>"013619720"</f>
        <v>013619720</v>
      </c>
      <c r="F485" s="1" t="s">
        <v>1226</v>
      </c>
      <c r="G485" s="1" t="s">
        <v>15</v>
      </c>
      <c r="H485" s="1" t="str">
        <f>"1"</f>
        <v>1</v>
      </c>
      <c r="I485" s="3" t="str">
        <f>"137000"</f>
        <v>137000</v>
      </c>
      <c r="J485" s="4">
        <v>46098</v>
      </c>
      <c r="K485" s="1" t="s">
        <v>1227</v>
      </c>
    </row>
    <row r="486" spans="1:11" x14ac:dyDescent="0.35">
      <c r="A486" s="1" t="s">
        <v>1176</v>
      </c>
      <c r="B486" s="1" t="s">
        <v>1220</v>
      </c>
      <c r="C486" s="1" t="s">
        <v>1236</v>
      </c>
      <c r="D486" s="1" t="str">
        <f>"6515"</f>
        <v>6515</v>
      </c>
      <c r="E486" s="1" t="str">
        <f>"016092004"</f>
        <v>016092004</v>
      </c>
      <c r="F486" s="1" t="s">
        <v>628</v>
      </c>
      <c r="G486" s="1" t="s">
        <v>15</v>
      </c>
      <c r="H486" s="1" t="str">
        <f>"1"</f>
        <v>1</v>
      </c>
      <c r="I486" s="3">
        <v>4998.93</v>
      </c>
      <c r="J486" s="4">
        <v>46099</v>
      </c>
      <c r="K486" s="1" t="s">
        <v>1237</v>
      </c>
    </row>
    <row r="487" spans="1:11" x14ac:dyDescent="0.35">
      <c r="A487" s="1" t="s">
        <v>1176</v>
      </c>
      <c r="B487" s="1" t="s">
        <v>1220</v>
      </c>
      <c r="C487" s="1" t="s">
        <v>1238</v>
      </c>
      <c r="D487" s="1" t="str">
        <f>"6630"</f>
        <v>6630</v>
      </c>
      <c r="E487" s="1" t="s">
        <v>1239</v>
      </c>
      <c r="F487" s="1" t="s">
        <v>1240</v>
      </c>
      <c r="G487" s="1" t="s">
        <v>15</v>
      </c>
      <c r="H487" s="1" t="str">
        <f>"1"</f>
        <v>1</v>
      </c>
      <c r="I487" s="3">
        <v>44270.52</v>
      </c>
      <c r="J487" s="4">
        <v>46099</v>
      </c>
      <c r="K487" s="1" t="s">
        <v>1241</v>
      </c>
    </row>
    <row r="488" spans="1:11" x14ac:dyDescent="0.35">
      <c r="A488" s="1" t="s">
        <v>1176</v>
      </c>
      <c r="B488" s="1" t="s">
        <v>1220</v>
      </c>
      <c r="C488" s="1" t="s">
        <v>1242</v>
      </c>
      <c r="D488" s="1" t="str">
        <f>"6630"</f>
        <v>6630</v>
      </c>
      <c r="E488" s="1" t="str">
        <f>"016850130"</f>
        <v>016850130</v>
      </c>
      <c r="F488" s="1" t="s">
        <v>1243</v>
      </c>
      <c r="G488" s="1" t="s">
        <v>15</v>
      </c>
      <c r="H488" s="1" t="str">
        <f>"2"</f>
        <v>2</v>
      </c>
      <c r="I488" s="3" t="str">
        <f>"301916"</f>
        <v>301916</v>
      </c>
      <c r="J488" s="4">
        <v>46099</v>
      </c>
      <c r="K488" s="1" t="s">
        <v>1244</v>
      </c>
    </row>
    <row r="489" spans="1:11" x14ac:dyDescent="0.35">
      <c r="A489" s="1" t="s">
        <v>1176</v>
      </c>
      <c r="B489" s="1" t="s">
        <v>1220</v>
      </c>
      <c r="C489" s="1" t="s">
        <v>1245</v>
      </c>
      <c r="D489" s="1" t="str">
        <f>"6630"</f>
        <v>6630</v>
      </c>
      <c r="E489" s="1" t="str">
        <f>"016654839"</f>
        <v>016654839</v>
      </c>
      <c r="F489" s="1" t="s">
        <v>1243</v>
      </c>
      <c r="G489" s="1" t="s">
        <v>15</v>
      </c>
      <c r="H489" s="1" t="str">
        <f>"1"</f>
        <v>1</v>
      </c>
      <c r="I489" s="3">
        <v>40993.550000000003</v>
      </c>
      <c r="J489" s="4">
        <v>46099</v>
      </c>
      <c r="K489" s="1" t="s">
        <v>1246</v>
      </c>
    </row>
    <row r="490" spans="1:11" x14ac:dyDescent="0.35">
      <c r="A490" s="1" t="s">
        <v>1176</v>
      </c>
      <c r="B490" s="1" t="s">
        <v>1220</v>
      </c>
      <c r="C490" s="1" t="s">
        <v>1247</v>
      </c>
      <c r="D490" s="1" t="str">
        <f>"6630"</f>
        <v>6630</v>
      </c>
      <c r="E490" s="1" t="s">
        <v>1239</v>
      </c>
      <c r="F490" s="1" t="s">
        <v>1240</v>
      </c>
      <c r="G490" s="1" t="s">
        <v>15</v>
      </c>
      <c r="H490" s="1" t="str">
        <f>"1"</f>
        <v>1</v>
      </c>
      <c r="I490" s="3">
        <v>44270.52</v>
      </c>
      <c r="J490" s="4">
        <v>46099</v>
      </c>
      <c r="K490" s="1" t="s">
        <v>1248</v>
      </c>
    </row>
    <row r="491" spans="1:11" x14ac:dyDescent="0.35">
      <c r="A491" s="1" t="s">
        <v>1176</v>
      </c>
      <c r="B491" s="1" t="s">
        <v>1190</v>
      </c>
      <c r="C491" s="1" t="s">
        <v>1198</v>
      </c>
      <c r="D491" s="1" t="str">
        <f>"6720"</f>
        <v>6720</v>
      </c>
      <c r="E491" s="1" t="s">
        <v>1199</v>
      </c>
      <c r="F491" s="1" t="s">
        <v>1200</v>
      </c>
      <c r="G491" s="1" t="s">
        <v>15</v>
      </c>
      <c r="H491" s="1" t="str">
        <f>"2"</f>
        <v>2</v>
      </c>
      <c r="I491" s="3">
        <v>4399.12</v>
      </c>
      <c r="J491" s="4">
        <v>46105</v>
      </c>
      <c r="K491" s="1" t="s">
        <v>1201</v>
      </c>
    </row>
    <row r="492" spans="1:11" x14ac:dyDescent="0.35">
      <c r="A492" s="1" t="s">
        <v>1176</v>
      </c>
      <c r="B492" s="1" t="s">
        <v>1190</v>
      </c>
      <c r="C492" s="1" t="s">
        <v>1210</v>
      </c>
      <c r="D492" s="1" t="str">
        <f>"7490"</f>
        <v>7490</v>
      </c>
      <c r="E492" s="1" t="str">
        <f>"016895506"</f>
        <v>016895506</v>
      </c>
      <c r="F492" s="1" t="s">
        <v>1211</v>
      </c>
      <c r="G492" s="1" t="s">
        <v>15</v>
      </c>
      <c r="H492" s="1" t="str">
        <f>"3"</f>
        <v>3</v>
      </c>
      <c r="I492" s="3" t="str">
        <f>"4754"</f>
        <v>4754</v>
      </c>
      <c r="J492" s="4">
        <v>46105</v>
      </c>
      <c r="K492" s="1" t="s">
        <v>1212</v>
      </c>
    </row>
    <row r="493" spans="1:11" x14ac:dyDescent="0.35">
      <c r="A493" s="1" t="s">
        <v>1176</v>
      </c>
      <c r="B493" s="1" t="s">
        <v>1264</v>
      </c>
      <c r="C493" s="1" t="s">
        <v>1265</v>
      </c>
      <c r="D493" s="1" t="str">
        <f>"8465"</f>
        <v>8465</v>
      </c>
      <c r="E493" s="1" t="str">
        <f>"016422282"</f>
        <v>016422282</v>
      </c>
      <c r="F493" s="1" t="s">
        <v>856</v>
      </c>
      <c r="G493" s="1" t="s">
        <v>15</v>
      </c>
      <c r="H493" s="1" t="str">
        <f>"1"</f>
        <v>1</v>
      </c>
      <c r="I493" s="3">
        <v>79.209999999999994</v>
      </c>
      <c r="J493" s="4">
        <v>46107</v>
      </c>
      <c r="K493" s="1" t="s">
        <v>1266</v>
      </c>
    </row>
    <row r="494" spans="1:11" x14ac:dyDescent="0.35">
      <c r="A494" s="1" t="s">
        <v>1176</v>
      </c>
      <c r="B494" s="1" t="s">
        <v>1190</v>
      </c>
      <c r="C494" s="1" t="s">
        <v>1195</v>
      </c>
      <c r="D494" s="1" t="str">
        <f>"6660"</f>
        <v>6660</v>
      </c>
      <c r="E494" s="1" t="str">
        <f>"014488227"</f>
        <v>014488227</v>
      </c>
      <c r="F494" s="1" t="s">
        <v>1196</v>
      </c>
      <c r="G494" s="1" t="s">
        <v>15</v>
      </c>
      <c r="H494" s="1" t="str">
        <f>"1"</f>
        <v>1</v>
      </c>
      <c r="I494" s="3">
        <v>12203.68</v>
      </c>
      <c r="J494" s="4">
        <v>46108</v>
      </c>
      <c r="K494" s="1" t="s">
        <v>1197</v>
      </c>
    </row>
    <row r="495" spans="1:11" x14ac:dyDescent="0.35">
      <c r="A495" s="1" t="s">
        <v>1176</v>
      </c>
      <c r="B495" s="1" t="s">
        <v>1190</v>
      </c>
      <c r="C495" s="1" t="s">
        <v>1202</v>
      </c>
      <c r="D495" s="1" t="str">
        <f>"7010"</f>
        <v>7010</v>
      </c>
      <c r="E495" s="1" t="s">
        <v>1203</v>
      </c>
      <c r="F495" s="1" t="s">
        <v>1204</v>
      </c>
      <c r="G495" s="1" t="s">
        <v>15</v>
      </c>
      <c r="H495" s="1" t="str">
        <f>"6"</f>
        <v>6</v>
      </c>
      <c r="I495" s="3" t="str">
        <f>"1000"</f>
        <v>1000</v>
      </c>
      <c r="J495" s="4">
        <v>46108</v>
      </c>
      <c r="K495" s="1" t="s">
        <v>1205</v>
      </c>
    </row>
    <row r="496" spans="1:11" x14ac:dyDescent="0.35">
      <c r="A496" s="1" t="s">
        <v>1284</v>
      </c>
      <c r="B496" s="1" t="s">
        <v>1285</v>
      </c>
      <c r="C496" s="1" t="s">
        <v>1289</v>
      </c>
      <c r="D496" s="1" t="str">
        <f>"5855"</f>
        <v>5855</v>
      </c>
      <c r="E496" s="1" t="str">
        <f>"015345931"</f>
        <v>015345931</v>
      </c>
      <c r="F496" s="1" t="s">
        <v>742</v>
      </c>
      <c r="G496" s="1" t="s">
        <v>15</v>
      </c>
      <c r="H496" s="1" t="str">
        <f>"40"</f>
        <v>40</v>
      </c>
      <c r="I496" s="3" t="str">
        <f>"970"</f>
        <v>970</v>
      </c>
      <c r="J496" s="4">
        <v>46078</v>
      </c>
      <c r="K496" s="1" t="s">
        <v>1290</v>
      </c>
    </row>
    <row r="497" spans="1:11" x14ac:dyDescent="0.35">
      <c r="A497" s="1" t="s">
        <v>1284</v>
      </c>
      <c r="B497" s="1" t="s">
        <v>1285</v>
      </c>
      <c r="C497" s="1" t="s">
        <v>1286</v>
      </c>
      <c r="D497" s="1" t="str">
        <f>"1550"</f>
        <v>1550</v>
      </c>
      <c r="E497" s="1" t="str">
        <f>"015389256"</f>
        <v>015389256</v>
      </c>
      <c r="F497" s="1" t="s">
        <v>1287</v>
      </c>
      <c r="G497" s="1" t="s">
        <v>15</v>
      </c>
      <c r="H497" s="1" t="str">
        <f>"1"</f>
        <v>1</v>
      </c>
      <c r="I497" s="3" t="str">
        <f>"100000"</f>
        <v>100000</v>
      </c>
      <c r="J497" s="4">
        <v>46085</v>
      </c>
      <c r="K497" s="1" t="s">
        <v>1288</v>
      </c>
    </row>
    <row r="498" spans="1:11" x14ac:dyDescent="0.35">
      <c r="A498" s="1" t="s">
        <v>1284</v>
      </c>
      <c r="B498" s="1" t="s">
        <v>1285</v>
      </c>
      <c r="C498" s="1" t="s">
        <v>1291</v>
      </c>
      <c r="D498" s="1" t="str">
        <f>"5965"</f>
        <v>5965</v>
      </c>
      <c r="E498" s="1" t="str">
        <f>"016190258"</f>
        <v>016190258</v>
      </c>
      <c r="F498" s="1" t="s">
        <v>209</v>
      </c>
      <c r="G498" s="1" t="s">
        <v>15</v>
      </c>
      <c r="H498" s="1" t="str">
        <f>"19"</f>
        <v>19</v>
      </c>
      <c r="I498" s="3" t="str">
        <f>"3049"</f>
        <v>3049</v>
      </c>
      <c r="J498" s="4">
        <v>46093</v>
      </c>
      <c r="K498" s="1" t="s">
        <v>1292</v>
      </c>
    </row>
    <row r="499" spans="1:11" x14ac:dyDescent="0.35">
      <c r="A499" s="1" t="s">
        <v>1293</v>
      </c>
      <c r="B499" s="1" t="s">
        <v>1294</v>
      </c>
      <c r="C499" s="1" t="s">
        <v>1295</v>
      </c>
      <c r="D499" s="1" t="str">
        <f>"3930"</f>
        <v>3930</v>
      </c>
      <c r="E499" s="1" t="s">
        <v>95</v>
      </c>
      <c r="F499" s="1" t="s">
        <v>96</v>
      </c>
      <c r="G499" s="1" t="s">
        <v>15</v>
      </c>
      <c r="H499" s="1" t="str">
        <f>"1"</f>
        <v>1</v>
      </c>
      <c r="I499" s="3" t="str">
        <f>"15000"</f>
        <v>15000</v>
      </c>
      <c r="J499" s="4">
        <v>46034</v>
      </c>
      <c r="K499" s="1" t="s">
        <v>1296</v>
      </c>
    </row>
    <row r="500" spans="1:11" x14ac:dyDescent="0.35">
      <c r="A500" s="1" t="s">
        <v>1293</v>
      </c>
      <c r="B500" s="1" t="s">
        <v>1297</v>
      </c>
      <c r="C500" s="1" t="s">
        <v>1298</v>
      </c>
      <c r="D500" s="1" t="str">
        <f>"5855"</f>
        <v>5855</v>
      </c>
      <c r="E500" s="1" t="str">
        <f>"015790062"</f>
        <v>015790062</v>
      </c>
      <c r="F500" s="1" t="s">
        <v>742</v>
      </c>
      <c r="G500" s="1" t="s">
        <v>15</v>
      </c>
      <c r="H500" s="1" t="str">
        <f>"13"</f>
        <v>13</v>
      </c>
      <c r="I500" s="3" t="str">
        <f>"900"</f>
        <v>900</v>
      </c>
      <c r="J500" s="4">
        <v>46106</v>
      </c>
      <c r="K500" s="1" t="s">
        <v>1299</v>
      </c>
    </row>
    <row r="501" spans="1:11" x14ac:dyDescent="0.35">
      <c r="A501" s="1" t="s">
        <v>1293</v>
      </c>
      <c r="B501" s="1" t="s">
        <v>1297</v>
      </c>
      <c r="C501" s="1" t="s">
        <v>1300</v>
      </c>
      <c r="D501" s="1" t="str">
        <f>"5855"</f>
        <v>5855</v>
      </c>
      <c r="E501" s="1" t="str">
        <f>"015790062"</f>
        <v>015790062</v>
      </c>
      <c r="F501" s="1" t="s">
        <v>742</v>
      </c>
      <c r="G501" s="1" t="s">
        <v>15</v>
      </c>
      <c r="H501" s="1" t="str">
        <f>"13"</f>
        <v>13</v>
      </c>
      <c r="I501" s="3" t="str">
        <f>"900"</f>
        <v>900</v>
      </c>
      <c r="J501" s="4">
        <v>46106</v>
      </c>
      <c r="K501" s="1" t="s">
        <v>1299</v>
      </c>
    </row>
    <row r="502" spans="1:11" x14ac:dyDescent="0.35">
      <c r="A502" s="1" t="s">
        <v>1293</v>
      </c>
      <c r="B502" s="1" t="s">
        <v>1297</v>
      </c>
      <c r="C502" s="1" t="s">
        <v>1301</v>
      </c>
      <c r="D502" s="1" t="str">
        <f>"5855"</f>
        <v>5855</v>
      </c>
      <c r="E502" s="1" t="str">
        <f>"015315726"</f>
        <v>015315726</v>
      </c>
      <c r="F502" s="1" t="s">
        <v>1188</v>
      </c>
      <c r="G502" s="1" t="s">
        <v>15</v>
      </c>
      <c r="H502" s="1" t="str">
        <f>"2"</f>
        <v>2</v>
      </c>
      <c r="I502" s="3" t="str">
        <f>"10089"</f>
        <v>10089</v>
      </c>
      <c r="J502" s="4">
        <v>46106</v>
      </c>
      <c r="K502" s="1" t="s">
        <v>1302</v>
      </c>
    </row>
    <row r="503" spans="1:11" x14ac:dyDescent="0.35">
      <c r="A503" s="1" t="s">
        <v>1303</v>
      </c>
      <c r="B503" s="1" t="s">
        <v>1304</v>
      </c>
      <c r="C503" s="1" t="s">
        <v>1305</v>
      </c>
      <c r="D503" s="1" t="str">
        <f>"2320"</f>
        <v>2320</v>
      </c>
      <c r="E503" s="1" t="str">
        <f>"012802063"</f>
        <v>012802063</v>
      </c>
      <c r="F503" s="1" t="s">
        <v>1306</v>
      </c>
      <c r="G503" s="1" t="s">
        <v>15</v>
      </c>
      <c r="H503" s="1" t="str">
        <f>"1"</f>
        <v>1</v>
      </c>
      <c r="I503" s="3" t="str">
        <f>"38530"</f>
        <v>38530</v>
      </c>
      <c r="J503" s="4">
        <v>46030</v>
      </c>
      <c r="K503" s="1" t="s">
        <v>1307</v>
      </c>
    </row>
    <row r="504" spans="1:11" x14ac:dyDescent="0.35">
      <c r="A504" s="1" t="s">
        <v>1303</v>
      </c>
      <c r="B504" s="1" t="s">
        <v>1362</v>
      </c>
      <c r="C504" s="1" t="s">
        <v>1363</v>
      </c>
      <c r="D504" s="1" t="str">
        <f>"1240"</f>
        <v>1240</v>
      </c>
      <c r="E504" s="1" t="s">
        <v>1364</v>
      </c>
      <c r="F504" s="1" t="s">
        <v>1365</v>
      </c>
      <c r="G504" s="1" t="s">
        <v>15</v>
      </c>
      <c r="H504" s="1" t="str">
        <f>"10"</f>
        <v>10</v>
      </c>
      <c r="I504" s="3">
        <v>602.34</v>
      </c>
      <c r="J504" s="4">
        <v>46030</v>
      </c>
      <c r="K504" s="1" t="s">
        <v>1366</v>
      </c>
    </row>
    <row r="505" spans="1:11" x14ac:dyDescent="0.35">
      <c r="A505" s="1" t="s">
        <v>1303</v>
      </c>
      <c r="B505" s="1" t="s">
        <v>1362</v>
      </c>
      <c r="C505" s="1" t="s">
        <v>1367</v>
      </c>
      <c r="D505" s="1" t="str">
        <f>"1240"</f>
        <v>1240</v>
      </c>
      <c r="E505" s="1" t="s">
        <v>1364</v>
      </c>
      <c r="F505" s="1" t="s">
        <v>1365</v>
      </c>
      <c r="G505" s="1" t="s">
        <v>15</v>
      </c>
      <c r="H505" s="1" t="str">
        <f>"1"</f>
        <v>1</v>
      </c>
      <c r="I505" s="3">
        <v>602.34</v>
      </c>
      <c r="J505" s="4">
        <v>46030</v>
      </c>
      <c r="K505" s="1" t="s">
        <v>1368</v>
      </c>
    </row>
    <row r="506" spans="1:11" x14ac:dyDescent="0.35">
      <c r="A506" s="1" t="s">
        <v>1303</v>
      </c>
      <c r="B506" s="1" t="s">
        <v>1362</v>
      </c>
      <c r="C506" s="1" t="s">
        <v>1377</v>
      </c>
      <c r="D506" s="1" t="str">
        <f>"6210"</f>
        <v>6210</v>
      </c>
      <c r="E506" s="1" t="str">
        <f>"016214819"</f>
        <v>016214819</v>
      </c>
      <c r="F506" s="1" t="s">
        <v>1378</v>
      </c>
      <c r="G506" s="1" t="s">
        <v>15</v>
      </c>
      <c r="H506" s="1" t="str">
        <f>"1"</f>
        <v>1</v>
      </c>
      <c r="I506" s="3">
        <v>249.32</v>
      </c>
      <c r="J506" s="4">
        <v>46030</v>
      </c>
      <c r="K506" s="1" t="s">
        <v>1379</v>
      </c>
    </row>
    <row r="507" spans="1:11" x14ac:dyDescent="0.35">
      <c r="A507" s="1" t="s">
        <v>1303</v>
      </c>
      <c r="B507" s="1" t="s">
        <v>1362</v>
      </c>
      <c r="C507" s="1" t="s">
        <v>1380</v>
      </c>
      <c r="D507" s="1" t="str">
        <f>"8405"</f>
        <v>8405</v>
      </c>
      <c r="E507" s="1" t="s">
        <v>1381</v>
      </c>
      <c r="F507" s="1" t="s">
        <v>1382</v>
      </c>
      <c r="G507" s="1" t="s">
        <v>15</v>
      </c>
      <c r="H507" s="1" t="str">
        <f>"20"</f>
        <v>20</v>
      </c>
      <c r="I507" s="3">
        <v>65.53</v>
      </c>
      <c r="J507" s="4">
        <v>46030</v>
      </c>
      <c r="K507" s="1" t="s">
        <v>1383</v>
      </c>
    </row>
    <row r="508" spans="1:11" x14ac:dyDescent="0.35">
      <c r="A508" s="1" t="s">
        <v>1303</v>
      </c>
      <c r="B508" s="1" t="s">
        <v>1397</v>
      </c>
      <c r="C508" s="1" t="s">
        <v>1398</v>
      </c>
      <c r="D508" s="1" t="str">
        <f>"2360"</f>
        <v>2360</v>
      </c>
      <c r="E508" s="1" t="str">
        <f>"016651491"</f>
        <v>016651491</v>
      </c>
      <c r="F508" s="1" t="s">
        <v>1275</v>
      </c>
      <c r="G508" s="1" t="s">
        <v>15</v>
      </c>
      <c r="H508" s="1" t="str">
        <f>"6"</f>
        <v>6</v>
      </c>
      <c r="I508" s="3" t="str">
        <f>"17125"</f>
        <v>17125</v>
      </c>
      <c r="J508" s="4">
        <v>46030</v>
      </c>
      <c r="K508" s="1" t="s">
        <v>1399</v>
      </c>
    </row>
    <row r="509" spans="1:11" x14ac:dyDescent="0.35">
      <c r="A509" s="1" t="s">
        <v>1303</v>
      </c>
      <c r="B509" s="1" t="s">
        <v>1322</v>
      </c>
      <c r="C509" s="1" t="s">
        <v>1327</v>
      </c>
      <c r="D509" s="1" t="str">
        <f>"2330"</f>
        <v>2330</v>
      </c>
      <c r="E509" s="1" t="s">
        <v>104</v>
      </c>
      <c r="F509" s="1" t="s">
        <v>105</v>
      </c>
      <c r="G509" s="1" t="s">
        <v>15</v>
      </c>
      <c r="H509" s="1" t="str">
        <f>"1"</f>
        <v>1</v>
      </c>
      <c r="I509" s="3" t="str">
        <f>"11330"</f>
        <v>11330</v>
      </c>
      <c r="J509" s="4">
        <v>46031</v>
      </c>
      <c r="K509" s="1" t="s">
        <v>1328</v>
      </c>
    </row>
    <row r="510" spans="1:11" x14ac:dyDescent="0.35">
      <c r="A510" s="1" t="s">
        <v>1303</v>
      </c>
      <c r="B510" s="1" t="s">
        <v>1408</v>
      </c>
      <c r="C510" s="1" t="s">
        <v>1415</v>
      </c>
      <c r="D510" s="1" t="str">
        <f>"2360"</f>
        <v>2360</v>
      </c>
      <c r="E510" s="1" t="str">
        <f>"016629084"</f>
        <v>016629084</v>
      </c>
      <c r="F510" s="1" t="s">
        <v>1275</v>
      </c>
      <c r="G510" s="1" t="s">
        <v>15</v>
      </c>
      <c r="H510" s="1" t="str">
        <f>"1"</f>
        <v>1</v>
      </c>
      <c r="I510" s="3" t="str">
        <f>"200000"</f>
        <v>200000</v>
      </c>
      <c r="J510" s="4">
        <v>46031</v>
      </c>
      <c r="K510" s="1" t="s">
        <v>1416</v>
      </c>
    </row>
    <row r="511" spans="1:11" x14ac:dyDescent="0.35">
      <c r="A511" s="1" t="s">
        <v>1303</v>
      </c>
      <c r="B511" s="1" t="s">
        <v>1408</v>
      </c>
      <c r="C511" s="1" t="s">
        <v>1419</v>
      </c>
      <c r="D511" s="1" t="str">
        <f>"2360"</f>
        <v>2360</v>
      </c>
      <c r="E511" s="1" t="s">
        <v>1420</v>
      </c>
      <c r="F511" s="1" t="s">
        <v>1421</v>
      </c>
      <c r="G511" s="1" t="s">
        <v>15</v>
      </c>
      <c r="H511" s="1" t="str">
        <f>"2"</f>
        <v>2</v>
      </c>
      <c r="I511" s="3" t="str">
        <f>"1000"</f>
        <v>1000</v>
      </c>
      <c r="J511" s="4">
        <v>46031</v>
      </c>
      <c r="K511" s="1" t="s">
        <v>1422</v>
      </c>
    </row>
    <row r="512" spans="1:11" x14ac:dyDescent="0.35">
      <c r="A512" s="1" t="s">
        <v>1303</v>
      </c>
      <c r="B512" s="1" t="s">
        <v>1408</v>
      </c>
      <c r="C512" s="1" t="s">
        <v>1435</v>
      </c>
      <c r="D512" s="1" t="str">
        <f>"6720"</f>
        <v>6720</v>
      </c>
      <c r="E512" s="1" t="str">
        <f>"017136216"</f>
        <v>017136216</v>
      </c>
      <c r="F512" s="1" t="s">
        <v>1436</v>
      </c>
      <c r="G512" s="1" t="s">
        <v>15</v>
      </c>
      <c r="H512" s="1" t="str">
        <f>"4"</f>
        <v>4</v>
      </c>
      <c r="I512" s="3">
        <v>668054.9</v>
      </c>
      <c r="J512" s="4">
        <v>46031</v>
      </c>
      <c r="K512" s="1" t="s">
        <v>1437</v>
      </c>
    </row>
    <row r="513" spans="1:11" x14ac:dyDescent="0.35">
      <c r="A513" s="1" t="s">
        <v>1303</v>
      </c>
      <c r="B513" s="1" t="s">
        <v>1322</v>
      </c>
      <c r="C513" s="1" t="s">
        <v>1323</v>
      </c>
      <c r="D513" s="1" t="str">
        <f>"2320"</f>
        <v>2320</v>
      </c>
      <c r="E513" s="1" t="s">
        <v>1016</v>
      </c>
      <c r="F513" s="1" t="s">
        <v>1017</v>
      </c>
      <c r="G513" s="1" t="s">
        <v>15</v>
      </c>
      <c r="H513" s="1" t="str">
        <f>"1"</f>
        <v>1</v>
      </c>
      <c r="I513" s="3" t="str">
        <f>"1500"</f>
        <v>1500</v>
      </c>
      <c r="J513" s="4">
        <v>46037</v>
      </c>
      <c r="K513" s="1" t="s">
        <v>1324</v>
      </c>
    </row>
    <row r="514" spans="1:11" x14ac:dyDescent="0.35">
      <c r="A514" s="1" t="s">
        <v>1303</v>
      </c>
      <c r="B514" s="1" t="s">
        <v>1322</v>
      </c>
      <c r="C514" s="1" t="s">
        <v>1325</v>
      </c>
      <c r="D514" s="1" t="str">
        <f>"2320"</f>
        <v>2320</v>
      </c>
      <c r="E514" s="1" t="s">
        <v>1016</v>
      </c>
      <c r="F514" s="1" t="s">
        <v>1017</v>
      </c>
      <c r="G514" s="1" t="s">
        <v>15</v>
      </c>
      <c r="H514" s="1" t="str">
        <f>"1"</f>
        <v>1</v>
      </c>
      <c r="I514" s="3" t="str">
        <f>"1500"</f>
        <v>1500</v>
      </c>
      <c r="J514" s="4">
        <v>46037</v>
      </c>
      <c r="K514" s="1" t="s">
        <v>1326</v>
      </c>
    </row>
    <row r="515" spans="1:11" x14ac:dyDescent="0.35">
      <c r="A515" s="1" t="s">
        <v>1303</v>
      </c>
      <c r="B515" s="1" t="s">
        <v>1402</v>
      </c>
      <c r="C515" s="1" t="s">
        <v>1403</v>
      </c>
      <c r="D515" s="1" t="str">
        <f>"4240"</f>
        <v>4240</v>
      </c>
      <c r="E515" s="1" t="str">
        <f>"016308327"</f>
        <v>016308327</v>
      </c>
      <c r="F515" s="1" t="s">
        <v>1404</v>
      </c>
      <c r="G515" s="1" t="s">
        <v>15</v>
      </c>
      <c r="H515" s="1" t="str">
        <f>"50"</f>
        <v>50</v>
      </c>
      <c r="I515" s="3">
        <v>48.01</v>
      </c>
      <c r="J515" s="4">
        <v>46037</v>
      </c>
      <c r="K515" s="1" t="s">
        <v>1405</v>
      </c>
    </row>
    <row r="516" spans="1:11" x14ac:dyDescent="0.35">
      <c r="A516" s="1" t="s">
        <v>1303</v>
      </c>
      <c r="B516" s="1" t="s">
        <v>1384</v>
      </c>
      <c r="C516" s="1" t="s">
        <v>1387</v>
      </c>
      <c r="D516" s="1" t="str">
        <f>"5855"</f>
        <v>5855</v>
      </c>
      <c r="E516" s="1" t="str">
        <f>"015485687"</f>
        <v>015485687</v>
      </c>
      <c r="F516" s="1" t="s">
        <v>798</v>
      </c>
      <c r="G516" s="1" t="s">
        <v>15</v>
      </c>
      <c r="H516" s="1" t="str">
        <f>"17"</f>
        <v>17</v>
      </c>
      <c r="I516" s="3" t="str">
        <f>"10402"</f>
        <v>10402</v>
      </c>
      <c r="J516" s="4">
        <v>46038</v>
      </c>
      <c r="K516" s="1" t="s">
        <v>1388</v>
      </c>
    </row>
    <row r="517" spans="1:11" x14ac:dyDescent="0.35">
      <c r="A517" s="1" t="s">
        <v>1303</v>
      </c>
      <c r="B517" s="1" t="s">
        <v>1384</v>
      </c>
      <c r="C517" s="1" t="s">
        <v>1393</v>
      </c>
      <c r="D517" s="1" t="str">
        <f>"5855"</f>
        <v>5855</v>
      </c>
      <c r="E517" s="1" t="str">
        <f>"015277098"</f>
        <v>015277098</v>
      </c>
      <c r="F517" s="1" t="s">
        <v>614</v>
      </c>
      <c r="G517" s="1" t="s">
        <v>15</v>
      </c>
      <c r="H517" s="1" t="str">
        <f>"1"</f>
        <v>1</v>
      </c>
      <c r="I517" s="3">
        <v>28.92</v>
      </c>
      <c r="J517" s="4">
        <v>46038</v>
      </c>
      <c r="K517" s="1" t="s">
        <v>1394</v>
      </c>
    </row>
    <row r="518" spans="1:11" x14ac:dyDescent="0.35">
      <c r="A518" s="1" t="s">
        <v>1303</v>
      </c>
      <c r="B518" s="1" t="s">
        <v>1442</v>
      </c>
      <c r="C518" s="1" t="s">
        <v>1445</v>
      </c>
      <c r="D518" s="1" t="str">
        <f>"6115"</f>
        <v>6115</v>
      </c>
      <c r="E518" s="1" t="s">
        <v>157</v>
      </c>
      <c r="F518" s="1" t="s">
        <v>158</v>
      </c>
      <c r="G518" s="1" t="s">
        <v>15</v>
      </c>
      <c r="H518" s="1" t="str">
        <f>"1"</f>
        <v>1</v>
      </c>
      <c r="I518" s="3" t="str">
        <f>"6125"</f>
        <v>6125</v>
      </c>
      <c r="J518" s="4">
        <v>46042</v>
      </c>
      <c r="K518" s="1" t="s">
        <v>1446</v>
      </c>
    </row>
    <row r="519" spans="1:11" x14ac:dyDescent="0.35">
      <c r="A519" s="1" t="s">
        <v>1303</v>
      </c>
      <c r="B519" s="1" t="s">
        <v>1442</v>
      </c>
      <c r="C519" s="1" t="s">
        <v>1451</v>
      </c>
      <c r="D519" s="1" t="str">
        <f>"8415"</f>
        <v>8415</v>
      </c>
      <c r="E519" s="1" t="str">
        <f>"015274614"</f>
        <v>015274614</v>
      </c>
      <c r="F519" s="1" t="s">
        <v>42</v>
      </c>
      <c r="G519" s="1" t="s">
        <v>15</v>
      </c>
      <c r="H519" s="1" t="str">
        <f>"18"</f>
        <v>18</v>
      </c>
      <c r="I519" s="3" t="str">
        <f>"77"</f>
        <v>77</v>
      </c>
      <c r="J519" s="4">
        <v>46044</v>
      </c>
      <c r="K519" s="1" t="s">
        <v>1452</v>
      </c>
    </row>
    <row r="520" spans="1:11" x14ac:dyDescent="0.35">
      <c r="A520" s="1" t="s">
        <v>1303</v>
      </c>
      <c r="B520" s="1" t="s">
        <v>1338</v>
      </c>
      <c r="C520" s="1" t="s">
        <v>1345</v>
      </c>
      <c r="D520" s="1" t="str">
        <f>"5855"</f>
        <v>5855</v>
      </c>
      <c r="E520" s="1" t="str">
        <f>"015777174"</f>
        <v>015777174</v>
      </c>
      <c r="F520" s="1" t="s">
        <v>952</v>
      </c>
      <c r="G520" s="1" t="s">
        <v>15</v>
      </c>
      <c r="H520" s="1" t="str">
        <f>"35"</f>
        <v>35</v>
      </c>
      <c r="I520" s="3" t="str">
        <f>"1791"</f>
        <v>1791</v>
      </c>
      <c r="J520" s="4">
        <v>46049</v>
      </c>
      <c r="K520" s="1" t="s">
        <v>1346</v>
      </c>
    </row>
    <row r="521" spans="1:11" x14ac:dyDescent="0.35">
      <c r="A521" s="1" t="s">
        <v>1303</v>
      </c>
      <c r="B521" s="1" t="s">
        <v>1408</v>
      </c>
      <c r="C521" s="1" t="s">
        <v>1430</v>
      </c>
      <c r="D521" s="1" t="str">
        <f>"5855"</f>
        <v>5855</v>
      </c>
      <c r="E521" s="1" t="str">
        <f>"014778738"</f>
        <v>014778738</v>
      </c>
      <c r="F521" s="1" t="s">
        <v>614</v>
      </c>
      <c r="G521" s="1" t="s">
        <v>15</v>
      </c>
      <c r="H521" s="1" t="str">
        <f>"2"</f>
        <v>2</v>
      </c>
      <c r="I521" s="3" t="str">
        <f>"7481"</f>
        <v>7481</v>
      </c>
      <c r="J521" s="4">
        <v>46051</v>
      </c>
      <c r="K521" s="1" t="s">
        <v>1431</v>
      </c>
    </row>
    <row r="522" spans="1:11" x14ac:dyDescent="0.35">
      <c r="A522" s="1" t="s">
        <v>1303</v>
      </c>
      <c r="B522" s="1" t="s">
        <v>1304</v>
      </c>
      <c r="C522" s="1" t="s">
        <v>1314</v>
      </c>
      <c r="D522" s="1" t="str">
        <f>"3920"</f>
        <v>3920</v>
      </c>
      <c r="E522" s="1" t="str">
        <f>"016302360"</f>
        <v>016302360</v>
      </c>
      <c r="F522" s="1" t="s">
        <v>1315</v>
      </c>
      <c r="G522" s="1" t="s">
        <v>15</v>
      </c>
      <c r="H522" s="1" t="str">
        <f>"1"</f>
        <v>1</v>
      </c>
      <c r="I522" s="3">
        <v>1084.94</v>
      </c>
      <c r="J522" s="4">
        <v>46056</v>
      </c>
      <c r="K522" s="1" t="s">
        <v>1316</v>
      </c>
    </row>
    <row r="523" spans="1:11" x14ac:dyDescent="0.35">
      <c r="A523" s="1" t="s">
        <v>1303</v>
      </c>
      <c r="B523" s="1" t="s">
        <v>1402</v>
      </c>
      <c r="C523" s="1" t="s">
        <v>1406</v>
      </c>
      <c r="D523" s="1" t="str">
        <f>"5120"</f>
        <v>5120</v>
      </c>
      <c r="E523" s="1" t="str">
        <f>"014767556"</f>
        <v>014767556</v>
      </c>
      <c r="F523" s="1" t="s">
        <v>76</v>
      </c>
      <c r="G523" s="1" t="s">
        <v>15</v>
      </c>
      <c r="H523" s="1" t="str">
        <f>"30"</f>
        <v>30</v>
      </c>
      <c r="I523" s="3">
        <v>61.83</v>
      </c>
      <c r="J523" s="4">
        <v>46058</v>
      </c>
      <c r="K523" s="1" t="s">
        <v>1407</v>
      </c>
    </row>
    <row r="524" spans="1:11" x14ac:dyDescent="0.35">
      <c r="A524" s="1" t="s">
        <v>1303</v>
      </c>
      <c r="B524" s="1" t="s">
        <v>1408</v>
      </c>
      <c r="C524" s="1" t="s">
        <v>1423</v>
      </c>
      <c r="D524" s="1" t="str">
        <f>"4030"</f>
        <v>4030</v>
      </c>
      <c r="E524" s="1" t="str">
        <f>"003692975"</f>
        <v>003692975</v>
      </c>
      <c r="F524" s="1" t="s">
        <v>1424</v>
      </c>
      <c r="G524" s="1" t="s">
        <v>15</v>
      </c>
      <c r="H524" s="1" t="str">
        <f>"10"</f>
        <v>10</v>
      </c>
      <c r="I524" s="3">
        <v>171.4</v>
      </c>
      <c r="J524" s="4">
        <v>46058</v>
      </c>
      <c r="K524" s="1" t="s">
        <v>1425</v>
      </c>
    </row>
    <row r="525" spans="1:11" x14ac:dyDescent="0.35">
      <c r="A525" s="1" t="s">
        <v>1303</v>
      </c>
      <c r="B525" s="1" t="s">
        <v>1408</v>
      </c>
      <c r="C525" s="1" t="s">
        <v>1426</v>
      </c>
      <c r="D525" s="1" t="str">
        <f>"4240"</f>
        <v>4240</v>
      </c>
      <c r="E525" s="1" t="s">
        <v>372</v>
      </c>
      <c r="F525" s="1" t="s">
        <v>373</v>
      </c>
      <c r="G525" s="1" t="s">
        <v>15</v>
      </c>
      <c r="H525" s="1" t="str">
        <f>"2"</f>
        <v>2</v>
      </c>
      <c r="I525" s="3" t="str">
        <f>"1500"</f>
        <v>1500</v>
      </c>
      <c r="J525" s="4">
        <v>46058</v>
      </c>
      <c r="K525" s="1" t="s">
        <v>1427</v>
      </c>
    </row>
    <row r="526" spans="1:11" x14ac:dyDescent="0.35">
      <c r="A526" s="1" t="s">
        <v>1303</v>
      </c>
      <c r="B526" s="1" t="s">
        <v>1408</v>
      </c>
      <c r="C526" s="1" t="s">
        <v>1428</v>
      </c>
      <c r="D526" s="1" t="str">
        <f>"5855"</f>
        <v>5855</v>
      </c>
      <c r="E526" s="1" t="str">
        <f>"015485687"</f>
        <v>015485687</v>
      </c>
      <c r="F526" s="1" t="s">
        <v>798</v>
      </c>
      <c r="G526" s="1" t="s">
        <v>15</v>
      </c>
      <c r="H526" s="1" t="str">
        <f>"30"</f>
        <v>30</v>
      </c>
      <c r="I526" s="3" t="str">
        <f>"10402"</f>
        <v>10402</v>
      </c>
      <c r="J526" s="4">
        <v>46058</v>
      </c>
      <c r="K526" s="1" t="s">
        <v>1429</v>
      </c>
    </row>
    <row r="527" spans="1:11" x14ac:dyDescent="0.35">
      <c r="A527" s="1" t="s">
        <v>1303</v>
      </c>
      <c r="B527" s="1" t="s">
        <v>1408</v>
      </c>
      <c r="C527" s="1" t="s">
        <v>1432</v>
      </c>
      <c r="D527" s="1" t="str">
        <f>"6530"</f>
        <v>6530</v>
      </c>
      <c r="E527" s="1" t="str">
        <f>"015316771"</f>
        <v>015316771</v>
      </c>
      <c r="F527" s="1" t="s">
        <v>1433</v>
      </c>
      <c r="G527" s="1" t="s">
        <v>15</v>
      </c>
      <c r="H527" s="1" t="str">
        <f>"6"</f>
        <v>6</v>
      </c>
      <c r="I527" s="3">
        <v>287.48</v>
      </c>
      <c r="J527" s="4">
        <v>46058</v>
      </c>
      <c r="K527" s="1" t="s">
        <v>1434</v>
      </c>
    </row>
    <row r="528" spans="1:11" x14ac:dyDescent="0.35">
      <c r="A528" s="1" t="s">
        <v>1303</v>
      </c>
      <c r="B528" s="1" t="s">
        <v>1338</v>
      </c>
      <c r="C528" s="1" t="s">
        <v>1339</v>
      </c>
      <c r="D528" s="1" t="str">
        <f>"2360"</f>
        <v>2360</v>
      </c>
      <c r="E528" s="1" t="str">
        <f>"016631022"</f>
        <v>016631022</v>
      </c>
      <c r="F528" s="1" t="s">
        <v>1275</v>
      </c>
      <c r="G528" s="1" t="s">
        <v>15</v>
      </c>
      <c r="H528" s="1" t="str">
        <f>"1"</f>
        <v>1</v>
      </c>
      <c r="I528" s="3">
        <v>53375.13</v>
      </c>
      <c r="J528" s="4">
        <v>46062</v>
      </c>
      <c r="K528" s="1" t="s">
        <v>1340</v>
      </c>
    </row>
    <row r="529" spans="1:11" x14ac:dyDescent="0.35">
      <c r="A529" s="1" t="s">
        <v>1303</v>
      </c>
      <c r="B529" s="1" t="s">
        <v>1338</v>
      </c>
      <c r="C529" s="1" t="s">
        <v>1341</v>
      </c>
      <c r="D529" s="1" t="str">
        <f>"2360"</f>
        <v>2360</v>
      </c>
      <c r="E529" s="1" t="str">
        <f>"016651491"</f>
        <v>016651491</v>
      </c>
      <c r="F529" s="1" t="s">
        <v>1275</v>
      </c>
      <c r="G529" s="1" t="s">
        <v>15</v>
      </c>
      <c r="H529" s="1" t="str">
        <f>"2"</f>
        <v>2</v>
      </c>
      <c r="I529" s="3" t="str">
        <f>"17125"</f>
        <v>17125</v>
      </c>
      <c r="J529" s="4">
        <v>46062</v>
      </c>
      <c r="K529" s="1" t="s">
        <v>1342</v>
      </c>
    </row>
    <row r="530" spans="1:11" x14ac:dyDescent="0.35">
      <c r="A530" s="1" t="s">
        <v>1303</v>
      </c>
      <c r="B530" s="1" t="s">
        <v>1338</v>
      </c>
      <c r="C530" s="1" t="s">
        <v>1343</v>
      </c>
      <c r="D530" s="1" t="str">
        <f>"2360"</f>
        <v>2360</v>
      </c>
      <c r="E530" s="1" t="str">
        <f>"015900772"</f>
        <v>015900772</v>
      </c>
      <c r="F530" s="1" t="s">
        <v>1344</v>
      </c>
      <c r="G530" s="1" t="s">
        <v>15</v>
      </c>
      <c r="H530" s="1" t="str">
        <f>"1"</f>
        <v>1</v>
      </c>
      <c r="I530" s="3" t="str">
        <f>"232404"</f>
        <v>232404</v>
      </c>
      <c r="J530" s="4">
        <v>46062</v>
      </c>
      <c r="K530" s="1" t="s">
        <v>1340</v>
      </c>
    </row>
    <row r="531" spans="1:11" x14ac:dyDescent="0.35">
      <c r="A531" s="1" t="s">
        <v>1303</v>
      </c>
      <c r="B531" s="1" t="s">
        <v>1408</v>
      </c>
      <c r="C531" s="1" t="s">
        <v>1409</v>
      </c>
      <c r="D531" s="1" t="str">
        <f>"1095"</f>
        <v>1095</v>
      </c>
      <c r="E531" s="1" t="str">
        <f>"004070674"</f>
        <v>004070674</v>
      </c>
      <c r="F531" s="1" t="s">
        <v>330</v>
      </c>
      <c r="G531" s="1" t="s">
        <v>15</v>
      </c>
      <c r="H531" s="1" t="str">
        <f>"9"</f>
        <v>9</v>
      </c>
      <c r="I531" s="3">
        <v>1098.96</v>
      </c>
      <c r="J531" s="4">
        <v>46062</v>
      </c>
      <c r="K531" s="1" t="s">
        <v>1410</v>
      </c>
    </row>
    <row r="532" spans="1:11" x14ac:dyDescent="0.35">
      <c r="A532" s="1" t="s">
        <v>1303</v>
      </c>
      <c r="B532" s="1" t="s">
        <v>1408</v>
      </c>
      <c r="C532" s="1" t="s">
        <v>1417</v>
      </c>
      <c r="D532" s="1" t="str">
        <f>"2360"</f>
        <v>2360</v>
      </c>
      <c r="E532" s="1" t="str">
        <f>"016651491"</f>
        <v>016651491</v>
      </c>
      <c r="F532" s="1" t="s">
        <v>1275</v>
      </c>
      <c r="G532" s="1" t="s">
        <v>15</v>
      </c>
      <c r="H532" s="1" t="str">
        <f>"5"</f>
        <v>5</v>
      </c>
      <c r="I532" s="3" t="str">
        <f>"17125"</f>
        <v>17125</v>
      </c>
      <c r="J532" s="4">
        <v>46062</v>
      </c>
      <c r="K532" s="1" t="s">
        <v>1418</v>
      </c>
    </row>
    <row r="533" spans="1:11" x14ac:dyDescent="0.35">
      <c r="A533" s="1" t="s">
        <v>1303</v>
      </c>
      <c r="B533" s="1" t="s">
        <v>1335</v>
      </c>
      <c r="C533" s="1" t="s">
        <v>1336</v>
      </c>
      <c r="D533" s="1" t="str">
        <f>"1095"</f>
        <v>1095</v>
      </c>
      <c r="E533" s="1" t="str">
        <f>"015506607"</f>
        <v>015506607</v>
      </c>
      <c r="F533" s="1" t="s">
        <v>1102</v>
      </c>
      <c r="G533" s="1" t="s">
        <v>15</v>
      </c>
      <c r="H533" s="1" t="str">
        <f>"4"</f>
        <v>4</v>
      </c>
      <c r="I533" s="3">
        <v>1245.01</v>
      </c>
      <c r="J533" s="4">
        <v>46063</v>
      </c>
      <c r="K533" s="1" t="s">
        <v>1337</v>
      </c>
    </row>
    <row r="534" spans="1:11" x14ac:dyDescent="0.35">
      <c r="A534" s="1" t="s">
        <v>1303</v>
      </c>
      <c r="B534" s="1" t="s">
        <v>1329</v>
      </c>
      <c r="C534" s="1" t="s">
        <v>1330</v>
      </c>
      <c r="D534" s="1" t="str">
        <f>"7110"</f>
        <v>7110</v>
      </c>
      <c r="E534" s="1" t="s">
        <v>1331</v>
      </c>
      <c r="F534" s="1" t="s">
        <v>1332</v>
      </c>
      <c r="G534" s="1" t="s">
        <v>15</v>
      </c>
      <c r="H534" s="1" t="str">
        <f>"6"</f>
        <v>6</v>
      </c>
      <c r="I534" s="3" t="str">
        <f>"250"</f>
        <v>250</v>
      </c>
      <c r="J534" s="4">
        <v>46066</v>
      </c>
      <c r="K534" s="1" t="s">
        <v>1333</v>
      </c>
    </row>
    <row r="535" spans="1:11" x14ac:dyDescent="0.35">
      <c r="A535" s="1" t="s">
        <v>1303</v>
      </c>
      <c r="B535" s="1" t="s">
        <v>1329</v>
      </c>
      <c r="C535" s="1" t="s">
        <v>1334</v>
      </c>
      <c r="D535" s="1" t="str">
        <f>"7110"</f>
        <v>7110</v>
      </c>
      <c r="E535" s="1" t="s">
        <v>1331</v>
      </c>
      <c r="F535" s="1" t="s">
        <v>1332</v>
      </c>
      <c r="G535" s="1" t="s">
        <v>15</v>
      </c>
      <c r="H535" s="1" t="str">
        <f>"6"</f>
        <v>6</v>
      </c>
      <c r="I535" s="3" t="str">
        <f>"250"</f>
        <v>250</v>
      </c>
      <c r="J535" s="4">
        <v>46066</v>
      </c>
      <c r="K535" s="1" t="s">
        <v>1333</v>
      </c>
    </row>
    <row r="536" spans="1:11" x14ac:dyDescent="0.35">
      <c r="A536" s="1" t="s">
        <v>1303</v>
      </c>
      <c r="B536" s="1" t="s">
        <v>1384</v>
      </c>
      <c r="C536" s="1" t="s">
        <v>1385</v>
      </c>
      <c r="D536" s="1" t="str">
        <f>"5855"</f>
        <v>5855</v>
      </c>
      <c r="E536" s="1" t="str">
        <f>"015345931"</f>
        <v>015345931</v>
      </c>
      <c r="F536" s="1" t="s">
        <v>742</v>
      </c>
      <c r="G536" s="1" t="s">
        <v>15</v>
      </c>
      <c r="H536" s="1" t="str">
        <f>"5"</f>
        <v>5</v>
      </c>
      <c r="I536" s="3" t="str">
        <f>"970"</f>
        <v>970</v>
      </c>
      <c r="J536" s="4">
        <v>46070</v>
      </c>
      <c r="K536" s="1" t="s">
        <v>1386</v>
      </c>
    </row>
    <row r="537" spans="1:11" x14ac:dyDescent="0.35">
      <c r="A537" s="1" t="s">
        <v>1303</v>
      </c>
      <c r="B537" s="1" t="s">
        <v>1362</v>
      </c>
      <c r="C537" s="1" t="s">
        <v>1369</v>
      </c>
      <c r="D537" s="1" t="str">
        <f>"4240"</f>
        <v>4240</v>
      </c>
      <c r="E537" s="1" t="str">
        <f>"015257555"</f>
        <v>015257555</v>
      </c>
      <c r="F537" s="1" t="s">
        <v>1370</v>
      </c>
      <c r="G537" s="1" t="s">
        <v>15</v>
      </c>
      <c r="H537" s="1" t="str">
        <f>"35"</f>
        <v>35</v>
      </c>
      <c r="I537" s="3">
        <v>33.770000000000003</v>
      </c>
      <c r="J537" s="4">
        <v>46072</v>
      </c>
      <c r="K537" s="1" t="s">
        <v>1371</v>
      </c>
    </row>
    <row r="538" spans="1:11" x14ac:dyDescent="0.35">
      <c r="A538" s="1" t="s">
        <v>1303</v>
      </c>
      <c r="B538" s="1" t="s">
        <v>1442</v>
      </c>
      <c r="C538" s="1" t="s">
        <v>1443</v>
      </c>
      <c r="D538" s="1" t="str">
        <f>"2805"</f>
        <v>2805</v>
      </c>
      <c r="E538" s="1" t="str">
        <f>"016279819"</f>
        <v>016279819</v>
      </c>
      <c r="F538" s="1" t="s">
        <v>1161</v>
      </c>
      <c r="G538" s="1" t="s">
        <v>15</v>
      </c>
      <c r="H538" s="1" t="str">
        <f>"1"</f>
        <v>1</v>
      </c>
      <c r="I538" s="3">
        <v>14518.47</v>
      </c>
      <c r="J538" s="4">
        <v>46073</v>
      </c>
      <c r="K538" s="1" t="s">
        <v>1444</v>
      </c>
    </row>
    <row r="539" spans="1:11" x14ac:dyDescent="0.35">
      <c r="A539" s="1" t="s">
        <v>1303</v>
      </c>
      <c r="B539" s="1" t="s">
        <v>1442</v>
      </c>
      <c r="C539" s="1" t="s">
        <v>1447</v>
      </c>
      <c r="D539" s="1" t="str">
        <f>"6665"</f>
        <v>6665</v>
      </c>
      <c r="E539" s="1" t="s">
        <v>1448</v>
      </c>
      <c r="F539" s="1" t="s">
        <v>1449</v>
      </c>
      <c r="G539" s="1" t="s">
        <v>15</v>
      </c>
      <c r="H539" s="1" t="str">
        <f>"1"</f>
        <v>1</v>
      </c>
      <c r="I539" s="3" t="str">
        <f>"1009"</f>
        <v>1009</v>
      </c>
      <c r="J539" s="4">
        <v>46073</v>
      </c>
      <c r="K539" s="1" t="s">
        <v>1450</v>
      </c>
    </row>
    <row r="540" spans="1:11" x14ac:dyDescent="0.35">
      <c r="A540" s="1" t="s">
        <v>1303</v>
      </c>
      <c r="B540" s="1" t="s">
        <v>1352</v>
      </c>
      <c r="C540" s="1" t="s">
        <v>1353</v>
      </c>
      <c r="D540" s="1" t="str">
        <f>"4240"</f>
        <v>4240</v>
      </c>
      <c r="E540" s="1" t="str">
        <f>"015405585"</f>
        <v>015405585</v>
      </c>
      <c r="F540" s="1" t="s">
        <v>1354</v>
      </c>
      <c r="G540" s="1" t="s">
        <v>15</v>
      </c>
      <c r="H540" s="1" t="str">
        <f>"10"</f>
        <v>10</v>
      </c>
      <c r="I540" s="3">
        <v>69.349999999999994</v>
      </c>
      <c r="J540" s="4">
        <v>46077</v>
      </c>
      <c r="K540" s="1" t="s">
        <v>1355</v>
      </c>
    </row>
    <row r="541" spans="1:11" x14ac:dyDescent="0.35">
      <c r="A541" s="1" t="s">
        <v>1303</v>
      </c>
      <c r="B541" s="1" t="s">
        <v>1352</v>
      </c>
      <c r="C541" s="1" t="s">
        <v>1356</v>
      </c>
      <c r="D541" s="1" t="str">
        <f>"5855"</f>
        <v>5855</v>
      </c>
      <c r="E541" s="1" t="str">
        <f>"015665301"</f>
        <v>015665301</v>
      </c>
      <c r="F541" s="1" t="s">
        <v>1357</v>
      </c>
      <c r="G541" s="1" t="s">
        <v>15</v>
      </c>
      <c r="H541" s="1" t="str">
        <f>"100"</f>
        <v>100</v>
      </c>
      <c r="I541" s="3">
        <v>445.26</v>
      </c>
      <c r="J541" s="4">
        <v>46077</v>
      </c>
      <c r="K541" s="1" t="s">
        <v>1358</v>
      </c>
    </row>
    <row r="542" spans="1:11" x14ac:dyDescent="0.35">
      <c r="A542" s="1" t="s">
        <v>1303</v>
      </c>
      <c r="B542" s="1" t="s">
        <v>1362</v>
      </c>
      <c r="C542" s="1" t="s">
        <v>1372</v>
      </c>
      <c r="D542" s="1" t="str">
        <f>"5895"</f>
        <v>5895</v>
      </c>
      <c r="E542" s="1" t="str">
        <f>"015984531"</f>
        <v>015984531</v>
      </c>
      <c r="F542" s="1" t="s">
        <v>1373</v>
      </c>
      <c r="G542" s="1" t="s">
        <v>168</v>
      </c>
      <c r="H542" s="1" t="str">
        <f>"2"</f>
        <v>2</v>
      </c>
      <c r="I542" s="3">
        <v>763.74</v>
      </c>
      <c r="J542" s="4">
        <v>46078</v>
      </c>
      <c r="K542" s="1" t="s">
        <v>1374</v>
      </c>
    </row>
    <row r="543" spans="1:11" x14ac:dyDescent="0.35">
      <c r="A543" s="1" t="s">
        <v>1303</v>
      </c>
      <c r="B543" s="1" t="s">
        <v>1362</v>
      </c>
      <c r="C543" s="1" t="s">
        <v>1375</v>
      </c>
      <c r="D543" s="1" t="str">
        <f>"5895"</f>
        <v>5895</v>
      </c>
      <c r="E543" s="1" t="str">
        <f>"015984532"</f>
        <v>015984532</v>
      </c>
      <c r="F543" s="1" t="s">
        <v>1373</v>
      </c>
      <c r="G543" s="1" t="s">
        <v>168</v>
      </c>
      <c r="H543" s="1" t="str">
        <f>"1"</f>
        <v>1</v>
      </c>
      <c r="I543" s="3">
        <v>950.55</v>
      </c>
      <c r="J543" s="4">
        <v>46078</v>
      </c>
      <c r="K543" s="1" t="s">
        <v>1374</v>
      </c>
    </row>
    <row r="544" spans="1:11" x14ac:dyDescent="0.35">
      <c r="A544" s="1" t="s">
        <v>1303</v>
      </c>
      <c r="B544" s="1" t="s">
        <v>1362</v>
      </c>
      <c r="C544" s="1" t="s">
        <v>1376</v>
      </c>
      <c r="D544" s="1" t="str">
        <f>"5895"</f>
        <v>5895</v>
      </c>
      <c r="E544" s="1" t="str">
        <f>"016240377"</f>
        <v>016240377</v>
      </c>
      <c r="F544" s="1" t="s">
        <v>1373</v>
      </c>
      <c r="G544" s="1" t="s">
        <v>168</v>
      </c>
      <c r="H544" s="1" t="str">
        <f>"2"</f>
        <v>2</v>
      </c>
      <c r="I544" s="3">
        <v>814.93</v>
      </c>
      <c r="J544" s="4">
        <v>46078</v>
      </c>
      <c r="K544" s="1" t="s">
        <v>1374</v>
      </c>
    </row>
    <row r="545" spans="1:11" x14ac:dyDescent="0.35">
      <c r="A545" s="1" t="s">
        <v>1303</v>
      </c>
      <c r="B545" s="1" t="s">
        <v>1338</v>
      </c>
      <c r="C545" s="1" t="s">
        <v>1347</v>
      </c>
      <c r="D545" s="1" t="str">
        <f>"6545"</f>
        <v>6545</v>
      </c>
      <c r="E545" s="1" t="str">
        <f>"015748111"</f>
        <v>015748111</v>
      </c>
      <c r="F545" s="1" t="s">
        <v>457</v>
      </c>
      <c r="G545" s="1" t="s">
        <v>15</v>
      </c>
      <c r="H545" s="1" t="str">
        <f>"7"</f>
        <v>7</v>
      </c>
      <c r="I545" s="3">
        <v>148.55000000000001</v>
      </c>
      <c r="J545" s="4">
        <v>46083</v>
      </c>
      <c r="K545" s="1" t="s">
        <v>1348</v>
      </c>
    </row>
    <row r="546" spans="1:11" x14ac:dyDescent="0.35">
      <c r="A546" s="1" t="s">
        <v>1303</v>
      </c>
      <c r="B546" s="1" t="s">
        <v>1338</v>
      </c>
      <c r="C546" s="1" t="s">
        <v>1349</v>
      </c>
      <c r="D546" s="1" t="str">
        <f>"6545"</f>
        <v>6545</v>
      </c>
      <c r="E546" s="1" t="str">
        <f>"016092699"</f>
        <v>016092699</v>
      </c>
      <c r="F546" s="1" t="s">
        <v>1350</v>
      </c>
      <c r="G546" s="1" t="s">
        <v>257</v>
      </c>
      <c r="H546" s="1" t="str">
        <f>"1"</f>
        <v>1</v>
      </c>
      <c r="I546" s="3">
        <v>8495.23</v>
      </c>
      <c r="J546" s="4">
        <v>46083</v>
      </c>
      <c r="K546" s="1" t="s">
        <v>1351</v>
      </c>
    </row>
    <row r="547" spans="1:11" x14ac:dyDescent="0.35">
      <c r="A547" s="1" t="s">
        <v>1303</v>
      </c>
      <c r="B547" s="1" t="s">
        <v>1397</v>
      </c>
      <c r="C547" s="1" t="s">
        <v>1400</v>
      </c>
      <c r="D547" s="1" t="str">
        <f>"5855"</f>
        <v>5855</v>
      </c>
      <c r="E547" s="1" t="str">
        <f>"015345931"</f>
        <v>015345931</v>
      </c>
      <c r="F547" s="1" t="s">
        <v>742</v>
      </c>
      <c r="G547" s="1" t="s">
        <v>15</v>
      </c>
      <c r="H547" s="1" t="str">
        <f>"12"</f>
        <v>12</v>
      </c>
      <c r="I547" s="3" t="str">
        <f>"970"</f>
        <v>970</v>
      </c>
      <c r="J547" s="4">
        <v>46086</v>
      </c>
      <c r="K547" s="1" t="s">
        <v>1401</v>
      </c>
    </row>
    <row r="548" spans="1:11" x14ac:dyDescent="0.35">
      <c r="A548" s="1" t="s">
        <v>1303</v>
      </c>
      <c r="B548" s="1" t="s">
        <v>1384</v>
      </c>
      <c r="C548" s="1" t="s">
        <v>1395</v>
      </c>
      <c r="D548" s="1" t="str">
        <f>"8415"</f>
        <v>8415</v>
      </c>
      <c r="E548" s="1" t="s">
        <v>836</v>
      </c>
      <c r="F548" s="1" t="s">
        <v>837</v>
      </c>
      <c r="G548" s="1" t="s">
        <v>47</v>
      </c>
      <c r="H548" s="1" t="str">
        <f>"20"</f>
        <v>20</v>
      </c>
      <c r="I548" s="3" t="str">
        <f>"60"</f>
        <v>60</v>
      </c>
      <c r="J548" s="4">
        <v>46087</v>
      </c>
      <c r="K548" s="1" t="s">
        <v>1396</v>
      </c>
    </row>
    <row r="549" spans="1:11" x14ac:dyDescent="0.35">
      <c r="A549" s="1" t="s">
        <v>1303</v>
      </c>
      <c r="B549" s="1" t="s">
        <v>1408</v>
      </c>
      <c r="C549" s="1" t="s">
        <v>1411</v>
      </c>
      <c r="D549" s="1" t="str">
        <f>"1550"</f>
        <v>1550</v>
      </c>
      <c r="E549" s="1" t="str">
        <f>"015389256"</f>
        <v>015389256</v>
      </c>
      <c r="F549" s="1" t="s">
        <v>1287</v>
      </c>
      <c r="G549" s="1" t="s">
        <v>15</v>
      </c>
      <c r="H549" s="1" t="str">
        <f t="shared" ref="H549:H556" si="26">"1"</f>
        <v>1</v>
      </c>
      <c r="I549" s="3" t="str">
        <f>"100000"</f>
        <v>100000</v>
      </c>
      <c r="J549" s="4">
        <v>46090</v>
      </c>
      <c r="K549" s="1" t="s">
        <v>1412</v>
      </c>
    </row>
    <row r="550" spans="1:11" x14ac:dyDescent="0.35">
      <c r="A550" s="1" t="s">
        <v>1303</v>
      </c>
      <c r="B550" s="1" t="s">
        <v>1408</v>
      </c>
      <c r="C550" s="1" t="s">
        <v>1413</v>
      </c>
      <c r="D550" s="1" t="str">
        <f>"1550"</f>
        <v>1550</v>
      </c>
      <c r="E550" s="1" t="str">
        <f>"015389256"</f>
        <v>015389256</v>
      </c>
      <c r="F550" s="1" t="s">
        <v>1287</v>
      </c>
      <c r="G550" s="1" t="s">
        <v>15</v>
      </c>
      <c r="H550" s="1" t="str">
        <f t="shared" si="26"/>
        <v>1</v>
      </c>
      <c r="I550" s="3" t="str">
        <f>"100000"</f>
        <v>100000</v>
      </c>
      <c r="J550" s="4">
        <v>46090</v>
      </c>
      <c r="K550" s="1" t="s">
        <v>1412</v>
      </c>
    </row>
    <row r="551" spans="1:11" x14ac:dyDescent="0.35">
      <c r="A551" s="1" t="s">
        <v>1303</v>
      </c>
      <c r="B551" s="1" t="s">
        <v>1408</v>
      </c>
      <c r="C551" s="1" t="s">
        <v>1414</v>
      </c>
      <c r="D551" s="1" t="str">
        <f>"1550"</f>
        <v>1550</v>
      </c>
      <c r="E551" s="1" t="str">
        <f>"015389256"</f>
        <v>015389256</v>
      </c>
      <c r="F551" s="1" t="s">
        <v>1287</v>
      </c>
      <c r="G551" s="1" t="s">
        <v>15</v>
      </c>
      <c r="H551" s="1" t="str">
        <f t="shared" si="26"/>
        <v>1</v>
      </c>
      <c r="I551" s="3" t="str">
        <f>"100000"</f>
        <v>100000</v>
      </c>
      <c r="J551" s="4">
        <v>46090</v>
      </c>
      <c r="K551" s="1" t="s">
        <v>1412</v>
      </c>
    </row>
    <row r="552" spans="1:11" x14ac:dyDescent="0.35">
      <c r="A552" s="1" t="s">
        <v>1303</v>
      </c>
      <c r="B552" s="1" t="s">
        <v>1408</v>
      </c>
      <c r="C552" s="1" t="s">
        <v>1438</v>
      </c>
      <c r="D552" s="1" t="str">
        <f>"7310"</f>
        <v>7310</v>
      </c>
      <c r="E552" s="1" t="s">
        <v>1439</v>
      </c>
      <c r="F552" s="1" t="s">
        <v>1440</v>
      </c>
      <c r="G552" s="1" t="s">
        <v>15</v>
      </c>
      <c r="H552" s="1" t="str">
        <f t="shared" si="26"/>
        <v>1</v>
      </c>
      <c r="I552" s="3">
        <v>899.99</v>
      </c>
      <c r="J552" s="4">
        <v>46090</v>
      </c>
      <c r="K552" s="1" t="s">
        <v>1441</v>
      </c>
    </row>
    <row r="553" spans="1:11" x14ac:dyDescent="0.35">
      <c r="A553" s="1" t="s">
        <v>1303</v>
      </c>
      <c r="B553" s="1" t="s">
        <v>1304</v>
      </c>
      <c r="C553" s="1" t="s">
        <v>1308</v>
      </c>
      <c r="D553" s="1" t="str">
        <f>"2920"</f>
        <v>2920</v>
      </c>
      <c r="E553" s="1" t="s">
        <v>1309</v>
      </c>
      <c r="F553" s="1" t="s">
        <v>1310</v>
      </c>
      <c r="G553" s="1" t="s">
        <v>15</v>
      </c>
      <c r="H553" s="1" t="str">
        <f t="shared" si="26"/>
        <v>1</v>
      </c>
      <c r="I553" s="3" t="str">
        <f>"14263"</f>
        <v>14263</v>
      </c>
      <c r="J553" s="4">
        <v>46091</v>
      </c>
      <c r="K553" s="1" t="s">
        <v>1311</v>
      </c>
    </row>
    <row r="554" spans="1:11" x14ac:dyDescent="0.35">
      <c r="A554" s="1" t="s">
        <v>1303</v>
      </c>
      <c r="B554" s="1" t="s">
        <v>1304</v>
      </c>
      <c r="C554" s="1" t="s">
        <v>1312</v>
      </c>
      <c r="D554" s="1" t="str">
        <f>"2920"</f>
        <v>2920</v>
      </c>
      <c r="E554" s="1" t="s">
        <v>1309</v>
      </c>
      <c r="F554" s="1" t="s">
        <v>1310</v>
      </c>
      <c r="G554" s="1" t="s">
        <v>15</v>
      </c>
      <c r="H554" s="1" t="str">
        <f t="shared" si="26"/>
        <v>1</v>
      </c>
      <c r="I554" s="3" t="str">
        <f>"22000"</f>
        <v>22000</v>
      </c>
      <c r="J554" s="4">
        <v>46091</v>
      </c>
      <c r="K554" s="1" t="s">
        <v>1313</v>
      </c>
    </row>
    <row r="555" spans="1:11" x14ac:dyDescent="0.35">
      <c r="A555" s="1" t="s">
        <v>1303</v>
      </c>
      <c r="B555" s="1" t="s">
        <v>1304</v>
      </c>
      <c r="C555" s="1" t="s">
        <v>1317</v>
      </c>
      <c r="D555" s="1" t="str">
        <f>"3930"</f>
        <v>3930</v>
      </c>
      <c r="E555" s="1" t="str">
        <f>"011727892"</f>
        <v>011727892</v>
      </c>
      <c r="F555" s="1" t="s">
        <v>124</v>
      </c>
      <c r="G555" s="1" t="s">
        <v>15</v>
      </c>
      <c r="H555" s="1" t="str">
        <f t="shared" si="26"/>
        <v>1</v>
      </c>
      <c r="I555" s="3" t="str">
        <f>"11828"</f>
        <v>11828</v>
      </c>
      <c r="J555" s="4">
        <v>46091</v>
      </c>
      <c r="K555" s="1" t="s">
        <v>1318</v>
      </c>
    </row>
    <row r="556" spans="1:11" x14ac:dyDescent="0.35">
      <c r="A556" s="1" t="s">
        <v>1303</v>
      </c>
      <c r="B556" s="1" t="s">
        <v>1304</v>
      </c>
      <c r="C556" s="1" t="s">
        <v>1319</v>
      </c>
      <c r="D556" s="1" t="str">
        <f>"3930"</f>
        <v>3930</v>
      </c>
      <c r="E556" s="1" t="str">
        <f>"015521446"</f>
        <v>015521446</v>
      </c>
      <c r="F556" s="1" t="s">
        <v>1320</v>
      </c>
      <c r="G556" s="1" t="s">
        <v>15</v>
      </c>
      <c r="H556" s="1" t="str">
        <f t="shared" si="26"/>
        <v>1</v>
      </c>
      <c r="I556" s="3" t="str">
        <f>"9899"</f>
        <v>9899</v>
      </c>
      <c r="J556" s="4">
        <v>46091</v>
      </c>
      <c r="K556" s="1" t="s">
        <v>1321</v>
      </c>
    </row>
    <row r="557" spans="1:11" x14ac:dyDescent="0.35">
      <c r="A557" s="1" t="s">
        <v>1303</v>
      </c>
      <c r="B557" s="1" t="s">
        <v>1384</v>
      </c>
      <c r="C557" s="1" t="s">
        <v>1389</v>
      </c>
      <c r="D557" s="1" t="str">
        <f>"5855"</f>
        <v>5855</v>
      </c>
      <c r="E557" s="1" t="s">
        <v>1390</v>
      </c>
      <c r="F557" s="1" t="s">
        <v>1391</v>
      </c>
      <c r="G557" s="1" t="s">
        <v>15</v>
      </c>
      <c r="H557" s="1" t="str">
        <f>"8"</f>
        <v>8</v>
      </c>
      <c r="I557" s="3" t="str">
        <f>"13500"</f>
        <v>13500</v>
      </c>
      <c r="J557" s="4">
        <v>46105</v>
      </c>
      <c r="K557" s="1" t="s">
        <v>1392</v>
      </c>
    </row>
    <row r="558" spans="1:11" x14ac:dyDescent="0.35">
      <c r="A558" s="1" t="s">
        <v>1303</v>
      </c>
      <c r="B558" s="1" t="s">
        <v>1359</v>
      </c>
      <c r="C558" s="1" t="s">
        <v>1360</v>
      </c>
      <c r="D558" s="1" t="str">
        <f>"6545"</f>
        <v>6545</v>
      </c>
      <c r="E558" s="1" t="str">
        <f>"015841582"</f>
        <v>015841582</v>
      </c>
      <c r="F558" s="1" t="s">
        <v>990</v>
      </c>
      <c r="G558" s="1" t="s">
        <v>168</v>
      </c>
      <c r="H558" s="1" t="str">
        <f>"17"</f>
        <v>17</v>
      </c>
      <c r="I558" s="3">
        <v>103.24</v>
      </c>
      <c r="J558" s="4">
        <v>46108</v>
      </c>
      <c r="K558" s="1" t="s">
        <v>1361</v>
      </c>
    </row>
    <row r="559" spans="1:11" x14ac:dyDescent="0.35">
      <c r="A559" s="1" t="s">
        <v>1453</v>
      </c>
      <c r="B559" s="1" t="s">
        <v>1454</v>
      </c>
      <c r="C559" s="1" t="s">
        <v>1455</v>
      </c>
      <c r="D559" s="1" t="str">
        <f>"5855"</f>
        <v>5855</v>
      </c>
      <c r="E559" s="1" t="str">
        <f>"015345931"</f>
        <v>015345931</v>
      </c>
      <c r="F559" s="1" t="s">
        <v>742</v>
      </c>
      <c r="G559" s="1" t="s">
        <v>15</v>
      </c>
      <c r="H559" s="1" t="str">
        <f>"1"</f>
        <v>1</v>
      </c>
      <c r="I559" s="3" t="str">
        <f>"970"</f>
        <v>970</v>
      </c>
      <c r="J559" s="4">
        <v>46042</v>
      </c>
      <c r="K559" s="1" t="s">
        <v>1456</v>
      </c>
    </row>
    <row r="560" spans="1:11" x14ac:dyDescent="0.35">
      <c r="A560" s="1" t="s">
        <v>1453</v>
      </c>
      <c r="B560" s="1" t="s">
        <v>1454</v>
      </c>
      <c r="C560" s="1" t="s">
        <v>1457</v>
      </c>
      <c r="D560" s="1" t="str">
        <f>"5855"</f>
        <v>5855</v>
      </c>
      <c r="E560" s="1" t="str">
        <f>"015345931"</f>
        <v>015345931</v>
      </c>
      <c r="F560" s="1" t="s">
        <v>742</v>
      </c>
      <c r="G560" s="1" t="s">
        <v>15</v>
      </c>
      <c r="H560" s="1" t="str">
        <f>"1"</f>
        <v>1</v>
      </c>
      <c r="I560" s="3" t="str">
        <f>"970"</f>
        <v>970</v>
      </c>
      <c r="J560" s="4">
        <v>46042</v>
      </c>
      <c r="K560" s="1" t="s">
        <v>1458</v>
      </c>
    </row>
    <row r="561" spans="1:11" x14ac:dyDescent="0.35">
      <c r="A561" s="1" t="s">
        <v>1453</v>
      </c>
      <c r="B561" s="1" t="s">
        <v>1454</v>
      </c>
      <c r="C561" s="1" t="s">
        <v>1459</v>
      </c>
      <c r="D561" s="1" t="str">
        <f>"5855"</f>
        <v>5855</v>
      </c>
      <c r="E561" s="1" t="str">
        <f>"015345931"</f>
        <v>015345931</v>
      </c>
      <c r="F561" s="1" t="s">
        <v>742</v>
      </c>
      <c r="G561" s="1" t="s">
        <v>15</v>
      </c>
      <c r="H561" s="1" t="str">
        <f>"14"</f>
        <v>14</v>
      </c>
      <c r="I561" s="3" t="str">
        <f>"970"</f>
        <v>970</v>
      </c>
      <c r="J561" s="4">
        <v>46042</v>
      </c>
      <c r="K561" s="1" t="s">
        <v>1458</v>
      </c>
    </row>
    <row r="562" spans="1:11" x14ac:dyDescent="0.35">
      <c r="A562" s="1" t="s">
        <v>1453</v>
      </c>
      <c r="B562" s="1" t="s">
        <v>1454</v>
      </c>
      <c r="C562" s="1" t="s">
        <v>1460</v>
      </c>
      <c r="D562" s="1" t="str">
        <f>"5855"</f>
        <v>5855</v>
      </c>
      <c r="E562" s="1" t="str">
        <f>"015345931"</f>
        <v>015345931</v>
      </c>
      <c r="F562" s="1" t="s">
        <v>742</v>
      </c>
      <c r="G562" s="1" t="s">
        <v>15</v>
      </c>
      <c r="H562" s="1" t="str">
        <f t="shared" ref="H562:H572" si="27">"1"</f>
        <v>1</v>
      </c>
      <c r="I562" s="3" t="str">
        <f>"970"</f>
        <v>970</v>
      </c>
      <c r="J562" s="4">
        <v>46042</v>
      </c>
      <c r="K562" s="1" t="s">
        <v>1458</v>
      </c>
    </row>
    <row r="563" spans="1:11" x14ac:dyDescent="0.35">
      <c r="A563" s="1" t="s">
        <v>1453</v>
      </c>
      <c r="B563" s="1" t="s">
        <v>1461</v>
      </c>
      <c r="C563" s="1" t="s">
        <v>1478</v>
      </c>
      <c r="D563" s="1" t="str">
        <f t="shared" ref="D563:D594" si="28">"8415"</f>
        <v>8415</v>
      </c>
      <c r="E563" s="1" t="str">
        <f>"015841415"</f>
        <v>015841415</v>
      </c>
      <c r="F563" s="1" t="s">
        <v>771</v>
      </c>
      <c r="G563" s="1" t="s">
        <v>15</v>
      </c>
      <c r="H563" s="1" t="str">
        <f t="shared" si="27"/>
        <v>1</v>
      </c>
      <c r="I563" s="3">
        <v>456.61</v>
      </c>
      <c r="J563" s="4">
        <v>46043</v>
      </c>
      <c r="K563" s="1" t="s">
        <v>1464</v>
      </c>
    </row>
    <row r="564" spans="1:11" x14ac:dyDescent="0.35">
      <c r="A564" s="1" t="s">
        <v>1453</v>
      </c>
      <c r="B564" s="1" t="s">
        <v>1461</v>
      </c>
      <c r="C564" s="1" t="s">
        <v>1479</v>
      </c>
      <c r="D564" s="1" t="str">
        <f t="shared" si="28"/>
        <v>8415</v>
      </c>
      <c r="E564" s="1" t="str">
        <f>"015841423"</f>
        <v>015841423</v>
      </c>
      <c r="F564" s="1" t="s">
        <v>771</v>
      </c>
      <c r="G564" s="1" t="s">
        <v>15</v>
      </c>
      <c r="H564" s="1" t="str">
        <f t="shared" si="27"/>
        <v>1</v>
      </c>
      <c r="I564" s="3">
        <v>456.61</v>
      </c>
      <c r="J564" s="4">
        <v>46043</v>
      </c>
      <c r="K564" s="1" t="s">
        <v>1464</v>
      </c>
    </row>
    <row r="565" spans="1:11" x14ac:dyDescent="0.35">
      <c r="A565" s="1" t="s">
        <v>1453</v>
      </c>
      <c r="B565" s="1" t="s">
        <v>1461</v>
      </c>
      <c r="C565" s="1" t="s">
        <v>1480</v>
      </c>
      <c r="D565" s="1" t="str">
        <f t="shared" si="28"/>
        <v>8415</v>
      </c>
      <c r="E565" s="1" t="str">
        <f>"015802788"</f>
        <v>015802788</v>
      </c>
      <c r="F565" s="1" t="s">
        <v>18</v>
      </c>
      <c r="G565" s="1" t="s">
        <v>15</v>
      </c>
      <c r="H565" s="1" t="str">
        <f t="shared" si="27"/>
        <v>1</v>
      </c>
      <c r="I565" s="3">
        <v>146.81</v>
      </c>
      <c r="J565" s="4">
        <v>46043</v>
      </c>
      <c r="K565" s="1" t="s">
        <v>1464</v>
      </c>
    </row>
    <row r="566" spans="1:11" x14ac:dyDescent="0.35">
      <c r="A566" s="1" t="s">
        <v>1453</v>
      </c>
      <c r="B566" s="1" t="s">
        <v>1461</v>
      </c>
      <c r="C566" s="1" t="s">
        <v>1481</v>
      </c>
      <c r="D566" s="1" t="str">
        <f t="shared" si="28"/>
        <v>8415</v>
      </c>
      <c r="E566" s="1" t="str">
        <f>"015802854"</f>
        <v>015802854</v>
      </c>
      <c r="F566" s="1" t="s">
        <v>18</v>
      </c>
      <c r="G566" s="1" t="s">
        <v>15</v>
      </c>
      <c r="H566" s="1" t="str">
        <f t="shared" si="27"/>
        <v>1</v>
      </c>
      <c r="I566" s="3">
        <v>146.83000000000001</v>
      </c>
      <c r="J566" s="4">
        <v>46043</v>
      </c>
      <c r="K566" s="1" t="s">
        <v>1464</v>
      </c>
    </row>
    <row r="567" spans="1:11" x14ac:dyDescent="0.35">
      <c r="A567" s="1" t="s">
        <v>1453</v>
      </c>
      <c r="B567" s="1" t="s">
        <v>1461</v>
      </c>
      <c r="C567" s="1" t="s">
        <v>1482</v>
      </c>
      <c r="D567" s="1" t="str">
        <f t="shared" si="28"/>
        <v>8415</v>
      </c>
      <c r="E567" s="1" t="str">
        <f>"015989329"</f>
        <v>015989329</v>
      </c>
      <c r="F567" s="1" t="s">
        <v>758</v>
      </c>
      <c r="G567" s="1" t="s">
        <v>47</v>
      </c>
      <c r="H567" s="1" t="str">
        <f t="shared" si="27"/>
        <v>1</v>
      </c>
      <c r="I567" s="3">
        <v>135.96</v>
      </c>
      <c r="J567" s="4">
        <v>46043</v>
      </c>
      <c r="K567" s="1" t="s">
        <v>1464</v>
      </c>
    </row>
    <row r="568" spans="1:11" x14ac:dyDescent="0.35">
      <c r="A568" s="1" t="s">
        <v>1453</v>
      </c>
      <c r="B568" s="1" t="s">
        <v>1461</v>
      </c>
      <c r="C568" s="1" t="s">
        <v>1483</v>
      </c>
      <c r="D568" s="1" t="str">
        <f t="shared" si="28"/>
        <v>8415</v>
      </c>
      <c r="E568" s="1" t="str">
        <f>"015989330"</f>
        <v>015989330</v>
      </c>
      <c r="F568" s="1" t="s">
        <v>758</v>
      </c>
      <c r="G568" s="1" t="s">
        <v>47</v>
      </c>
      <c r="H568" s="1" t="str">
        <f t="shared" si="27"/>
        <v>1</v>
      </c>
      <c r="I568" s="3">
        <v>135.96</v>
      </c>
      <c r="J568" s="4">
        <v>46056</v>
      </c>
      <c r="K568" s="1" t="s">
        <v>1484</v>
      </c>
    </row>
    <row r="569" spans="1:11" x14ac:dyDescent="0.35">
      <c r="A569" s="1" t="s">
        <v>1453</v>
      </c>
      <c r="B569" s="1" t="s">
        <v>1461</v>
      </c>
      <c r="C569" s="1" t="s">
        <v>1485</v>
      </c>
      <c r="D569" s="1" t="str">
        <f t="shared" si="28"/>
        <v>8415</v>
      </c>
      <c r="E569" s="1" t="str">
        <f>"016411682"</f>
        <v>016411682</v>
      </c>
      <c r="F569" s="1" t="s">
        <v>758</v>
      </c>
      <c r="G569" s="1" t="s">
        <v>47</v>
      </c>
      <c r="H569" s="1" t="str">
        <f t="shared" si="27"/>
        <v>1</v>
      </c>
      <c r="I569" s="3">
        <v>100.61</v>
      </c>
      <c r="J569" s="4">
        <v>46056</v>
      </c>
      <c r="K569" s="1" t="s">
        <v>1484</v>
      </c>
    </row>
    <row r="570" spans="1:11" x14ac:dyDescent="0.35">
      <c r="A570" s="1" t="s">
        <v>1453</v>
      </c>
      <c r="B570" s="1" t="s">
        <v>1461</v>
      </c>
      <c r="C570" s="1" t="s">
        <v>1486</v>
      </c>
      <c r="D570" s="1" t="str">
        <f t="shared" si="28"/>
        <v>8415</v>
      </c>
      <c r="E570" s="1" t="str">
        <f>"016411683"</f>
        <v>016411683</v>
      </c>
      <c r="F570" s="1" t="s">
        <v>819</v>
      </c>
      <c r="G570" s="1" t="s">
        <v>47</v>
      </c>
      <c r="H570" s="1" t="str">
        <f t="shared" si="27"/>
        <v>1</v>
      </c>
      <c r="I570" s="3">
        <v>100.61</v>
      </c>
      <c r="J570" s="4">
        <v>46056</v>
      </c>
      <c r="K570" s="1" t="s">
        <v>1484</v>
      </c>
    </row>
    <row r="571" spans="1:11" x14ac:dyDescent="0.35">
      <c r="A571" s="1" t="s">
        <v>1453</v>
      </c>
      <c r="B571" s="1" t="s">
        <v>1461</v>
      </c>
      <c r="C571" s="1" t="s">
        <v>1487</v>
      </c>
      <c r="D571" s="1" t="str">
        <f t="shared" si="28"/>
        <v>8415</v>
      </c>
      <c r="E571" s="1" t="str">
        <f>"016411683"</f>
        <v>016411683</v>
      </c>
      <c r="F571" s="1" t="s">
        <v>819</v>
      </c>
      <c r="G571" s="1" t="s">
        <v>47</v>
      </c>
      <c r="H571" s="1" t="str">
        <f t="shared" si="27"/>
        <v>1</v>
      </c>
      <c r="I571" s="3">
        <v>100.61</v>
      </c>
      <c r="J571" s="4">
        <v>46056</v>
      </c>
      <c r="K571" s="1" t="s">
        <v>1484</v>
      </c>
    </row>
    <row r="572" spans="1:11" x14ac:dyDescent="0.35">
      <c r="A572" s="1" t="s">
        <v>1453</v>
      </c>
      <c r="B572" s="1" t="s">
        <v>1461</v>
      </c>
      <c r="C572" s="1" t="s">
        <v>1488</v>
      </c>
      <c r="D572" s="1" t="str">
        <f t="shared" si="28"/>
        <v>8415</v>
      </c>
      <c r="E572" s="1" t="str">
        <f>"016411690"</f>
        <v>016411690</v>
      </c>
      <c r="F572" s="1" t="s">
        <v>758</v>
      </c>
      <c r="G572" s="1" t="s">
        <v>47</v>
      </c>
      <c r="H572" s="1" t="str">
        <f t="shared" si="27"/>
        <v>1</v>
      </c>
      <c r="I572" s="3">
        <v>100.61</v>
      </c>
      <c r="J572" s="4">
        <v>46056</v>
      </c>
      <c r="K572" s="1" t="s">
        <v>1484</v>
      </c>
    </row>
    <row r="573" spans="1:11" x14ac:dyDescent="0.35">
      <c r="A573" s="1" t="s">
        <v>1453</v>
      </c>
      <c r="B573" s="1" t="s">
        <v>1461</v>
      </c>
      <c r="C573" s="1" t="s">
        <v>1489</v>
      </c>
      <c r="D573" s="1" t="str">
        <f t="shared" si="28"/>
        <v>8415</v>
      </c>
      <c r="E573" s="1" t="str">
        <f>"016411690"</f>
        <v>016411690</v>
      </c>
      <c r="F573" s="1" t="s">
        <v>758</v>
      </c>
      <c r="G573" s="1" t="s">
        <v>47</v>
      </c>
      <c r="H573" s="1" t="str">
        <f>"2"</f>
        <v>2</v>
      </c>
      <c r="I573" s="3">
        <v>100.61</v>
      </c>
      <c r="J573" s="4">
        <v>46056</v>
      </c>
      <c r="K573" s="1" t="s">
        <v>1484</v>
      </c>
    </row>
    <row r="574" spans="1:11" x14ac:dyDescent="0.35">
      <c r="A574" s="1" t="s">
        <v>1453</v>
      </c>
      <c r="B574" s="1" t="s">
        <v>1461</v>
      </c>
      <c r="C574" s="1" t="s">
        <v>1490</v>
      </c>
      <c r="D574" s="1" t="str">
        <f t="shared" si="28"/>
        <v>8415</v>
      </c>
      <c r="E574" s="1" t="str">
        <f>"015840985"</f>
        <v>015840985</v>
      </c>
      <c r="F574" s="1" t="s">
        <v>1463</v>
      </c>
      <c r="G574" s="1" t="s">
        <v>15</v>
      </c>
      <c r="H574" s="1" t="str">
        <f>"1"</f>
        <v>1</v>
      </c>
      <c r="I574" s="3">
        <v>134.36000000000001</v>
      </c>
      <c r="J574" s="4">
        <v>46056</v>
      </c>
      <c r="K574" s="1" t="s">
        <v>1484</v>
      </c>
    </row>
    <row r="575" spans="1:11" x14ac:dyDescent="0.35">
      <c r="A575" s="1" t="s">
        <v>1453</v>
      </c>
      <c r="B575" s="1" t="s">
        <v>1461</v>
      </c>
      <c r="C575" s="1" t="s">
        <v>1498</v>
      </c>
      <c r="D575" s="1" t="str">
        <f t="shared" si="28"/>
        <v>8415</v>
      </c>
      <c r="E575" s="1" t="str">
        <f>"015802782"</f>
        <v>015802782</v>
      </c>
      <c r="F575" s="1" t="s">
        <v>18</v>
      </c>
      <c r="G575" s="1" t="s">
        <v>15</v>
      </c>
      <c r="H575" s="1" t="str">
        <f>"1"</f>
        <v>1</v>
      </c>
      <c r="I575" s="3">
        <v>146.81</v>
      </c>
      <c r="J575" s="4">
        <v>46056</v>
      </c>
      <c r="K575" s="1" t="s">
        <v>1484</v>
      </c>
    </row>
    <row r="576" spans="1:11" x14ac:dyDescent="0.35">
      <c r="A576" s="1" t="s">
        <v>1453</v>
      </c>
      <c r="B576" s="1" t="s">
        <v>1461</v>
      </c>
      <c r="C576" s="1" t="s">
        <v>1499</v>
      </c>
      <c r="D576" s="1" t="str">
        <f t="shared" si="28"/>
        <v>8415</v>
      </c>
      <c r="E576" s="1" t="str">
        <f>"015802782"</f>
        <v>015802782</v>
      </c>
      <c r="F576" s="1" t="s">
        <v>18</v>
      </c>
      <c r="G576" s="1" t="s">
        <v>15</v>
      </c>
      <c r="H576" s="1" t="str">
        <f>"1"</f>
        <v>1</v>
      </c>
      <c r="I576" s="3">
        <v>146.81</v>
      </c>
      <c r="J576" s="4">
        <v>46056</v>
      </c>
      <c r="K576" s="1" t="s">
        <v>1484</v>
      </c>
    </row>
    <row r="577" spans="1:11" x14ac:dyDescent="0.35">
      <c r="A577" s="1" t="s">
        <v>1453</v>
      </c>
      <c r="B577" s="1" t="s">
        <v>1461</v>
      </c>
      <c r="C577" s="1" t="s">
        <v>1491</v>
      </c>
      <c r="D577" s="1" t="str">
        <f t="shared" si="28"/>
        <v>8415</v>
      </c>
      <c r="E577" s="1" t="str">
        <f>"015802988"</f>
        <v>015802988</v>
      </c>
      <c r="F577" s="1" t="s">
        <v>758</v>
      </c>
      <c r="G577" s="1" t="s">
        <v>47</v>
      </c>
      <c r="H577" s="1" t="str">
        <f>"6"</f>
        <v>6</v>
      </c>
      <c r="I577" s="3">
        <v>113.3</v>
      </c>
      <c r="J577" s="4">
        <v>46062</v>
      </c>
      <c r="K577" s="1" t="s">
        <v>1492</v>
      </c>
    </row>
    <row r="578" spans="1:11" x14ac:dyDescent="0.35">
      <c r="A578" s="1" t="s">
        <v>1453</v>
      </c>
      <c r="B578" s="1" t="s">
        <v>1461</v>
      </c>
      <c r="C578" s="1" t="s">
        <v>1493</v>
      </c>
      <c r="D578" s="1" t="str">
        <f t="shared" si="28"/>
        <v>8415</v>
      </c>
      <c r="E578" s="1" t="str">
        <f>"015803313"</f>
        <v>015803313</v>
      </c>
      <c r="F578" s="1" t="s">
        <v>758</v>
      </c>
      <c r="G578" s="1" t="s">
        <v>47</v>
      </c>
      <c r="H578" s="1" t="str">
        <f>"1"</f>
        <v>1</v>
      </c>
      <c r="I578" s="3">
        <v>113.3</v>
      </c>
      <c r="J578" s="4">
        <v>46062</v>
      </c>
      <c r="K578" s="1" t="s">
        <v>1484</v>
      </c>
    </row>
    <row r="579" spans="1:11" x14ac:dyDescent="0.35">
      <c r="A579" s="1" t="s">
        <v>1453</v>
      </c>
      <c r="B579" s="1" t="s">
        <v>1461</v>
      </c>
      <c r="C579" s="1" t="s">
        <v>1494</v>
      </c>
      <c r="D579" s="1" t="str">
        <f t="shared" si="28"/>
        <v>8415</v>
      </c>
      <c r="E579" s="1" t="str">
        <f>"015803306"</f>
        <v>015803306</v>
      </c>
      <c r="F579" s="1" t="s">
        <v>758</v>
      </c>
      <c r="G579" s="1" t="s">
        <v>47</v>
      </c>
      <c r="H579" s="1" t="str">
        <f>"1"</f>
        <v>1</v>
      </c>
      <c r="I579" s="3">
        <v>113.3</v>
      </c>
      <c r="J579" s="4">
        <v>46062</v>
      </c>
      <c r="K579" s="1" t="s">
        <v>1484</v>
      </c>
    </row>
    <row r="580" spans="1:11" x14ac:dyDescent="0.35">
      <c r="A580" s="1" t="s">
        <v>1453</v>
      </c>
      <c r="B580" s="1" t="s">
        <v>1461</v>
      </c>
      <c r="C580" s="1" t="s">
        <v>1495</v>
      </c>
      <c r="D580" s="1" t="str">
        <f t="shared" si="28"/>
        <v>8415</v>
      </c>
      <c r="E580" s="1" t="str">
        <f>"015803191"</f>
        <v>015803191</v>
      </c>
      <c r="F580" s="1" t="s">
        <v>758</v>
      </c>
      <c r="G580" s="1" t="s">
        <v>47</v>
      </c>
      <c r="H580" s="1" t="str">
        <f>"1"</f>
        <v>1</v>
      </c>
      <c r="I580" s="3">
        <v>113.3</v>
      </c>
      <c r="J580" s="4">
        <v>46062</v>
      </c>
      <c r="K580" s="1" t="s">
        <v>1484</v>
      </c>
    </row>
    <row r="581" spans="1:11" x14ac:dyDescent="0.35">
      <c r="A581" s="1" t="s">
        <v>1453</v>
      </c>
      <c r="B581" s="1" t="s">
        <v>1461</v>
      </c>
      <c r="C581" s="1" t="s">
        <v>1496</v>
      </c>
      <c r="D581" s="1" t="str">
        <f t="shared" si="28"/>
        <v>8415</v>
      </c>
      <c r="E581" s="1" t="str">
        <f>"015802991"</f>
        <v>015802991</v>
      </c>
      <c r="F581" s="1" t="s">
        <v>758</v>
      </c>
      <c r="G581" s="1" t="s">
        <v>47</v>
      </c>
      <c r="H581" s="1" t="str">
        <f>"1"</f>
        <v>1</v>
      </c>
      <c r="I581" s="3">
        <v>113.3</v>
      </c>
      <c r="J581" s="4">
        <v>46062</v>
      </c>
      <c r="K581" s="1" t="s">
        <v>1484</v>
      </c>
    </row>
    <row r="582" spans="1:11" x14ac:dyDescent="0.35">
      <c r="A582" s="1" t="s">
        <v>1453</v>
      </c>
      <c r="B582" s="1" t="s">
        <v>1461</v>
      </c>
      <c r="C582" s="1" t="s">
        <v>1497</v>
      </c>
      <c r="D582" s="1" t="str">
        <f t="shared" si="28"/>
        <v>8415</v>
      </c>
      <c r="E582" s="1" t="str">
        <f>"015802982"</f>
        <v>015802982</v>
      </c>
      <c r="F582" s="1" t="s">
        <v>758</v>
      </c>
      <c r="G582" s="1" t="s">
        <v>47</v>
      </c>
      <c r="H582" s="1" t="str">
        <f>"1"</f>
        <v>1</v>
      </c>
      <c r="I582" s="3">
        <v>113.3</v>
      </c>
      <c r="J582" s="4">
        <v>46062</v>
      </c>
      <c r="K582" s="1" t="s">
        <v>1484</v>
      </c>
    </row>
    <row r="583" spans="1:11" x14ac:dyDescent="0.35">
      <c r="A583" s="1" t="s">
        <v>1453</v>
      </c>
      <c r="B583" s="1" t="s">
        <v>1461</v>
      </c>
      <c r="C583" s="1" t="s">
        <v>1500</v>
      </c>
      <c r="D583" s="1" t="str">
        <f t="shared" si="28"/>
        <v>8415</v>
      </c>
      <c r="E583" s="1" t="str">
        <f>"015802493"</f>
        <v>015802493</v>
      </c>
      <c r="F583" s="1" t="s">
        <v>22</v>
      </c>
      <c r="G583" s="1" t="s">
        <v>47</v>
      </c>
      <c r="H583" s="1" t="str">
        <f>"2"</f>
        <v>2</v>
      </c>
      <c r="I583" s="3">
        <v>123.49</v>
      </c>
      <c r="J583" s="4">
        <v>46062</v>
      </c>
      <c r="K583" s="1" t="s">
        <v>1484</v>
      </c>
    </row>
    <row r="584" spans="1:11" x14ac:dyDescent="0.35">
      <c r="A584" s="1" t="s">
        <v>1453</v>
      </c>
      <c r="B584" s="1" t="s">
        <v>1461</v>
      </c>
      <c r="C584" s="1" t="s">
        <v>1501</v>
      </c>
      <c r="D584" s="1" t="str">
        <f t="shared" si="28"/>
        <v>8415</v>
      </c>
      <c r="E584" s="1" t="str">
        <f>"015802493"</f>
        <v>015802493</v>
      </c>
      <c r="F584" s="1" t="s">
        <v>22</v>
      </c>
      <c r="G584" s="1" t="s">
        <v>47</v>
      </c>
      <c r="H584" s="1" t="str">
        <f>"1"</f>
        <v>1</v>
      </c>
      <c r="I584" s="3">
        <v>123.49</v>
      </c>
      <c r="J584" s="4">
        <v>46062</v>
      </c>
      <c r="K584" s="1" t="s">
        <v>1484</v>
      </c>
    </row>
    <row r="585" spans="1:11" x14ac:dyDescent="0.35">
      <c r="A585" s="1" t="s">
        <v>1453</v>
      </c>
      <c r="B585" s="1" t="s">
        <v>1461</v>
      </c>
      <c r="C585" s="1" t="s">
        <v>1502</v>
      </c>
      <c r="D585" s="1" t="str">
        <f t="shared" si="28"/>
        <v>8415</v>
      </c>
      <c r="E585" s="1" t="str">
        <f>"015802497"</f>
        <v>015802497</v>
      </c>
      <c r="F585" s="1" t="s">
        <v>22</v>
      </c>
      <c r="G585" s="1" t="s">
        <v>47</v>
      </c>
      <c r="H585" s="1" t="str">
        <f>"1"</f>
        <v>1</v>
      </c>
      <c r="I585" s="3">
        <v>120.1</v>
      </c>
      <c r="J585" s="4">
        <v>46062</v>
      </c>
      <c r="K585" s="1" t="s">
        <v>1484</v>
      </c>
    </row>
    <row r="586" spans="1:11" x14ac:dyDescent="0.35">
      <c r="A586" s="1" t="s">
        <v>1453</v>
      </c>
      <c r="B586" s="1" t="s">
        <v>1461</v>
      </c>
      <c r="C586" s="1" t="s">
        <v>1503</v>
      </c>
      <c r="D586" s="1" t="str">
        <f t="shared" si="28"/>
        <v>8415</v>
      </c>
      <c r="E586" s="1" t="str">
        <f>"015802502"</f>
        <v>015802502</v>
      </c>
      <c r="F586" s="1" t="s">
        <v>22</v>
      </c>
      <c r="G586" s="1" t="s">
        <v>47</v>
      </c>
      <c r="H586" s="1" t="str">
        <f>"1"</f>
        <v>1</v>
      </c>
      <c r="I586" s="3">
        <v>120.1</v>
      </c>
      <c r="J586" s="4">
        <v>46062</v>
      </c>
      <c r="K586" s="1" t="s">
        <v>1484</v>
      </c>
    </row>
    <row r="587" spans="1:11" x14ac:dyDescent="0.35">
      <c r="A587" s="1" t="s">
        <v>1453</v>
      </c>
      <c r="B587" s="1" t="s">
        <v>1461</v>
      </c>
      <c r="C587" s="1" t="s">
        <v>1504</v>
      </c>
      <c r="D587" s="1" t="str">
        <f t="shared" si="28"/>
        <v>8415</v>
      </c>
      <c r="E587" s="1" t="str">
        <f>"015802518"</f>
        <v>015802518</v>
      </c>
      <c r="F587" s="1" t="s">
        <v>22</v>
      </c>
      <c r="G587" s="1" t="s">
        <v>47</v>
      </c>
      <c r="H587" s="1" t="str">
        <f>"1"</f>
        <v>1</v>
      </c>
      <c r="I587" s="3">
        <v>120.1</v>
      </c>
      <c r="J587" s="4">
        <v>46062</v>
      </c>
      <c r="K587" s="1" t="s">
        <v>1484</v>
      </c>
    </row>
    <row r="588" spans="1:11" x14ac:dyDescent="0.35">
      <c r="A588" s="1" t="s">
        <v>1453</v>
      </c>
      <c r="B588" s="1" t="s">
        <v>1461</v>
      </c>
      <c r="C588" s="1" t="s">
        <v>1505</v>
      </c>
      <c r="D588" s="1" t="str">
        <f t="shared" si="28"/>
        <v>8415</v>
      </c>
      <c r="E588" s="1" t="str">
        <f>"015802782"</f>
        <v>015802782</v>
      </c>
      <c r="F588" s="1" t="s">
        <v>18</v>
      </c>
      <c r="G588" s="1" t="s">
        <v>15</v>
      </c>
      <c r="H588" s="1" t="str">
        <f>"1"</f>
        <v>1</v>
      </c>
      <c r="I588" s="3">
        <v>146.81</v>
      </c>
      <c r="J588" s="4">
        <v>46062</v>
      </c>
      <c r="K588" s="1" t="s">
        <v>1484</v>
      </c>
    </row>
    <row r="589" spans="1:11" x14ac:dyDescent="0.35">
      <c r="A589" s="1" t="s">
        <v>1453</v>
      </c>
      <c r="B589" s="1" t="s">
        <v>1461</v>
      </c>
      <c r="C589" s="1" t="s">
        <v>1506</v>
      </c>
      <c r="D589" s="1" t="str">
        <f t="shared" si="28"/>
        <v>8415</v>
      </c>
      <c r="E589" s="1" t="str">
        <f>"015802788"</f>
        <v>015802788</v>
      </c>
      <c r="F589" s="1" t="s">
        <v>18</v>
      </c>
      <c r="G589" s="1" t="s">
        <v>15</v>
      </c>
      <c r="H589" s="1" t="str">
        <f>"3"</f>
        <v>3</v>
      </c>
      <c r="I589" s="3">
        <v>146.81</v>
      </c>
      <c r="J589" s="4">
        <v>46062</v>
      </c>
      <c r="K589" s="1" t="s">
        <v>1484</v>
      </c>
    </row>
    <row r="590" spans="1:11" x14ac:dyDescent="0.35">
      <c r="A590" s="1" t="s">
        <v>1453</v>
      </c>
      <c r="B590" s="1" t="s">
        <v>1461</v>
      </c>
      <c r="C590" s="1" t="s">
        <v>1507</v>
      </c>
      <c r="D590" s="1" t="str">
        <f t="shared" si="28"/>
        <v>8415</v>
      </c>
      <c r="E590" s="1" t="str">
        <f>"015802854"</f>
        <v>015802854</v>
      </c>
      <c r="F590" s="1" t="s">
        <v>18</v>
      </c>
      <c r="G590" s="1" t="s">
        <v>15</v>
      </c>
      <c r="H590" s="1" t="str">
        <f>"1"</f>
        <v>1</v>
      </c>
      <c r="I590" s="3">
        <v>146.83000000000001</v>
      </c>
      <c r="J590" s="4">
        <v>46062</v>
      </c>
      <c r="K590" s="1" t="s">
        <v>1484</v>
      </c>
    </row>
    <row r="591" spans="1:11" x14ac:dyDescent="0.35">
      <c r="A591" s="1" t="s">
        <v>1453</v>
      </c>
      <c r="B591" s="1" t="s">
        <v>1461</v>
      </c>
      <c r="C591" s="1" t="s">
        <v>1508</v>
      </c>
      <c r="D591" s="1" t="str">
        <f t="shared" si="28"/>
        <v>8415</v>
      </c>
      <c r="E591" s="1" t="str">
        <f>"015802856"</f>
        <v>015802856</v>
      </c>
      <c r="F591" s="1" t="s">
        <v>18</v>
      </c>
      <c r="G591" s="1" t="s">
        <v>15</v>
      </c>
      <c r="H591" s="1" t="str">
        <f>"3"</f>
        <v>3</v>
      </c>
      <c r="I591" s="3">
        <v>146.16</v>
      </c>
      <c r="J591" s="4">
        <v>46062</v>
      </c>
      <c r="K591" s="1" t="s">
        <v>1484</v>
      </c>
    </row>
    <row r="592" spans="1:11" x14ac:dyDescent="0.35">
      <c r="A592" s="1" t="s">
        <v>1453</v>
      </c>
      <c r="B592" s="1" t="s">
        <v>1461</v>
      </c>
      <c r="C592" s="1" t="s">
        <v>1509</v>
      </c>
      <c r="D592" s="1" t="str">
        <f t="shared" si="28"/>
        <v>8415</v>
      </c>
      <c r="E592" s="1" t="str">
        <f>"015802856"</f>
        <v>015802856</v>
      </c>
      <c r="F592" s="1" t="s">
        <v>18</v>
      </c>
      <c r="G592" s="1" t="s">
        <v>15</v>
      </c>
      <c r="H592" s="1" t="str">
        <f>"2"</f>
        <v>2</v>
      </c>
      <c r="I592" s="3">
        <v>146.16</v>
      </c>
      <c r="J592" s="4">
        <v>46062</v>
      </c>
      <c r="K592" s="1" t="s">
        <v>1484</v>
      </c>
    </row>
    <row r="593" spans="1:11" x14ac:dyDescent="0.35">
      <c r="A593" s="1" t="s">
        <v>1453</v>
      </c>
      <c r="B593" s="1" t="s">
        <v>1461</v>
      </c>
      <c r="C593" s="1" t="s">
        <v>1510</v>
      </c>
      <c r="D593" s="1" t="str">
        <f t="shared" si="28"/>
        <v>8415</v>
      </c>
      <c r="E593" s="1" t="str">
        <f>"015802904"</f>
        <v>015802904</v>
      </c>
      <c r="F593" s="1" t="s">
        <v>18</v>
      </c>
      <c r="G593" s="1" t="s">
        <v>15</v>
      </c>
      <c r="H593" s="1" t="str">
        <f>"3"</f>
        <v>3</v>
      </c>
      <c r="I593" s="3">
        <v>150.29</v>
      </c>
      <c r="J593" s="4">
        <v>46062</v>
      </c>
      <c r="K593" s="1" t="s">
        <v>1484</v>
      </c>
    </row>
    <row r="594" spans="1:11" x14ac:dyDescent="0.35">
      <c r="A594" s="1" t="s">
        <v>1453</v>
      </c>
      <c r="B594" s="1" t="s">
        <v>1461</v>
      </c>
      <c r="C594" s="1" t="s">
        <v>1513</v>
      </c>
      <c r="D594" s="1" t="str">
        <f t="shared" si="28"/>
        <v>8415</v>
      </c>
      <c r="E594" s="1" t="str">
        <f>"015802468"</f>
        <v>015802468</v>
      </c>
      <c r="F594" s="1" t="s">
        <v>22</v>
      </c>
      <c r="G594" s="1" t="s">
        <v>47</v>
      </c>
      <c r="H594" s="1" t="str">
        <f t="shared" ref="H594:H604" si="29">"1"</f>
        <v>1</v>
      </c>
      <c r="I594" s="3">
        <v>120.1</v>
      </c>
      <c r="J594" s="4">
        <v>46062</v>
      </c>
      <c r="K594" s="1" t="s">
        <v>1484</v>
      </c>
    </row>
    <row r="595" spans="1:11" x14ac:dyDescent="0.35">
      <c r="A595" s="1" t="s">
        <v>1453</v>
      </c>
      <c r="B595" s="1" t="s">
        <v>1461</v>
      </c>
      <c r="C595" s="1" t="s">
        <v>1462</v>
      </c>
      <c r="D595" s="1" t="str">
        <f t="shared" ref="D595:D611" si="30">"8415"</f>
        <v>8415</v>
      </c>
      <c r="E595" s="1" t="str">
        <f>"015840985"</f>
        <v>015840985</v>
      </c>
      <c r="F595" s="1" t="s">
        <v>1463</v>
      </c>
      <c r="G595" s="1" t="s">
        <v>15</v>
      </c>
      <c r="H595" s="1" t="str">
        <f t="shared" si="29"/>
        <v>1</v>
      </c>
      <c r="I595" s="3">
        <v>134.36000000000001</v>
      </c>
      <c r="J595" s="4">
        <v>46099</v>
      </c>
      <c r="K595" s="1" t="s">
        <v>1464</v>
      </c>
    </row>
    <row r="596" spans="1:11" x14ac:dyDescent="0.35">
      <c r="A596" s="1" t="s">
        <v>1453</v>
      </c>
      <c r="B596" s="1" t="s">
        <v>1461</v>
      </c>
      <c r="C596" s="1" t="s">
        <v>1465</v>
      </c>
      <c r="D596" s="1" t="str">
        <f t="shared" si="30"/>
        <v>8415</v>
      </c>
      <c r="E596" s="1" t="str">
        <f>"015840985"</f>
        <v>015840985</v>
      </c>
      <c r="F596" s="1" t="s">
        <v>1463</v>
      </c>
      <c r="G596" s="1" t="s">
        <v>15</v>
      </c>
      <c r="H596" s="1" t="str">
        <f t="shared" si="29"/>
        <v>1</v>
      </c>
      <c r="I596" s="3">
        <v>134.36000000000001</v>
      </c>
      <c r="J596" s="4">
        <v>46099</v>
      </c>
      <c r="K596" s="1" t="s">
        <v>1464</v>
      </c>
    </row>
    <row r="597" spans="1:11" x14ac:dyDescent="0.35">
      <c r="A597" s="1" t="s">
        <v>1453</v>
      </c>
      <c r="B597" s="1" t="s">
        <v>1461</v>
      </c>
      <c r="C597" s="1" t="s">
        <v>1466</v>
      </c>
      <c r="D597" s="1" t="str">
        <f t="shared" si="30"/>
        <v>8415</v>
      </c>
      <c r="E597" s="1" t="str">
        <f>"015840985"</f>
        <v>015840985</v>
      </c>
      <c r="F597" s="1" t="s">
        <v>1463</v>
      </c>
      <c r="G597" s="1" t="s">
        <v>15</v>
      </c>
      <c r="H597" s="1" t="str">
        <f t="shared" si="29"/>
        <v>1</v>
      </c>
      <c r="I597" s="3">
        <v>134.36000000000001</v>
      </c>
      <c r="J597" s="4">
        <v>46102</v>
      </c>
      <c r="K597" s="1" t="s">
        <v>1464</v>
      </c>
    </row>
    <row r="598" spans="1:11" x14ac:dyDescent="0.35">
      <c r="A598" s="1" t="s">
        <v>1453</v>
      </c>
      <c r="B598" s="1" t="s">
        <v>1461</v>
      </c>
      <c r="C598" s="1" t="s">
        <v>1467</v>
      </c>
      <c r="D598" s="1" t="str">
        <f t="shared" si="30"/>
        <v>8415</v>
      </c>
      <c r="E598" s="1" t="str">
        <f>"015989331"</f>
        <v>015989331</v>
      </c>
      <c r="F598" s="1" t="s">
        <v>758</v>
      </c>
      <c r="G598" s="1" t="s">
        <v>47</v>
      </c>
      <c r="H598" s="1" t="str">
        <f t="shared" si="29"/>
        <v>1</v>
      </c>
      <c r="I598" s="3">
        <v>135.96</v>
      </c>
      <c r="J598" s="4">
        <v>46102</v>
      </c>
      <c r="K598" s="1" t="s">
        <v>1464</v>
      </c>
    </row>
    <row r="599" spans="1:11" x14ac:dyDescent="0.35">
      <c r="A599" s="1" t="s">
        <v>1453</v>
      </c>
      <c r="B599" s="1" t="s">
        <v>1461</v>
      </c>
      <c r="C599" s="1" t="s">
        <v>1468</v>
      </c>
      <c r="D599" s="1" t="str">
        <f t="shared" si="30"/>
        <v>8415</v>
      </c>
      <c r="E599" s="1" t="str">
        <f>"015803191"</f>
        <v>015803191</v>
      </c>
      <c r="F599" s="1" t="s">
        <v>758</v>
      </c>
      <c r="G599" s="1" t="s">
        <v>47</v>
      </c>
      <c r="H599" s="1" t="str">
        <f t="shared" si="29"/>
        <v>1</v>
      </c>
      <c r="I599" s="3">
        <v>113.3</v>
      </c>
      <c r="J599" s="4">
        <v>46102</v>
      </c>
      <c r="K599" s="1" t="s">
        <v>1464</v>
      </c>
    </row>
    <row r="600" spans="1:11" x14ac:dyDescent="0.35">
      <c r="A600" s="1" t="s">
        <v>1453</v>
      </c>
      <c r="B600" s="1" t="s">
        <v>1461</v>
      </c>
      <c r="C600" s="1" t="s">
        <v>1469</v>
      </c>
      <c r="D600" s="1" t="str">
        <f t="shared" si="30"/>
        <v>8415</v>
      </c>
      <c r="E600" s="1" t="str">
        <f>"015802990"</f>
        <v>015802990</v>
      </c>
      <c r="F600" s="1" t="s">
        <v>819</v>
      </c>
      <c r="G600" s="1" t="s">
        <v>47</v>
      </c>
      <c r="H600" s="1" t="str">
        <f t="shared" si="29"/>
        <v>1</v>
      </c>
      <c r="I600" s="3">
        <v>113.3</v>
      </c>
      <c r="J600" s="4">
        <v>46102</v>
      </c>
      <c r="K600" s="1" t="s">
        <v>1464</v>
      </c>
    </row>
    <row r="601" spans="1:11" x14ac:dyDescent="0.35">
      <c r="A601" s="1" t="s">
        <v>1453</v>
      </c>
      <c r="B601" s="1" t="s">
        <v>1461</v>
      </c>
      <c r="C601" s="1" t="s">
        <v>1470</v>
      </c>
      <c r="D601" s="1" t="str">
        <f t="shared" si="30"/>
        <v>8415</v>
      </c>
      <c r="E601" s="1" t="str">
        <f>"015802990"</f>
        <v>015802990</v>
      </c>
      <c r="F601" s="1" t="s">
        <v>819</v>
      </c>
      <c r="G601" s="1" t="s">
        <v>47</v>
      </c>
      <c r="H601" s="1" t="str">
        <f t="shared" si="29"/>
        <v>1</v>
      </c>
      <c r="I601" s="3">
        <v>113.3</v>
      </c>
      <c r="J601" s="4">
        <v>46102</v>
      </c>
      <c r="K601" s="1" t="s">
        <v>1464</v>
      </c>
    </row>
    <row r="602" spans="1:11" x14ac:dyDescent="0.35">
      <c r="A602" s="1" t="s">
        <v>1453</v>
      </c>
      <c r="B602" s="1" t="s">
        <v>1461</v>
      </c>
      <c r="C602" s="1" t="s">
        <v>1471</v>
      </c>
      <c r="D602" s="1" t="str">
        <f t="shared" si="30"/>
        <v>8415</v>
      </c>
      <c r="E602" s="1" t="str">
        <f>"015802990"</f>
        <v>015802990</v>
      </c>
      <c r="F602" s="1" t="s">
        <v>819</v>
      </c>
      <c r="G602" s="1" t="s">
        <v>47</v>
      </c>
      <c r="H602" s="1" t="str">
        <f t="shared" si="29"/>
        <v>1</v>
      </c>
      <c r="I602" s="3">
        <v>113.3</v>
      </c>
      <c r="J602" s="4">
        <v>46102</v>
      </c>
      <c r="K602" s="1" t="s">
        <v>1464</v>
      </c>
    </row>
    <row r="603" spans="1:11" x14ac:dyDescent="0.35">
      <c r="A603" s="1" t="s">
        <v>1453</v>
      </c>
      <c r="B603" s="1" t="s">
        <v>1461</v>
      </c>
      <c r="C603" s="1" t="s">
        <v>1472</v>
      </c>
      <c r="D603" s="1" t="str">
        <f t="shared" si="30"/>
        <v>8415</v>
      </c>
      <c r="E603" s="1" t="str">
        <f>"016411701"</f>
        <v>016411701</v>
      </c>
      <c r="F603" s="1" t="s">
        <v>758</v>
      </c>
      <c r="G603" s="1" t="s">
        <v>47</v>
      </c>
      <c r="H603" s="1" t="str">
        <f t="shared" si="29"/>
        <v>1</v>
      </c>
      <c r="I603" s="3">
        <v>100.61</v>
      </c>
      <c r="J603" s="4">
        <v>46102</v>
      </c>
      <c r="K603" s="1" t="s">
        <v>1464</v>
      </c>
    </row>
    <row r="604" spans="1:11" x14ac:dyDescent="0.35">
      <c r="A604" s="1" t="s">
        <v>1453</v>
      </c>
      <c r="B604" s="1" t="s">
        <v>1461</v>
      </c>
      <c r="C604" s="1" t="s">
        <v>1473</v>
      </c>
      <c r="D604" s="1" t="str">
        <f t="shared" si="30"/>
        <v>8415</v>
      </c>
      <c r="E604" s="1" t="str">
        <f>"016411695"</f>
        <v>016411695</v>
      </c>
      <c r="F604" s="1" t="s">
        <v>758</v>
      </c>
      <c r="G604" s="1" t="s">
        <v>47</v>
      </c>
      <c r="H604" s="1" t="str">
        <f t="shared" si="29"/>
        <v>1</v>
      </c>
      <c r="I604" s="3">
        <v>100.61</v>
      </c>
      <c r="J604" s="4">
        <v>46102</v>
      </c>
      <c r="K604" s="1" t="s">
        <v>1464</v>
      </c>
    </row>
    <row r="605" spans="1:11" x14ac:dyDescent="0.35">
      <c r="A605" s="1" t="s">
        <v>1453</v>
      </c>
      <c r="B605" s="1" t="s">
        <v>1461</v>
      </c>
      <c r="C605" s="1" t="s">
        <v>1474</v>
      </c>
      <c r="D605" s="1" t="str">
        <f t="shared" si="30"/>
        <v>8415</v>
      </c>
      <c r="E605" s="1" t="str">
        <f>"016411690"</f>
        <v>016411690</v>
      </c>
      <c r="F605" s="1" t="s">
        <v>758</v>
      </c>
      <c r="G605" s="1" t="s">
        <v>47</v>
      </c>
      <c r="H605" s="1" t="str">
        <f>"2"</f>
        <v>2</v>
      </c>
      <c r="I605" s="3">
        <v>100.61</v>
      </c>
      <c r="J605" s="4">
        <v>46102</v>
      </c>
      <c r="K605" s="1" t="s">
        <v>1464</v>
      </c>
    </row>
    <row r="606" spans="1:11" x14ac:dyDescent="0.35">
      <c r="A606" s="1" t="s">
        <v>1453</v>
      </c>
      <c r="B606" s="1" t="s">
        <v>1461</v>
      </c>
      <c r="C606" s="1" t="s">
        <v>1475</v>
      </c>
      <c r="D606" s="1" t="str">
        <f t="shared" si="30"/>
        <v>8415</v>
      </c>
      <c r="E606" s="1" t="str">
        <f>"016411695"</f>
        <v>016411695</v>
      </c>
      <c r="F606" s="1" t="s">
        <v>758</v>
      </c>
      <c r="G606" s="1" t="s">
        <v>47</v>
      </c>
      <c r="H606" s="1" t="str">
        <f>"1"</f>
        <v>1</v>
      </c>
      <c r="I606" s="3">
        <v>100.61</v>
      </c>
      <c r="J606" s="4">
        <v>46102</v>
      </c>
      <c r="K606" s="1" t="s">
        <v>1464</v>
      </c>
    </row>
    <row r="607" spans="1:11" x14ac:dyDescent="0.35">
      <c r="A607" s="1" t="s">
        <v>1453</v>
      </c>
      <c r="B607" s="1" t="s">
        <v>1461</v>
      </c>
      <c r="C607" s="1" t="s">
        <v>1476</v>
      </c>
      <c r="D607" s="1" t="str">
        <f t="shared" si="30"/>
        <v>8415</v>
      </c>
      <c r="E607" s="1" t="str">
        <f>"015841735"</f>
        <v>015841735</v>
      </c>
      <c r="F607" s="1" t="s">
        <v>1477</v>
      </c>
      <c r="G607" s="1" t="s">
        <v>15</v>
      </c>
      <c r="H607" s="1" t="str">
        <f>"2"</f>
        <v>2</v>
      </c>
      <c r="I607" s="3">
        <v>136.19999999999999</v>
      </c>
      <c r="J607" s="4">
        <v>46102</v>
      </c>
      <c r="K607" s="1" t="s">
        <v>1464</v>
      </c>
    </row>
    <row r="608" spans="1:11" x14ac:dyDescent="0.35">
      <c r="A608" s="1" t="s">
        <v>1453</v>
      </c>
      <c r="B608" s="1" t="s">
        <v>1461</v>
      </c>
      <c r="C608" s="1" t="s">
        <v>1511</v>
      </c>
      <c r="D608" s="1" t="str">
        <f t="shared" si="30"/>
        <v>8415</v>
      </c>
      <c r="E608" s="1" t="str">
        <f>"015802504"</f>
        <v>015802504</v>
      </c>
      <c r="F608" s="1" t="s">
        <v>22</v>
      </c>
      <c r="G608" s="1" t="s">
        <v>47</v>
      </c>
      <c r="H608" s="1" t="str">
        <f>"2"</f>
        <v>2</v>
      </c>
      <c r="I608" s="3">
        <v>120.1</v>
      </c>
      <c r="J608" s="4">
        <v>46102</v>
      </c>
      <c r="K608" s="1" t="s">
        <v>1464</v>
      </c>
    </row>
    <row r="609" spans="1:11" x14ac:dyDescent="0.35">
      <c r="A609" s="1" t="s">
        <v>1453</v>
      </c>
      <c r="B609" s="1" t="s">
        <v>1461</v>
      </c>
      <c r="C609" s="1" t="s">
        <v>1512</v>
      </c>
      <c r="D609" s="1" t="str">
        <f t="shared" si="30"/>
        <v>8415</v>
      </c>
      <c r="E609" s="1" t="str">
        <f>"015802468"</f>
        <v>015802468</v>
      </c>
      <c r="F609" s="1" t="s">
        <v>22</v>
      </c>
      <c r="G609" s="1" t="s">
        <v>47</v>
      </c>
      <c r="H609" s="1" t="str">
        <f>"4"</f>
        <v>4</v>
      </c>
      <c r="I609" s="3">
        <v>120.1</v>
      </c>
      <c r="J609" s="4">
        <v>46102</v>
      </c>
      <c r="K609" s="1" t="s">
        <v>1464</v>
      </c>
    </row>
    <row r="610" spans="1:11" x14ac:dyDescent="0.35">
      <c r="A610" s="1" t="s">
        <v>1453</v>
      </c>
      <c r="B610" s="1" t="s">
        <v>1461</v>
      </c>
      <c r="C610" s="1" t="s">
        <v>1514</v>
      </c>
      <c r="D610" s="1" t="str">
        <f t="shared" si="30"/>
        <v>8415</v>
      </c>
      <c r="E610" s="1" t="str">
        <f>"015803306"</f>
        <v>015803306</v>
      </c>
      <c r="F610" s="1" t="s">
        <v>758</v>
      </c>
      <c r="G610" s="1" t="s">
        <v>47</v>
      </c>
      <c r="H610" s="1" t="str">
        <f>"1"</f>
        <v>1</v>
      </c>
      <c r="I610" s="3">
        <v>113.3</v>
      </c>
      <c r="J610" s="4">
        <v>46102</v>
      </c>
      <c r="K610" s="1" t="s">
        <v>1464</v>
      </c>
    </row>
    <row r="611" spans="1:11" x14ac:dyDescent="0.35">
      <c r="A611" s="1" t="s">
        <v>1453</v>
      </c>
      <c r="B611" s="1" t="s">
        <v>1461</v>
      </c>
      <c r="C611" s="1" t="s">
        <v>1515</v>
      </c>
      <c r="D611" s="1" t="str">
        <f t="shared" si="30"/>
        <v>8415</v>
      </c>
      <c r="E611" s="1" t="str">
        <f>"015802991"</f>
        <v>015802991</v>
      </c>
      <c r="F611" s="1" t="s">
        <v>758</v>
      </c>
      <c r="G611" s="1" t="s">
        <v>47</v>
      </c>
      <c r="H611" s="1" t="str">
        <f>"1"</f>
        <v>1</v>
      </c>
      <c r="I611" s="3">
        <v>113.3</v>
      </c>
      <c r="J611" s="4">
        <v>46102</v>
      </c>
      <c r="K611" s="1" t="s">
        <v>1464</v>
      </c>
    </row>
    <row r="612" spans="1:11" x14ac:dyDescent="0.35">
      <c r="A612" s="1" t="s">
        <v>1516</v>
      </c>
      <c r="B612" s="1" t="s">
        <v>1651</v>
      </c>
      <c r="C612" s="1" t="s">
        <v>1667</v>
      </c>
      <c r="D612" s="1" t="str">
        <f>"2320"</f>
        <v>2320</v>
      </c>
      <c r="E612" s="1" t="s">
        <v>100</v>
      </c>
      <c r="F612" s="1" t="s">
        <v>101</v>
      </c>
      <c r="G612" s="1" t="s">
        <v>15</v>
      </c>
      <c r="H612" s="1" t="str">
        <f>"1"</f>
        <v>1</v>
      </c>
      <c r="I612" s="3" t="str">
        <f>"65161"</f>
        <v>65161</v>
      </c>
      <c r="J612" s="4">
        <v>46030</v>
      </c>
      <c r="K612" s="1" t="s">
        <v>1668</v>
      </c>
    </row>
    <row r="613" spans="1:11" x14ac:dyDescent="0.35">
      <c r="A613" s="1" t="s">
        <v>1516</v>
      </c>
      <c r="B613" s="1" t="s">
        <v>1651</v>
      </c>
      <c r="C613" s="1" t="s">
        <v>1673</v>
      </c>
      <c r="D613" s="1" t="str">
        <f>"2320"</f>
        <v>2320</v>
      </c>
      <c r="E613" s="1" t="s">
        <v>100</v>
      </c>
      <c r="F613" s="1" t="s">
        <v>101</v>
      </c>
      <c r="G613" s="1" t="s">
        <v>15</v>
      </c>
      <c r="H613" s="1" t="str">
        <f>"1"</f>
        <v>1</v>
      </c>
      <c r="I613" s="3" t="str">
        <f>"75659"</f>
        <v>75659</v>
      </c>
      <c r="J613" s="4">
        <v>46030</v>
      </c>
      <c r="K613" s="1" t="s">
        <v>1668</v>
      </c>
    </row>
    <row r="614" spans="1:11" x14ac:dyDescent="0.35">
      <c r="A614" s="1" t="s">
        <v>1516</v>
      </c>
      <c r="B614" s="1" t="s">
        <v>1651</v>
      </c>
      <c r="C614" s="1" t="s">
        <v>1696</v>
      </c>
      <c r="D614" s="1" t="str">
        <f>"5130"</f>
        <v>5130</v>
      </c>
      <c r="E614" s="1" t="str">
        <f>"014454866"</f>
        <v>014454866</v>
      </c>
      <c r="F614" s="1" t="s">
        <v>1697</v>
      </c>
      <c r="G614" s="1" t="s">
        <v>15</v>
      </c>
      <c r="H614" s="1" t="str">
        <f>"4"</f>
        <v>4</v>
      </c>
      <c r="I614" s="3">
        <v>250.17</v>
      </c>
      <c r="J614" s="4">
        <v>46030</v>
      </c>
      <c r="K614" s="1" t="s">
        <v>1698</v>
      </c>
    </row>
    <row r="615" spans="1:11" x14ac:dyDescent="0.35">
      <c r="A615" s="1" t="s">
        <v>1516</v>
      </c>
      <c r="B615" s="1" t="s">
        <v>1651</v>
      </c>
      <c r="C615" s="1" t="s">
        <v>1663</v>
      </c>
      <c r="D615" s="1" t="str">
        <f>"2320"</f>
        <v>2320</v>
      </c>
      <c r="E615" s="1" t="s">
        <v>1664</v>
      </c>
      <c r="F615" s="1" t="s">
        <v>1665</v>
      </c>
      <c r="G615" s="1" t="s">
        <v>15</v>
      </c>
      <c r="H615" s="1" t="str">
        <f>"1"</f>
        <v>1</v>
      </c>
      <c r="I615" s="3">
        <v>24563.200000000001</v>
      </c>
      <c r="J615" s="4">
        <v>46037</v>
      </c>
      <c r="K615" s="1" t="s">
        <v>1666</v>
      </c>
    </row>
    <row r="616" spans="1:11" x14ac:dyDescent="0.35">
      <c r="A616" s="1" t="s">
        <v>1516</v>
      </c>
      <c r="B616" s="1" t="s">
        <v>1651</v>
      </c>
      <c r="C616" s="1" t="s">
        <v>1671</v>
      </c>
      <c r="D616" s="1" t="str">
        <f>"2320"</f>
        <v>2320</v>
      </c>
      <c r="E616" s="1" t="s">
        <v>1664</v>
      </c>
      <c r="F616" s="1" t="s">
        <v>1665</v>
      </c>
      <c r="G616" s="1" t="s">
        <v>15</v>
      </c>
      <c r="H616" s="1" t="str">
        <f>"1"</f>
        <v>1</v>
      </c>
      <c r="I616" s="3">
        <v>47151.85</v>
      </c>
      <c r="J616" s="4">
        <v>46037</v>
      </c>
      <c r="K616" s="1" t="s">
        <v>1672</v>
      </c>
    </row>
    <row r="617" spans="1:11" x14ac:dyDescent="0.35">
      <c r="A617" s="1" t="s">
        <v>1516</v>
      </c>
      <c r="B617" s="1" t="s">
        <v>1651</v>
      </c>
      <c r="C617" s="1" t="s">
        <v>1676</v>
      </c>
      <c r="D617" s="1" t="str">
        <f>"3920"</f>
        <v>3920</v>
      </c>
      <c r="E617" s="1" t="str">
        <f>"014638450"</f>
        <v>014638450</v>
      </c>
      <c r="F617" s="1" t="s">
        <v>1677</v>
      </c>
      <c r="G617" s="1" t="s">
        <v>15</v>
      </c>
      <c r="H617" s="1" t="str">
        <f>"2"</f>
        <v>2</v>
      </c>
      <c r="I617" s="3">
        <v>697.97</v>
      </c>
      <c r="J617" s="4">
        <v>46037</v>
      </c>
      <c r="K617" s="1" t="s">
        <v>1678</v>
      </c>
    </row>
    <row r="618" spans="1:11" x14ac:dyDescent="0.35">
      <c r="A618" s="1" t="s">
        <v>1516</v>
      </c>
      <c r="B618" s="1" t="s">
        <v>1651</v>
      </c>
      <c r="C618" s="1" t="s">
        <v>1686</v>
      </c>
      <c r="D618" s="1" t="str">
        <f>"4130"</f>
        <v>4130</v>
      </c>
      <c r="E618" s="1" t="str">
        <f>"014590584"</f>
        <v>014590584</v>
      </c>
      <c r="F618" s="1" t="s">
        <v>1687</v>
      </c>
      <c r="G618" s="1" t="s">
        <v>15</v>
      </c>
      <c r="H618" s="1" t="str">
        <f>"3"</f>
        <v>3</v>
      </c>
      <c r="I618" s="3">
        <v>2673.18</v>
      </c>
      <c r="J618" s="4">
        <v>46037</v>
      </c>
      <c r="K618" s="1" t="s">
        <v>1688</v>
      </c>
    </row>
    <row r="619" spans="1:11" x14ac:dyDescent="0.35">
      <c r="A619" s="1" t="s">
        <v>1516</v>
      </c>
      <c r="B619" s="1" t="s">
        <v>1651</v>
      </c>
      <c r="C619" s="1" t="s">
        <v>1692</v>
      </c>
      <c r="D619" s="1" t="str">
        <f>"4520"</f>
        <v>4520</v>
      </c>
      <c r="E619" s="1" t="str">
        <f>"014318927"</f>
        <v>014318927</v>
      </c>
      <c r="F619" s="1" t="s">
        <v>138</v>
      </c>
      <c r="G619" s="1" t="s">
        <v>15</v>
      </c>
      <c r="H619" s="1" t="str">
        <f>"1"</f>
        <v>1</v>
      </c>
      <c r="I619" s="3">
        <v>16718.580000000002</v>
      </c>
      <c r="J619" s="4">
        <v>46037</v>
      </c>
      <c r="K619" s="1" t="s">
        <v>1693</v>
      </c>
    </row>
    <row r="620" spans="1:11" x14ac:dyDescent="0.35">
      <c r="A620" s="1" t="s">
        <v>1516</v>
      </c>
      <c r="B620" s="1" t="s">
        <v>1651</v>
      </c>
      <c r="C620" s="1" t="s">
        <v>1652</v>
      </c>
      <c r="D620" s="1" t="str">
        <f>"1095"</f>
        <v>1095</v>
      </c>
      <c r="E620" s="1" t="str">
        <f>"015449199"</f>
        <v>015449199</v>
      </c>
      <c r="F620" s="1" t="s">
        <v>1653</v>
      </c>
      <c r="G620" s="1" t="s">
        <v>15</v>
      </c>
      <c r="H620" s="1" t="str">
        <f>"8"</f>
        <v>8</v>
      </c>
      <c r="I620" s="3">
        <v>203.45</v>
      </c>
      <c r="J620" s="4">
        <v>46043</v>
      </c>
      <c r="K620" s="1" t="s">
        <v>1654</v>
      </c>
    </row>
    <row r="621" spans="1:11" x14ac:dyDescent="0.35">
      <c r="A621" s="1" t="s">
        <v>1516</v>
      </c>
      <c r="B621" s="1" t="s">
        <v>1651</v>
      </c>
      <c r="C621" s="1" t="s">
        <v>1655</v>
      </c>
      <c r="D621" s="1" t="str">
        <f>"1095"</f>
        <v>1095</v>
      </c>
      <c r="E621" s="1" t="str">
        <f>"015452308"</f>
        <v>015452308</v>
      </c>
      <c r="F621" s="1" t="s">
        <v>1656</v>
      </c>
      <c r="G621" s="1" t="s">
        <v>15</v>
      </c>
      <c r="H621" s="1" t="str">
        <f>"7"</f>
        <v>7</v>
      </c>
      <c r="I621" s="3">
        <v>148.44</v>
      </c>
      <c r="J621" s="4">
        <v>46043</v>
      </c>
      <c r="K621" s="1" t="s">
        <v>1654</v>
      </c>
    </row>
    <row r="622" spans="1:11" x14ac:dyDescent="0.35">
      <c r="A622" s="1" t="s">
        <v>1516</v>
      </c>
      <c r="B622" s="1" t="s">
        <v>1651</v>
      </c>
      <c r="C622" s="1" t="s">
        <v>1753</v>
      </c>
      <c r="D622" s="1" t="str">
        <f>"8115"</f>
        <v>8115</v>
      </c>
      <c r="E622" s="1" t="str">
        <f>"013540797"</f>
        <v>013540797</v>
      </c>
      <c r="F622" s="1" t="s">
        <v>1116</v>
      </c>
      <c r="G622" s="1" t="s">
        <v>15</v>
      </c>
      <c r="H622" s="1" t="str">
        <f>"2"</f>
        <v>2</v>
      </c>
      <c r="I622" s="3">
        <v>2546.7199999999998</v>
      </c>
      <c r="J622" s="4">
        <v>46043</v>
      </c>
      <c r="K622" s="1" t="s">
        <v>1754</v>
      </c>
    </row>
    <row r="623" spans="1:11" x14ac:dyDescent="0.35">
      <c r="A623" s="1" t="s">
        <v>1516</v>
      </c>
      <c r="B623" s="1" t="s">
        <v>1651</v>
      </c>
      <c r="C623" s="1" t="s">
        <v>1679</v>
      </c>
      <c r="D623" s="1" t="str">
        <f>"3940"</f>
        <v>3940</v>
      </c>
      <c r="E623" s="1" t="str">
        <f>"015740271"</f>
        <v>015740271</v>
      </c>
      <c r="F623" s="1" t="s">
        <v>1680</v>
      </c>
      <c r="G623" s="1" t="s">
        <v>15</v>
      </c>
      <c r="H623" s="1" t="str">
        <f>"2"</f>
        <v>2</v>
      </c>
      <c r="I623" s="3">
        <v>1433.52</v>
      </c>
      <c r="J623" s="4">
        <v>46045</v>
      </c>
      <c r="K623" s="1" t="s">
        <v>1681</v>
      </c>
    </row>
    <row r="624" spans="1:11" x14ac:dyDescent="0.35">
      <c r="A624" s="1" t="s">
        <v>1516</v>
      </c>
      <c r="B624" s="1" t="s">
        <v>1651</v>
      </c>
      <c r="C624" s="1" t="s">
        <v>1682</v>
      </c>
      <c r="D624" s="1" t="str">
        <f>"4010"</f>
        <v>4010</v>
      </c>
      <c r="E624" s="1" t="str">
        <f>"015409438"</f>
        <v>015409438</v>
      </c>
      <c r="F624" s="1" t="s">
        <v>1683</v>
      </c>
      <c r="G624" s="1" t="s">
        <v>15</v>
      </c>
      <c r="H624" s="1" t="str">
        <f>"1"</f>
        <v>1</v>
      </c>
      <c r="I624" s="3">
        <v>40.75</v>
      </c>
      <c r="J624" s="4">
        <v>46045</v>
      </c>
      <c r="K624" s="1" t="s">
        <v>1684</v>
      </c>
    </row>
    <row r="625" spans="1:11" x14ac:dyDescent="0.35">
      <c r="A625" s="1" t="s">
        <v>1516</v>
      </c>
      <c r="B625" s="1" t="s">
        <v>1651</v>
      </c>
      <c r="C625" s="1" t="s">
        <v>1685</v>
      </c>
      <c r="D625" s="1" t="str">
        <f>"4010"</f>
        <v>4010</v>
      </c>
      <c r="E625" s="1" t="str">
        <f>"015409438"</f>
        <v>015409438</v>
      </c>
      <c r="F625" s="1" t="s">
        <v>1683</v>
      </c>
      <c r="G625" s="1" t="s">
        <v>15</v>
      </c>
      <c r="H625" s="1" t="str">
        <f>"1"</f>
        <v>1</v>
      </c>
      <c r="I625" s="3">
        <v>40.75</v>
      </c>
      <c r="J625" s="4">
        <v>46045</v>
      </c>
      <c r="K625" s="1" t="s">
        <v>1684</v>
      </c>
    </row>
    <row r="626" spans="1:11" x14ac:dyDescent="0.35">
      <c r="A626" s="1" t="s">
        <v>1516</v>
      </c>
      <c r="B626" s="1" t="s">
        <v>1777</v>
      </c>
      <c r="C626" s="1" t="s">
        <v>1778</v>
      </c>
      <c r="D626" s="1" t="str">
        <f>"4220"</f>
        <v>4220</v>
      </c>
      <c r="E626" s="1" t="str">
        <f>"012516466"</f>
        <v>012516466</v>
      </c>
      <c r="F626" s="1" t="s">
        <v>1779</v>
      </c>
      <c r="G626" s="1" t="s">
        <v>15</v>
      </c>
      <c r="H626" s="1" t="str">
        <f>"2"</f>
        <v>2</v>
      </c>
      <c r="I626" s="3">
        <v>477.08</v>
      </c>
      <c r="J626" s="4">
        <v>46049</v>
      </c>
      <c r="K626" s="1" t="s">
        <v>1780</v>
      </c>
    </row>
    <row r="627" spans="1:11" x14ac:dyDescent="0.35">
      <c r="A627" s="1" t="s">
        <v>1516</v>
      </c>
      <c r="B627" s="1" t="s">
        <v>1520</v>
      </c>
      <c r="C627" s="1" t="s">
        <v>1521</v>
      </c>
      <c r="D627" s="1" t="str">
        <f>"2320"</f>
        <v>2320</v>
      </c>
      <c r="E627" s="1" t="str">
        <f>"009354448"</f>
        <v>009354448</v>
      </c>
      <c r="F627" s="1" t="s">
        <v>394</v>
      </c>
      <c r="G627" s="1" t="s">
        <v>15</v>
      </c>
      <c r="H627" s="1" t="str">
        <f>"1"</f>
        <v>1</v>
      </c>
      <c r="I627" s="3" t="str">
        <f>"116776"</f>
        <v>116776</v>
      </c>
      <c r="J627" s="4">
        <v>46056</v>
      </c>
      <c r="K627" s="1" t="s">
        <v>1522</v>
      </c>
    </row>
    <row r="628" spans="1:11" x14ac:dyDescent="0.35">
      <c r="A628" s="1" t="s">
        <v>1516</v>
      </c>
      <c r="B628" s="1" t="s">
        <v>1520</v>
      </c>
      <c r="C628" s="1" t="s">
        <v>1525</v>
      </c>
      <c r="D628" s="1" t="str">
        <f>"2330"</f>
        <v>2330</v>
      </c>
      <c r="E628" s="1" t="str">
        <f>"000140494"</f>
        <v>000140494</v>
      </c>
      <c r="F628" s="1" t="s">
        <v>1526</v>
      </c>
      <c r="G628" s="1" t="s">
        <v>15</v>
      </c>
      <c r="H628" s="1" t="str">
        <f>"1"</f>
        <v>1</v>
      </c>
      <c r="I628" s="3" t="str">
        <f>"8134"</f>
        <v>8134</v>
      </c>
      <c r="J628" s="4">
        <v>46056</v>
      </c>
      <c r="K628" s="1" t="s">
        <v>1527</v>
      </c>
    </row>
    <row r="629" spans="1:11" x14ac:dyDescent="0.35">
      <c r="A629" s="1" t="s">
        <v>1516</v>
      </c>
      <c r="B629" s="1" t="s">
        <v>1517</v>
      </c>
      <c r="C629" s="1" t="s">
        <v>1518</v>
      </c>
      <c r="D629" s="1" t="str">
        <f>"1240"</f>
        <v>1240</v>
      </c>
      <c r="E629" s="1" t="str">
        <f>"014111265"</f>
        <v>014111265</v>
      </c>
      <c r="F629" s="1" t="s">
        <v>71</v>
      </c>
      <c r="G629" s="1" t="s">
        <v>15</v>
      </c>
      <c r="H629" s="1" t="str">
        <f>"3"</f>
        <v>3</v>
      </c>
      <c r="I629" s="3" t="str">
        <f>"339"</f>
        <v>339</v>
      </c>
      <c r="J629" s="4">
        <v>46059</v>
      </c>
      <c r="K629" s="1" t="s">
        <v>1519</v>
      </c>
    </row>
    <row r="630" spans="1:11" x14ac:dyDescent="0.35">
      <c r="A630" s="1" t="s">
        <v>1516</v>
      </c>
      <c r="B630" s="1" t="s">
        <v>1651</v>
      </c>
      <c r="C630" s="1" t="s">
        <v>1689</v>
      </c>
      <c r="D630" s="1" t="str">
        <f>"4240"</f>
        <v>4240</v>
      </c>
      <c r="E630" s="1" t="str">
        <f>"015184626"</f>
        <v>015184626</v>
      </c>
      <c r="F630" s="1" t="s">
        <v>1690</v>
      </c>
      <c r="G630" s="1" t="s">
        <v>15</v>
      </c>
      <c r="H630" s="1" t="str">
        <f>"6"</f>
        <v>6</v>
      </c>
      <c r="I630" s="3">
        <v>6334.95</v>
      </c>
      <c r="J630" s="4">
        <v>46062</v>
      </c>
      <c r="K630" s="1" t="s">
        <v>1691</v>
      </c>
    </row>
    <row r="631" spans="1:11" x14ac:dyDescent="0.35">
      <c r="A631" s="1" t="s">
        <v>1516</v>
      </c>
      <c r="B631" s="1" t="s">
        <v>1651</v>
      </c>
      <c r="C631" s="1" t="s">
        <v>1694</v>
      </c>
      <c r="D631" s="1" t="str">
        <f>"4910"</f>
        <v>4910</v>
      </c>
      <c r="E631" s="1" t="s">
        <v>145</v>
      </c>
      <c r="F631" s="1" t="s">
        <v>146</v>
      </c>
      <c r="G631" s="1" t="s">
        <v>15</v>
      </c>
      <c r="H631" s="1" t="str">
        <f>"2"</f>
        <v>2</v>
      </c>
      <c r="I631" s="3" t="str">
        <f>"500"</f>
        <v>500</v>
      </c>
      <c r="J631" s="4">
        <v>46062</v>
      </c>
      <c r="K631" s="1" t="s">
        <v>1695</v>
      </c>
    </row>
    <row r="632" spans="1:11" x14ac:dyDescent="0.35">
      <c r="A632" s="1" t="s">
        <v>1516</v>
      </c>
      <c r="B632" s="1" t="s">
        <v>1651</v>
      </c>
      <c r="C632" s="1" t="s">
        <v>1705</v>
      </c>
      <c r="D632" s="1" t="str">
        <f>"6115"</f>
        <v>6115</v>
      </c>
      <c r="E632" s="1" t="s">
        <v>157</v>
      </c>
      <c r="F632" s="1" t="s">
        <v>158</v>
      </c>
      <c r="G632" s="1" t="s">
        <v>15</v>
      </c>
      <c r="H632" s="1" t="str">
        <f>"2"</f>
        <v>2</v>
      </c>
      <c r="I632" s="3">
        <v>2292.92</v>
      </c>
      <c r="J632" s="4">
        <v>46062</v>
      </c>
      <c r="K632" s="1" t="s">
        <v>1706</v>
      </c>
    </row>
    <row r="633" spans="1:11" x14ac:dyDescent="0.35">
      <c r="A633" s="1" t="s">
        <v>1516</v>
      </c>
      <c r="B633" s="1" t="s">
        <v>1651</v>
      </c>
      <c r="C633" s="1" t="s">
        <v>1707</v>
      </c>
      <c r="D633" s="1" t="str">
        <f>"6115"</f>
        <v>6115</v>
      </c>
      <c r="E633" s="1" t="s">
        <v>157</v>
      </c>
      <c r="F633" s="1" t="s">
        <v>158</v>
      </c>
      <c r="G633" s="1" t="s">
        <v>15</v>
      </c>
      <c r="H633" s="1" t="str">
        <f>"1"</f>
        <v>1</v>
      </c>
      <c r="I633" s="3">
        <v>2292.92</v>
      </c>
      <c r="J633" s="4">
        <v>46062</v>
      </c>
      <c r="K633" s="1" t="s">
        <v>1706</v>
      </c>
    </row>
    <row r="634" spans="1:11" x14ac:dyDescent="0.35">
      <c r="A634" s="1" t="s">
        <v>1516</v>
      </c>
      <c r="B634" s="1" t="s">
        <v>1651</v>
      </c>
      <c r="C634" s="1" t="s">
        <v>1727</v>
      </c>
      <c r="D634" s="1" t="str">
        <f>"6760"</f>
        <v>6760</v>
      </c>
      <c r="E634" s="1" t="str">
        <f>"016416562"</f>
        <v>016416562</v>
      </c>
      <c r="F634" s="1" t="s">
        <v>1728</v>
      </c>
      <c r="G634" s="1" t="s">
        <v>15</v>
      </c>
      <c r="H634" s="1" t="str">
        <f>"2"</f>
        <v>2</v>
      </c>
      <c r="I634" s="3">
        <v>718.36</v>
      </c>
      <c r="J634" s="4">
        <v>46062</v>
      </c>
      <c r="K634" s="1" t="s">
        <v>1729</v>
      </c>
    </row>
    <row r="635" spans="1:11" x14ac:dyDescent="0.35">
      <c r="A635" s="1" t="s">
        <v>1516</v>
      </c>
      <c r="B635" s="1" t="s">
        <v>1651</v>
      </c>
      <c r="C635" s="1" t="s">
        <v>1730</v>
      </c>
      <c r="D635" s="1" t="str">
        <f>"6760"</f>
        <v>6760</v>
      </c>
      <c r="E635" s="1" t="s">
        <v>1731</v>
      </c>
      <c r="F635" s="1" t="s">
        <v>1732</v>
      </c>
      <c r="G635" s="1" t="s">
        <v>15</v>
      </c>
      <c r="H635" s="1" t="str">
        <f>"14"</f>
        <v>14</v>
      </c>
      <c r="I635" s="3">
        <v>188.78</v>
      </c>
      <c r="J635" s="4">
        <v>46062</v>
      </c>
      <c r="K635" s="1" t="s">
        <v>1733</v>
      </c>
    </row>
    <row r="636" spans="1:11" x14ac:dyDescent="0.35">
      <c r="A636" s="1" t="s">
        <v>1516</v>
      </c>
      <c r="B636" s="1" t="s">
        <v>1651</v>
      </c>
      <c r="C636" s="1" t="s">
        <v>1738</v>
      </c>
      <c r="D636" s="1" t="str">
        <f>"7025"</f>
        <v>7025</v>
      </c>
      <c r="E636" s="1" t="s">
        <v>1739</v>
      </c>
      <c r="F636" s="1" t="s">
        <v>1740</v>
      </c>
      <c r="G636" s="1" t="s">
        <v>15</v>
      </c>
      <c r="H636" s="1" t="str">
        <f>"1"</f>
        <v>1</v>
      </c>
      <c r="I636" s="3" t="str">
        <f>"100"</f>
        <v>100</v>
      </c>
      <c r="J636" s="4">
        <v>46062</v>
      </c>
      <c r="K636" s="1" t="s">
        <v>1741</v>
      </c>
    </row>
    <row r="637" spans="1:11" x14ac:dyDescent="0.35">
      <c r="A637" s="1" t="s">
        <v>1516</v>
      </c>
      <c r="B637" s="1" t="s">
        <v>1520</v>
      </c>
      <c r="C637" s="1" t="s">
        <v>1523</v>
      </c>
      <c r="D637" s="1" t="str">
        <f>"2330"</f>
        <v>2330</v>
      </c>
      <c r="E637" s="1" t="s">
        <v>104</v>
      </c>
      <c r="F637" s="1" t="s">
        <v>105</v>
      </c>
      <c r="G637" s="1" t="s">
        <v>15</v>
      </c>
      <c r="H637" s="1" t="str">
        <f>"1"</f>
        <v>1</v>
      </c>
      <c r="I637" s="3" t="str">
        <f>"65000"</f>
        <v>65000</v>
      </c>
      <c r="J637" s="4">
        <v>46069</v>
      </c>
      <c r="K637" s="1" t="s">
        <v>1524</v>
      </c>
    </row>
    <row r="638" spans="1:11" x14ac:dyDescent="0.35">
      <c r="A638" s="1" t="s">
        <v>1516</v>
      </c>
      <c r="B638" s="1" t="s">
        <v>1651</v>
      </c>
      <c r="C638" s="1" t="s">
        <v>1661</v>
      </c>
      <c r="D638" s="1" t="str">
        <f>"2320"</f>
        <v>2320</v>
      </c>
      <c r="E638" s="1" t="s">
        <v>100</v>
      </c>
      <c r="F638" s="1" t="s">
        <v>101</v>
      </c>
      <c r="G638" s="1" t="s">
        <v>15</v>
      </c>
      <c r="H638" s="1" t="str">
        <f>"1"</f>
        <v>1</v>
      </c>
      <c r="I638" s="3" t="str">
        <f>"40000"</f>
        <v>40000</v>
      </c>
      <c r="J638" s="4">
        <v>46069</v>
      </c>
      <c r="K638" s="1" t="s">
        <v>1662</v>
      </c>
    </row>
    <row r="639" spans="1:11" x14ac:dyDescent="0.35">
      <c r="A639" s="1" t="s">
        <v>1516</v>
      </c>
      <c r="B639" s="1" t="s">
        <v>1651</v>
      </c>
      <c r="C639" s="1" t="s">
        <v>1669</v>
      </c>
      <c r="D639" s="1" t="str">
        <f>"2320"</f>
        <v>2320</v>
      </c>
      <c r="E639" s="1" t="s">
        <v>1016</v>
      </c>
      <c r="F639" s="1" t="s">
        <v>1017</v>
      </c>
      <c r="G639" s="1" t="s">
        <v>15</v>
      </c>
      <c r="H639" s="1" t="str">
        <f>"1"</f>
        <v>1</v>
      </c>
      <c r="I639" s="3" t="str">
        <f>"165000"</f>
        <v>165000</v>
      </c>
      <c r="J639" s="4">
        <v>46069</v>
      </c>
      <c r="K639" s="1" t="s">
        <v>1670</v>
      </c>
    </row>
    <row r="640" spans="1:11" x14ac:dyDescent="0.35">
      <c r="A640" s="1" t="s">
        <v>1516</v>
      </c>
      <c r="B640" s="1" t="s">
        <v>1651</v>
      </c>
      <c r="C640" s="1" t="s">
        <v>1674</v>
      </c>
      <c r="D640" s="1" t="str">
        <f>"2320"</f>
        <v>2320</v>
      </c>
      <c r="E640" s="1" t="s">
        <v>1016</v>
      </c>
      <c r="F640" s="1" t="s">
        <v>1017</v>
      </c>
      <c r="G640" s="1" t="s">
        <v>15</v>
      </c>
      <c r="H640" s="1" t="str">
        <f>"1"</f>
        <v>1</v>
      </c>
      <c r="I640" s="3">
        <v>25765.1</v>
      </c>
      <c r="J640" s="4">
        <v>46069</v>
      </c>
      <c r="K640" s="1" t="s">
        <v>1675</v>
      </c>
    </row>
    <row r="641" spans="1:11" x14ac:dyDescent="0.35">
      <c r="A641" s="1" t="s">
        <v>1516</v>
      </c>
      <c r="B641" s="1" t="s">
        <v>1651</v>
      </c>
      <c r="C641" s="1" t="s">
        <v>1699</v>
      </c>
      <c r="D641" s="1" t="str">
        <f>"5340"</f>
        <v>5340</v>
      </c>
      <c r="E641" s="1" t="s">
        <v>1700</v>
      </c>
      <c r="F641" s="1" t="s">
        <v>1701</v>
      </c>
      <c r="G641" s="1" t="s">
        <v>15</v>
      </c>
      <c r="H641" s="1" t="str">
        <f>"9"</f>
        <v>9</v>
      </c>
      <c r="I641" s="3" t="str">
        <f>"30"</f>
        <v>30</v>
      </c>
      <c r="J641" s="4">
        <v>46069</v>
      </c>
      <c r="K641" s="1" t="s">
        <v>1702</v>
      </c>
    </row>
    <row r="642" spans="1:11" x14ac:dyDescent="0.35">
      <c r="A642" s="1" t="s">
        <v>1516</v>
      </c>
      <c r="B642" s="1" t="s">
        <v>1651</v>
      </c>
      <c r="C642" s="1" t="s">
        <v>1703</v>
      </c>
      <c r="D642" s="1" t="str">
        <f>"5965"</f>
        <v>5965</v>
      </c>
      <c r="E642" s="1" t="str">
        <f>"016190258"</f>
        <v>016190258</v>
      </c>
      <c r="F642" s="1" t="s">
        <v>209</v>
      </c>
      <c r="G642" s="1" t="s">
        <v>15</v>
      </c>
      <c r="H642" s="1" t="str">
        <f>"40"</f>
        <v>40</v>
      </c>
      <c r="I642" s="3" t="str">
        <f>"3049"</f>
        <v>3049</v>
      </c>
      <c r="J642" s="4">
        <v>46069</v>
      </c>
      <c r="K642" s="1" t="s">
        <v>1704</v>
      </c>
    </row>
    <row r="643" spans="1:11" x14ac:dyDescent="0.35">
      <c r="A643" s="1" t="s">
        <v>1516</v>
      </c>
      <c r="B643" s="1" t="s">
        <v>1651</v>
      </c>
      <c r="C643" s="1" t="s">
        <v>1708</v>
      </c>
      <c r="D643" s="1" t="str">
        <f>"6130"</f>
        <v>6130</v>
      </c>
      <c r="E643" s="1" t="s">
        <v>1709</v>
      </c>
      <c r="F643" s="1" t="s">
        <v>1710</v>
      </c>
      <c r="G643" s="1" t="s">
        <v>15</v>
      </c>
      <c r="H643" s="1" t="str">
        <f>"1"</f>
        <v>1</v>
      </c>
      <c r="I643" s="3" t="str">
        <f>"11500"</f>
        <v>11500</v>
      </c>
      <c r="J643" s="4">
        <v>46069</v>
      </c>
      <c r="K643" s="1" t="s">
        <v>1711</v>
      </c>
    </row>
    <row r="644" spans="1:11" x14ac:dyDescent="0.35">
      <c r="A644" s="1" t="s">
        <v>1516</v>
      </c>
      <c r="B644" s="1" t="s">
        <v>1651</v>
      </c>
      <c r="C644" s="1" t="s">
        <v>1718</v>
      </c>
      <c r="D644" s="1" t="str">
        <f>"6720"</f>
        <v>6720</v>
      </c>
      <c r="E644" s="1" t="s">
        <v>1719</v>
      </c>
      <c r="F644" s="1" t="s">
        <v>1720</v>
      </c>
      <c r="G644" s="1" t="s">
        <v>15</v>
      </c>
      <c r="H644" s="1" t="str">
        <f>"1"</f>
        <v>1</v>
      </c>
      <c r="I644" s="3" t="str">
        <f>"250"</f>
        <v>250</v>
      </c>
      <c r="J644" s="4">
        <v>46069</v>
      </c>
      <c r="K644" s="1" t="s">
        <v>1721</v>
      </c>
    </row>
    <row r="645" spans="1:11" x14ac:dyDescent="0.35">
      <c r="A645" s="1" t="s">
        <v>1516</v>
      </c>
      <c r="B645" s="1" t="s">
        <v>1651</v>
      </c>
      <c r="C645" s="1" t="s">
        <v>1722</v>
      </c>
      <c r="D645" s="1" t="str">
        <f>"6720"</f>
        <v>6720</v>
      </c>
      <c r="E645" s="1" t="s">
        <v>1719</v>
      </c>
      <c r="F645" s="1" t="s">
        <v>1720</v>
      </c>
      <c r="G645" s="1" t="s">
        <v>15</v>
      </c>
      <c r="H645" s="1" t="str">
        <f>"1"</f>
        <v>1</v>
      </c>
      <c r="I645" s="3" t="str">
        <f>"400"</f>
        <v>400</v>
      </c>
      <c r="J645" s="4">
        <v>46069</v>
      </c>
      <c r="K645" s="1" t="s">
        <v>1721</v>
      </c>
    </row>
    <row r="646" spans="1:11" x14ac:dyDescent="0.35">
      <c r="A646" s="1" t="s">
        <v>1516</v>
      </c>
      <c r="B646" s="1" t="s">
        <v>1651</v>
      </c>
      <c r="C646" s="1" t="s">
        <v>1723</v>
      </c>
      <c r="D646" s="1" t="str">
        <f>"6720"</f>
        <v>6720</v>
      </c>
      <c r="E646" s="1" t="s">
        <v>1719</v>
      </c>
      <c r="F646" s="1" t="s">
        <v>1720</v>
      </c>
      <c r="G646" s="1" t="s">
        <v>15</v>
      </c>
      <c r="H646" s="1" t="str">
        <f>"1"</f>
        <v>1</v>
      </c>
      <c r="I646" s="3" t="str">
        <f>"600"</f>
        <v>600</v>
      </c>
      <c r="J646" s="4">
        <v>46069</v>
      </c>
      <c r="K646" s="1" t="s">
        <v>1721</v>
      </c>
    </row>
    <row r="647" spans="1:11" x14ac:dyDescent="0.35">
      <c r="A647" s="1" t="s">
        <v>1516</v>
      </c>
      <c r="B647" s="1" t="s">
        <v>1651</v>
      </c>
      <c r="C647" s="1" t="s">
        <v>1734</v>
      </c>
      <c r="D647" s="1" t="str">
        <f>"6760"</f>
        <v>6760</v>
      </c>
      <c r="E647" s="1" t="s">
        <v>1735</v>
      </c>
      <c r="F647" s="1" t="s">
        <v>1736</v>
      </c>
      <c r="G647" s="1" t="s">
        <v>15</v>
      </c>
      <c r="H647" s="1" t="str">
        <f>"2"</f>
        <v>2</v>
      </c>
      <c r="I647" s="3" t="str">
        <f>"350"</f>
        <v>350</v>
      </c>
      <c r="J647" s="4">
        <v>46069</v>
      </c>
      <c r="K647" s="1" t="s">
        <v>1737</v>
      </c>
    </row>
    <row r="648" spans="1:11" x14ac:dyDescent="0.35">
      <c r="A648" s="1" t="s">
        <v>1516</v>
      </c>
      <c r="B648" s="1" t="s">
        <v>1651</v>
      </c>
      <c r="C648" s="1" t="s">
        <v>1742</v>
      </c>
      <c r="D648" s="1" t="str">
        <f>"7025"</f>
        <v>7025</v>
      </c>
      <c r="E648" s="1" t="s">
        <v>1743</v>
      </c>
      <c r="F648" s="1" t="s">
        <v>1744</v>
      </c>
      <c r="G648" s="1" t="s">
        <v>257</v>
      </c>
      <c r="H648" s="1" t="str">
        <f>"20"</f>
        <v>20</v>
      </c>
      <c r="I648" s="3" t="str">
        <f>"90"</f>
        <v>90</v>
      </c>
      <c r="J648" s="4">
        <v>46069</v>
      </c>
      <c r="K648" s="1" t="s">
        <v>1745</v>
      </c>
    </row>
    <row r="649" spans="1:11" x14ac:dyDescent="0.35">
      <c r="A649" s="1" t="s">
        <v>1516</v>
      </c>
      <c r="B649" s="1" t="s">
        <v>1651</v>
      </c>
      <c r="C649" s="1" t="s">
        <v>1746</v>
      </c>
      <c r="D649" s="1" t="str">
        <f>"7210"</f>
        <v>7210</v>
      </c>
      <c r="E649" s="1" t="str">
        <f>"002998518"</f>
        <v>002998518</v>
      </c>
      <c r="F649" s="1" t="s">
        <v>1747</v>
      </c>
      <c r="G649" s="1" t="s">
        <v>15</v>
      </c>
      <c r="H649" s="1" t="str">
        <f>"24"</f>
        <v>24</v>
      </c>
      <c r="I649" s="3">
        <v>196.33</v>
      </c>
      <c r="J649" s="4">
        <v>46069</v>
      </c>
      <c r="K649" s="1" t="s">
        <v>1748</v>
      </c>
    </row>
    <row r="650" spans="1:11" x14ac:dyDescent="0.35">
      <c r="A650" s="1" t="s">
        <v>1516</v>
      </c>
      <c r="B650" s="1" t="s">
        <v>1651</v>
      </c>
      <c r="C650" s="1" t="s">
        <v>1749</v>
      </c>
      <c r="D650" s="1" t="str">
        <f>"7730"</f>
        <v>7730</v>
      </c>
      <c r="E650" s="1" t="s">
        <v>1750</v>
      </c>
      <c r="F650" s="1" t="s">
        <v>1751</v>
      </c>
      <c r="G650" s="1" t="s">
        <v>15</v>
      </c>
      <c r="H650" s="1" t="str">
        <f t="shared" ref="H650:H656" si="31">"1"</f>
        <v>1</v>
      </c>
      <c r="I650" s="3" t="str">
        <f>"500"</f>
        <v>500</v>
      </c>
      <c r="J650" s="4">
        <v>46069</v>
      </c>
      <c r="K650" s="1" t="s">
        <v>1752</v>
      </c>
    </row>
    <row r="651" spans="1:11" x14ac:dyDescent="0.35">
      <c r="A651" s="1" t="s">
        <v>1516</v>
      </c>
      <c r="B651" s="1" t="s">
        <v>1651</v>
      </c>
      <c r="C651" s="1" t="s">
        <v>1657</v>
      </c>
      <c r="D651" s="1" t="str">
        <f>"2310"</f>
        <v>2310</v>
      </c>
      <c r="E651" s="1" t="str">
        <f>"010907741"</f>
        <v>010907741</v>
      </c>
      <c r="F651" s="1" t="s">
        <v>710</v>
      </c>
      <c r="G651" s="1" t="s">
        <v>15</v>
      </c>
      <c r="H651" s="1" t="str">
        <f t="shared" si="31"/>
        <v>1</v>
      </c>
      <c r="I651" s="3" t="str">
        <f>"30027"</f>
        <v>30027</v>
      </c>
      <c r="J651" s="4">
        <v>46070</v>
      </c>
      <c r="K651" s="1" t="s">
        <v>1658</v>
      </c>
    </row>
    <row r="652" spans="1:11" x14ac:dyDescent="0.35">
      <c r="A652" s="1" t="s">
        <v>1516</v>
      </c>
      <c r="B652" s="1" t="s">
        <v>1651</v>
      </c>
      <c r="C652" s="1" t="s">
        <v>1659</v>
      </c>
      <c r="D652" s="1" t="str">
        <f>"2310"</f>
        <v>2310</v>
      </c>
      <c r="E652" s="1" t="str">
        <f>"010907741"</f>
        <v>010907741</v>
      </c>
      <c r="F652" s="1" t="s">
        <v>710</v>
      </c>
      <c r="G652" s="1" t="s">
        <v>15</v>
      </c>
      <c r="H652" s="1" t="str">
        <f t="shared" si="31"/>
        <v>1</v>
      </c>
      <c r="I652" s="3" t="str">
        <f>"30027"</f>
        <v>30027</v>
      </c>
      <c r="J652" s="4">
        <v>46070</v>
      </c>
      <c r="K652" s="1" t="s">
        <v>1658</v>
      </c>
    </row>
    <row r="653" spans="1:11" x14ac:dyDescent="0.35">
      <c r="A653" s="1" t="s">
        <v>1516</v>
      </c>
      <c r="B653" s="1" t="s">
        <v>1651</v>
      </c>
      <c r="C653" s="1" t="s">
        <v>1660</v>
      </c>
      <c r="D653" s="1" t="str">
        <f>"2310"</f>
        <v>2310</v>
      </c>
      <c r="E653" s="1" t="str">
        <f>"010907741"</f>
        <v>010907741</v>
      </c>
      <c r="F653" s="1" t="s">
        <v>710</v>
      </c>
      <c r="G653" s="1" t="s">
        <v>15</v>
      </c>
      <c r="H653" s="1" t="str">
        <f t="shared" si="31"/>
        <v>1</v>
      </c>
      <c r="I653" s="3" t="str">
        <f>"30027"</f>
        <v>30027</v>
      </c>
      <c r="J653" s="4">
        <v>46070</v>
      </c>
      <c r="K653" s="1" t="s">
        <v>1658</v>
      </c>
    </row>
    <row r="654" spans="1:11" x14ac:dyDescent="0.35">
      <c r="A654" s="1" t="s">
        <v>1516</v>
      </c>
      <c r="B654" s="1" t="s">
        <v>1520</v>
      </c>
      <c r="C654" s="1" t="s">
        <v>1540</v>
      </c>
      <c r="D654" s="1" t="str">
        <f>"3825"</f>
        <v>3825</v>
      </c>
      <c r="E654" s="1" t="str">
        <f>"005541808"</f>
        <v>005541808</v>
      </c>
      <c r="F654" s="1" t="s">
        <v>1541</v>
      </c>
      <c r="G654" s="1" t="s">
        <v>15</v>
      </c>
      <c r="H654" s="1" t="str">
        <f t="shared" si="31"/>
        <v>1</v>
      </c>
      <c r="I654" s="3" t="str">
        <f>"149857"</f>
        <v>149857</v>
      </c>
      <c r="J654" s="4">
        <v>46072</v>
      </c>
      <c r="K654" s="1" t="s">
        <v>1542</v>
      </c>
    </row>
    <row r="655" spans="1:11" x14ac:dyDescent="0.35">
      <c r="A655" s="1" t="s">
        <v>1516</v>
      </c>
      <c r="B655" s="1" t="s">
        <v>1651</v>
      </c>
      <c r="C655" s="1" t="s">
        <v>1712</v>
      </c>
      <c r="D655" s="1" t="str">
        <f>"6310"</f>
        <v>6310</v>
      </c>
      <c r="E655" s="1" t="s">
        <v>1713</v>
      </c>
      <c r="F655" s="1" t="s">
        <v>1714</v>
      </c>
      <c r="G655" s="1" t="s">
        <v>15</v>
      </c>
      <c r="H655" s="1" t="str">
        <f t="shared" si="31"/>
        <v>1</v>
      </c>
      <c r="I655" s="3" t="str">
        <f>"7000"</f>
        <v>7000</v>
      </c>
      <c r="J655" s="4">
        <v>46072</v>
      </c>
      <c r="K655" s="1" t="s">
        <v>1715</v>
      </c>
    </row>
    <row r="656" spans="1:11" x14ac:dyDescent="0.35">
      <c r="A656" s="1" t="s">
        <v>1516</v>
      </c>
      <c r="B656" s="1" t="s">
        <v>1651</v>
      </c>
      <c r="C656" s="1" t="s">
        <v>1716</v>
      </c>
      <c r="D656" s="1" t="str">
        <f>"6310"</f>
        <v>6310</v>
      </c>
      <c r="E656" s="1" t="s">
        <v>1713</v>
      </c>
      <c r="F656" s="1" t="s">
        <v>1714</v>
      </c>
      <c r="G656" s="1" t="s">
        <v>15</v>
      </c>
      <c r="H656" s="1" t="str">
        <f t="shared" si="31"/>
        <v>1</v>
      </c>
      <c r="I656" s="3" t="str">
        <f>"7000"</f>
        <v>7000</v>
      </c>
      <c r="J656" s="4">
        <v>46072</v>
      </c>
      <c r="K656" s="1" t="s">
        <v>1717</v>
      </c>
    </row>
    <row r="657" spans="1:11" x14ac:dyDescent="0.35">
      <c r="A657" s="1" t="s">
        <v>1516</v>
      </c>
      <c r="B657" s="1" t="s">
        <v>1651</v>
      </c>
      <c r="C657" s="1" t="s">
        <v>1724</v>
      </c>
      <c r="D657" s="1" t="str">
        <f>"6720"</f>
        <v>6720</v>
      </c>
      <c r="E657" s="1" t="str">
        <f>"016877421"</f>
        <v>016877421</v>
      </c>
      <c r="F657" s="1" t="s">
        <v>1725</v>
      </c>
      <c r="G657" s="1" t="s">
        <v>15</v>
      </c>
      <c r="H657" s="1" t="str">
        <f>"5"</f>
        <v>5</v>
      </c>
      <c r="I657" s="3">
        <v>10613.84</v>
      </c>
      <c r="J657" s="4">
        <v>46072</v>
      </c>
      <c r="K657" s="1" t="s">
        <v>1726</v>
      </c>
    </row>
    <row r="658" spans="1:11" x14ac:dyDescent="0.35">
      <c r="A658" s="1" t="s">
        <v>1516</v>
      </c>
      <c r="B658" s="1" t="s">
        <v>1755</v>
      </c>
      <c r="C658" s="1" t="s">
        <v>1767</v>
      </c>
      <c r="D658" s="1" t="str">
        <f>"2320"</f>
        <v>2320</v>
      </c>
      <c r="E658" s="1" t="str">
        <f>"011513177"</f>
        <v>011513177</v>
      </c>
      <c r="F658" s="1" t="s">
        <v>1765</v>
      </c>
      <c r="G658" s="1" t="s">
        <v>15</v>
      </c>
      <c r="H658" s="1" t="str">
        <f>"1"</f>
        <v>1</v>
      </c>
      <c r="I658" s="3" t="str">
        <f>"29693"</f>
        <v>29693</v>
      </c>
      <c r="J658" s="4">
        <v>46078</v>
      </c>
      <c r="K658" s="1" t="s">
        <v>1768</v>
      </c>
    </row>
    <row r="659" spans="1:11" x14ac:dyDescent="0.35">
      <c r="A659" s="1" t="s">
        <v>1516</v>
      </c>
      <c r="B659" s="1" t="s">
        <v>1755</v>
      </c>
      <c r="C659" s="1" t="s">
        <v>1775</v>
      </c>
      <c r="D659" s="1" t="str">
        <f>"8145"</f>
        <v>8145</v>
      </c>
      <c r="E659" s="1" t="str">
        <f>"014654199"</f>
        <v>014654199</v>
      </c>
      <c r="F659" s="1" t="s">
        <v>753</v>
      </c>
      <c r="G659" s="1" t="s">
        <v>15</v>
      </c>
      <c r="H659" s="1" t="str">
        <f>"1"</f>
        <v>1</v>
      </c>
      <c r="I659" s="3">
        <v>17779.66</v>
      </c>
      <c r="J659" s="4">
        <v>46078</v>
      </c>
      <c r="K659" s="1" t="s">
        <v>1776</v>
      </c>
    </row>
    <row r="660" spans="1:11" x14ac:dyDescent="0.35">
      <c r="A660" s="1" t="s">
        <v>1516</v>
      </c>
      <c r="B660" s="1" t="s">
        <v>1781</v>
      </c>
      <c r="C660" s="1" t="s">
        <v>1782</v>
      </c>
      <c r="D660" s="1" t="str">
        <f>"2310"</f>
        <v>2310</v>
      </c>
      <c r="E660" s="1" t="str">
        <f>"016231545"</f>
        <v>016231545</v>
      </c>
      <c r="F660" s="1" t="s">
        <v>232</v>
      </c>
      <c r="G660" s="1" t="s">
        <v>15</v>
      </c>
      <c r="H660" s="1" t="str">
        <f>"1"</f>
        <v>1</v>
      </c>
      <c r="I660" s="3" t="str">
        <f>"32000"</f>
        <v>32000</v>
      </c>
      <c r="J660" s="4">
        <v>46078</v>
      </c>
      <c r="K660" s="1" t="s">
        <v>1783</v>
      </c>
    </row>
    <row r="661" spans="1:11" x14ac:dyDescent="0.35">
      <c r="A661" s="1" t="s">
        <v>1516</v>
      </c>
      <c r="B661" s="1" t="s">
        <v>1520</v>
      </c>
      <c r="C661" s="1" t="s">
        <v>1554</v>
      </c>
      <c r="D661" s="1" t="str">
        <f>"4240"</f>
        <v>4240</v>
      </c>
      <c r="E661" s="1" t="str">
        <f>"015119905"</f>
        <v>015119905</v>
      </c>
      <c r="F661" s="1" t="s">
        <v>1555</v>
      </c>
      <c r="G661" s="1" t="s">
        <v>293</v>
      </c>
      <c r="H661" s="1" t="str">
        <f>"6"</f>
        <v>6</v>
      </c>
      <c r="I661" s="3">
        <v>227.97</v>
      </c>
      <c r="J661" s="4">
        <v>46080</v>
      </c>
      <c r="K661" s="1" t="s">
        <v>1556</v>
      </c>
    </row>
    <row r="662" spans="1:11" x14ac:dyDescent="0.35">
      <c r="A662" s="1" t="s">
        <v>1516</v>
      </c>
      <c r="B662" s="1" t="s">
        <v>1755</v>
      </c>
      <c r="C662" s="1" t="s">
        <v>1756</v>
      </c>
      <c r="D662" s="1" t="str">
        <f>"2310"</f>
        <v>2310</v>
      </c>
      <c r="E662" s="1" t="str">
        <f>"010907739"</f>
        <v>010907739</v>
      </c>
      <c r="F662" s="1" t="s">
        <v>710</v>
      </c>
      <c r="G662" s="1" t="s">
        <v>15</v>
      </c>
      <c r="H662" s="1" t="str">
        <f>"1"</f>
        <v>1</v>
      </c>
      <c r="I662" s="3" t="str">
        <f>"9176"</f>
        <v>9176</v>
      </c>
      <c r="J662" s="4">
        <v>46086</v>
      </c>
      <c r="K662" s="1" t="s">
        <v>1757</v>
      </c>
    </row>
    <row r="663" spans="1:11" x14ac:dyDescent="0.35">
      <c r="A663" s="1" t="s">
        <v>1516</v>
      </c>
      <c r="B663" s="1" t="s">
        <v>1755</v>
      </c>
      <c r="C663" s="1" t="s">
        <v>1758</v>
      </c>
      <c r="D663" s="1" t="str">
        <f>"2310"</f>
        <v>2310</v>
      </c>
      <c r="E663" s="1" t="str">
        <f>"010907739"</f>
        <v>010907739</v>
      </c>
      <c r="F663" s="1" t="s">
        <v>710</v>
      </c>
      <c r="G663" s="1" t="s">
        <v>15</v>
      </c>
      <c r="H663" s="1" t="str">
        <f>"1"</f>
        <v>1</v>
      </c>
      <c r="I663" s="3" t="str">
        <f>"9176"</f>
        <v>9176</v>
      </c>
      <c r="J663" s="4">
        <v>46086</v>
      </c>
      <c r="K663" s="1" t="s">
        <v>1757</v>
      </c>
    </row>
    <row r="664" spans="1:11" x14ac:dyDescent="0.35">
      <c r="A664" s="1" t="s">
        <v>1516</v>
      </c>
      <c r="B664" s="1" t="s">
        <v>1755</v>
      </c>
      <c r="C664" s="1" t="s">
        <v>1759</v>
      </c>
      <c r="D664" s="1" t="str">
        <f>"2310"</f>
        <v>2310</v>
      </c>
      <c r="E664" s="1" t="str">
        <f>"010907739"</f>
        <v>010907739</v>
      </c>
      <c r="F664" s="1" t="s">
        <v>710</v>
      </c>
      <c r="G664" s="1" t="s">
        <v>15</v>
      </c>
      <c r="H664" s="1" t="str">
        <f>"1"</f>
        <v>1</v>
      </c>
      <c r="I664" s="3" t="str">
        <f>"9176"</f>
        <v>9176</v>
      </c>
      <c r="J664" s="4">
        <v>46086</v>
      </c>
      <c r="K664" s="1" t="s">
        <v>1757</v>
      </c>
    </row>
    <row r="665" spans="1:11" x14ac:dyDescent="0.35">
      <c r="A665" s="1" t="s">
        <v>1516</v>
      </c>
      <c r="B665" s="1" t="s">
        <v>1755</v>
      </c>
      <c r="C665" s="1" t="s">
        <v>1760</v>
      </c>
      <c r="D665" s="1" t="str">
        <f>"2310"</f>
        <v>2310</v>
      </c>
      <c r="E665" s="1" t="str">
        <f>"010907739"</f>
        <v>010907739</v>
      </c>
      <c r="F665" s="1" t="s">
        <v>710</v>
      </c>
      <c r="G665" s="1" t="s">
        <v>15</v>
      </c>
      <c r="H665" s="1" t="str">
        <f>"1"</f>
        <v>1</v>
      </c>
      <c r="I665" s="3" t="str">
        <f>"9176"</f>
        <v>9176</v>
      </c>
      <c r="J665" s="4">
        <v>46086</v>
      </c>
      <c r="K665" s="1" t="s">
        <v>1757</v>
      </c>
    </row>
    <row r="666" spans="1:11" x14ac:dyDescent="0.35">
      <c r="A666" s="1" t="s">
        <v>1516</v>
      </c>
      <c r="B666" s="1" t="s">
        <v>1520</v>
      </c>
      <c r="C666" s="1" t="s">
        <v>1535</v>
      </c>
      <c r="D666" s="1" t="str">
        <f>"3770"</f>
        <v>3770</v>
      </c>
      <c r="E666" s="1" t="str">
        <f>"016140683"</f>
        <v>016140683</v>
      </c>
      <c r="F666" s="1" t="s">
        <v>14</v>
      </c>
      <c r="G666" s="1" t="s">
        <v>15</v>
      </c>
      <c r="H666" s="1" t="str">
        <f>"4"</f>
        <v>4</v>
      </c>
      <c r="I666" s="3">
        <v>1878.96</v>
      </c>
      <c r="J666" s="4">
        <v>46087</v>
      </c>
      <c r="K666" s="1" t="s">
        <v>1536</v>
      </c>
    </row>
    <row r="667" spans="1:11" x14ac:dyDescent="0.35">
      <c r="A667" s="1" t="s">
        <v>1516</v>
      </c>
      <c r="B667" s="1" t="s">
        <v>1520</v>
      </c>
      <c r="C667" s="1" t="s">
        <v>1570</v>
      </c>
      <c r="D667" s="1" t="str">
        <f>"6230"</f>
        <v>6230</v>
      </c>
      <c r="E667" s="1" t="str">
        <f>"015894887"</f>
        <v>015894887</v>
      </c>
      <c r="F667" s="1" t="s">
        <v>1571</v>
      </c>
      <c r="G667" s="1" t="s">
        <v>15</v>
      </c>
      <c r="H667" s="1" t="str">
        <f>"35"</f>
        <v>35</v>
      </c>
      <c r="I667" s="3">
        <v>476.39</v>
      </c>
      <c r="J667" s="4">
        <v>46087</v>
      </c>
      <c r="K667" s="1" t="s">
        <v>1572</v>
      </c>
    </row>
    <row r="668" spans="1:11" x14ac:dyDescent="0.35">
      <c r="A668" s="1" t="s">
        <v>1516</v>
      </c>
      <c r="B668" s="1" t="s">
        <v>1520</v>
      </c>
      <c r="C668" s="1" t="s">
        <v>1573</v>
      </c>
      <c r="D668" s="1" t="str">
        <f>"6230"</f>
        <v>6230</v>
      </c>
      <c r="E668" s="1" t="str">
        <f>"015894887"</f>
        <v>015894887</v>
      </c>
      <c r="F668" s="1" t="s">
        <v>1571</v>
      </c>
      <c r="G668" s="1" t="s">
        <v>15</v>
      </c>
      <c r="H668" s="1" t="str">
        <f>"1"</f>
        <v>1</v>
      </c>
      <c r="I668" s="3">
        <v>476.39</v>
      </c>
      <c r="J668" s="4">
        <v>46087</v>
      </c>
      <c r="K668" s="1" t="s">
        <v>1574</v>
      </c>
    </row>
    <row r="669" spans="1:11" x14ac:dyDescent="0.35">
      <c r="A669" s="1" t="s">
        <v>1516</v>
      </c>
      <c r="B669" s="1" t="s">
        <v>1520</v>
      </c>
      <c r="C669" s="1" t="s">
        <v>1531</v>
      </c>
      <c r="D669" s="1" t="str">
        <f>"3750"</f>
        <v>3750</v>
      </c>
      <c r="E669" s="1" t="s">
        <v>120</v>
      </c>
      <c r="F669" s="1" t="s">
        <v>121</v>
      </c>
      <c r="G669" s="1" t="s">
        <v>15</v>
      </c>
      <c r="H669" s="1" t="str">
        <f>"2"</f>
        <v>2</v>
      </c>
      <c r="I669" s="3" t="str">
        <f>"2500"</f>
        <v>2500</v>
      </c>
      <c r="J669" s="4">
        <v>46090</v>
      </c>
      <c r="K669" s="1" t="s">
        <v>1532</v>
      </c>
    </row>
    <row r="670" spans="1:11" x14ac:dyDescent="0.35">
      <c r="A670" s="1" t="s">
        <v>1516</v>
      </c>
      <c r="B670" s="1" t="s">
        <v>1520</v>
      </c>
      <c r="C670" s="1" t="s">
        <v>1547</v>
      </c>
      <c r="D670" s="1" t="str">
        <f>"4210"</f>
        <v>4210</v>
      </c>
      <c r="E670" s="1" t="s">
        <v>1548</v>
      </c>
      <c r="F670" s="1" t="s">
        <v>1549</v>
      </c>
      <c r="G670" s="1" t="s">
        <v>15</v>
      </c>
      <c r="H670" s="1" t="str">
        <f>"1"</f>
        <v>1</v>
      </c>
      <c r="I670" s="3" t="str">
        <f>"10000"</f>
        <v>10000</v>
      </c>
      <c r="J670" s="4">
        <v>46090</v>
      </c>
      <c r="K670" s="1" t="s">
        <v>1550</v>
      </c>
    </row>
    <row r="671" spans="1:11" x14ac:dyDescent="0.35">
      <c r="A671" s="1" t="s">
        <v>1516</v>
      </c>
      <c r="B671" s="1" t="s">
        <v>1755</v>
      </c>
      <c r="C671" s="1" t="s">
        <v>1761</v>
      </c>
      <c r="D671" s="1" t="str">
        <f>"2320"</f>
        <v>2320</v>
      </c>
      <c r="E671" s="1" t="str">
        <f>"014225414"</f>
        <v>014225414</v>
      </c>
      <c r="F671" s="1" t="s">
        <v>1762</v>
      </c>
      <c r="G671" s="1" t="s">
        <v>15</v>
      </c>
      <c r="H671" s="1" t="str">
        <f>"1"</f>
        <v>1</v>
      </c>
      <c r="I671" s="3" t="str">
        <f>"182215"</f>
        <v>182215</v>
      </c>
      <c r="J671" s="4">
        <v>46099</v>
      </c>
      <c r="K671" s="1" t="s">
        <v>1763</v>
      </c>
    </row>
    <row r="672" spans="1:11" x14ac:dyDescent="0.35">
      <c r="A672" s="1" t="s">
        <v>1516</v>
      </c>
      <c r="B672" s="1" t="s">
        <v>1755</v>
      </c>
      <c r="C672" s="1" t="s">
        <v>1764</v>
      </c>
      <c r="D672" s="1" t="str">
        <f>"2320"</f>
        <v>2320</v>
      </c>
      <c r="E672" s="1" t="str">
        <f>"014960404"</f>
        <v>014960404</v>
      </c>
      <c r="F672" s="1" t="s">
        <v>1765</v>
      </c>
      <c r="G672" s="1" t="s">
        <v>15</v>
      </c>
      <c r="H672" s="1" t="str">
        <f>"1"</f>
        <v>1</v>
      </c>
      <c r="I672" s="3">
        <v>21441.29</v>
      </c>
      <c r="J672" s="4">
        <v>46101</v>
      </c>
      <c r="K672" s="1" t="s">
        <v>1766</v>
      </c>
    </row>
    <row r="673" spans="1:11" x14ac:dyDescent="0.35">
      <c r="A673" s="1" t="s">
        <v>1516</v>
      </c>
      <c r="B673" s="1" t="s">
        <v>1755</v>
      </c>
      <c r="C673" s="1" t="s">
        <v>1772</v>
      </c>
      <c r="D673" s="1" t="str">
        <f>"5855"</f>
        <v>5855</v>
      </c>
      <c r="E673" s="1" t="str">
        <f>"013637491"</f>
        <v>013637491</v>
      </c>
      <c r="F673" s="1" t="s">
        <v>614</v>
      </c>
      <c r="G673" s="1" t="s">
        <v>15</v>
      </c>
      <c r="H673" s="1" t="str">
        <f>"20"</f>
        <v>20</v>
      </c>
      <c r="I673" s="3" t="str">
        <f>"6124"</f>
        <v>6124</v>
      </c>
      <c r="J673" s="4">
        <v>46101</v>
      </c>
      <c r="K673" s="1" t="s">
        <v>1773</v>
      </c>
    </row>
    <row r="674" spans="1:11" x14ac:dyDescent="0.35">
      <c r="A674" s="1" t="s">
        <v>1516</v>
      </c>
      <c r="B674" s="1" t="s">
        <v>1755</v>
      </c>
      <c r="C674" s="1" t="s">
        <v>1774</v>
      </c>
      <c r="D674" s="1" t="str">
        <f>"5855"</f>
        <v>5855</v>
      </c>
      <c r="E674" s="1" t="str">
        <f>"014951038"</f>
        <v>014951038</v>
      </c>
      <c r="F674" s="1" t="s">
        <v>614</v>
      </c>
      <c r="G674" s="1" t="s">
        <v>15</v>
      </c>
      <c r="H674" s="1" t="str">
        <f>"10"</f>
        <v>10</v>
      </c>
      <c r="I674" s="3" t="str">
        <f>"14203"</f>
        <v>14203</v>
      </c>
      <c r="J674" s="4">
        <v>46101</v>
      </c>
      <c r="K674" s="1" t="s">
        <v>1773</v>
      </c>
    </row>
    <row r="675" spans="1:11" x14ac:dyDescent="0.35">
      <c r="A675" s="1" t="s">
        <v>1516</v>
      </c>
      <c r="B675" s="1" t="s">
        <v>1520</v>
      </c>
      <c r="C675" s="1" t="s">
        <v>1551</v>
      </c>
      <c r="D675" s="1" t="str">
        <f>"4210"</f>
        <v>4210</v>
      </c>
      <c r="E675" s="1" t="str">
        <f>"015879735"</f>
        <v>015879735</v>
      </c>
      <c r="F675" s="1" t="s">
        <v>1552</v>
      </c>
      <c r="G675" s="1" t="s">
        <v>15</v>
      </c>
      <c r="H675" s="1" t="str">
        <f>"3"</f>
        <v>3</v>
      </c>
      <c r="I675" s="3">
        <v>318.31</v>
      </c>
      <c r="J675" s="4">
        <v>46104</v>
      </c>
      <c r="K675" s="1" t="s">
        <v>1553</v>
      </c>
    </row>
    <row r="676" spans="1:11" x14ac:dyDescent="0.35">
      <c r="A676" s="1" t="s">
        <v>1516</v>
      </c>
      <c r="B676" s="1" t="s">
        <v>1755</v>
      </c>
      <c r="C676" s="1" t="s">
        <v>1769</v>
      </c>
      <c r="D676" s="1" t="str">
        <f>"2410"</f>
        <v>2410</v>
      </c>
      <c r="E676" s="1" t="str">
        <f>"014120930"</f>
        <v>014120930</v>
      </c>
      <c r="F676" s="1" t="s">
        <v>1770</v>
      </c>
      <c r="G676" s="1" t="s">
        <v>15</v>
      </c>
      <c r="H676" s="1" t="str">
        <f>"1"</f>
        <v>1</v>
      </c>
      <c r="I676" s="3" t="str">
        <f>"58934"</f>
        <v>58934</v>
      </c>
      <c r="J676" s="4">
        <v>46105</v>
      </c>
      <c r="K676" s="1" t="s">
        <v>1771</v>
      </c>
    </row>
    <row r="677" spans="1:11" x14ac:dyDescent="0.35">
      <c r="A677" s="1" t="s">
        <v>1516</v>
      </c>
      <c r="B677" s="1" t="s">
        <v>1520</v>
      </c>
      <c r="C677" s="1" t="s">
        <v>1528</v>
      </c>
      <c r="D677" s="1" t="str">
        <f>"3433"</f>
        <v>3433</v>
      </c>
      <c r="E677" s="1" t="str">
        <f>"013899938"</f>
        <v>013899938</v>
      </c>
      <c r="F677" s="1" t="s">
        <v>1529</v>
      </c>
      <c r="G677" s="1" t="s">
        <v>15</v>
      </c>
      <c r="H677" s="1" t="str">
        <f>"2"</f>
        <v>2</v>
      </c>
      <c r="I677" s="3">
        <v>2925.16</v>
      </c>
      <c r="J677" s="4">
        <v>46107</v>
      </c>
      <c r="K677" s="1" t="s">
        <v>1530</v>
      </c>
    </row>
    <row r="678" spans="1:11" x14ac:dyDescent="0.35">
      <c r="A678" s="1" t="s">
        <v>1516</v>
      </c>
      <c r="B678" s="1" t="s">
        <v>1520</v>
      </c>
      <c r="C678" s="1" t="s">
        <v>1537</v>
      </c>
      <c r="D678" s="1" t="str">
        <f>"3770"</f>
        <v>3770</v>
      </c>
      <c r="E678" s="1" t="str">
        <f>"016307307"</f>
        <v>016307307</v>
      </c>
      <c r="F678" s="1" t="s">
        <v>1538</v>
      </c>
      <c r="G678" s="1" t="s">
        <v>15</v>
      </c>
      <c r="H678" s="1" t="str">
        <f>"2"</f>
        <v>2</v>
      </c>
      <c r="I678" s="3" t="str">
        <f>"9445"</f>
        <v>9445</v>
      </c>
      <c r="J678" s="4">
        <v>46107</v>
      </c>
      <c r="K678" s="1" t="s">
        <v>1539</v>
      </c>
    </row>
    <row r="679" spans="1:11" x14ac:dyDescent="0.35">
      <c r="A679" s="1" t="s">
        <v>1516</v>
      </c>
      <c r="B679" s="1" t="s">
        <v>1520</v>
      </c>
      <c r="C679" s="1" t="s">
        <v>1543</v>
      </c>
      <c r="D679" s="1" t="str">
        <f>"3830"</f>
        <v>3830</v>
      </c>
      <c r="E679" s="1" t="s">
        <v>1544</v>
      </c>
      <c r="F679" s="1" t="s">
        <v>1545</v>
      </c>
      <c r="G679" s="1" t="s">
        <v>15</v>
      </c>
      <c r="H679" s="1" t="str">
        <f>"4"</f>
        <v>4</v>
      </c>
      <c r="I679" s="3" t="str">
        <f>"500"</f>
        <v>500</v>
      </c>
      <c r="J679" s="4">
        <v>46107</v>
      </c>
      <c r="K679" s="1" t="s">
        <v>1546</v>
      </c>
    </row>
    <row r="680" spans="1:11" x14ac:dyDescent="0.35">
      <c r="A680" s="1" t="s">
        <v>1516</v>
      </c>
      <c r="B680" s="1" t="s">
        <v>1520</v>
      </c>
      <c r="C680" s="1" t="s">
        <v>1557</v>
      </c>
      <c r="D680" s="1" t="str">
        <f>"4320"</f>
        <v>4320</v>
      </c>
      <c r="E680" s="1" t="str">
        <f>"013388010"</f>
        <v>013388010</v>
      </c>
      <c r="F680" s="1" t="s">
        <v>1558</v>
      </c>
      <c r="G680" s="1" t="s">
        <v>15</v>
      </c>
      <c r="H680" s="1" t="str">
        <f>"1"</f>
        <v>1</v>
      </c>
      <c r="I680" s="3" t="str">
        <f>"2187"</f>
        <v>2187</v>
      </c>
      <c r="J680" s="4">
        <v>46107</v>
      </c>
      <c r="K680" s="1" t="s">
        <v>1559</v>
      </c>
    </row>
    <row r="681" spans="1:11" x14ac:dyDescent="0.35">
      <c r="A681" s="1" t="s">
        <v>1516</v>
      </c>
      <c r="B681" s="1" t="s">
        <v>1520</v>
      </c>
      <c r="C681" s="1" t="s">
        <v>1560</v>
      </c>
      <c r="D681" s="1" t="str">
        <f>"5180"</f>
        <v>5180</v>
      </c>
      <c r="E681" s="1" t="str">
        <f>"014412122"</f>
        <v>014412122</v>
      </c>
      <c r="F681" s="1" t="s">
        <v>1561</v>
      </c>
      <c r="G681" s="1" t="s">
        <v>15</v>
      </c>
      <c r="H681" s="1" t="str">
        <f>"2"</f>
        <v>2</v>
      </c>
      <c r="I681" s="3">
        <v>4288.2700000000004</v>
      </c>
      <c r="J681" s="4">
        <v>46107</v>
      </c>
      <c r="K681" s="1" t="s">
        <v>1562</v>
      </c>
    </row>
    <row r="682" spans="1:11" x14ac:dyDescent="0.35">
      <c r="A682" s="1" t="s">
        <v>1516</v>
      </c>
      <c r="B682" s="1" t="s">
        <v>1520</v>
      </c>
      <c r="C682" s="1" t="s">
        <v>1563</v>
      </c>
      <c r="D682" s="1" t="str">
        <f>"5180"</f>
        <v>5180</v>
      </c>
      <c r="E682" s="1" t="str">
        <f>"005961539"</f>
        <v>005961539</v>
      </c>
      <c r="F682" s="1" t="s">
        <v>1564</v>
      </c>
      <c r="G682" s="1" t="s">
        <v>168</v>
      </c>
      <c r="H682" s="1" t="str">
        <f>"2"</f>
        <v>2</v>
      </c>
      <c r="I682" s="3" t="str">
        <f>"5106"</f>
        <v>5106</v>
      </c>
      <c r="J682" s="4">
        <v>46107</v>
      </c>
      <c r="K682" s="1" t="s">
        <v>1565</v>
      </c>
    </row>
    <row r="683" spans="1:11" x14ac:dyDescent="0.35">
      <c r="A683" s="1" t="s">
        <v>1516</v>
      </c>
      <c r="B683" s="1" t="s">
        <v>1520</v>
      </c>
      <c r="C683" s="1" t="s">
        <v>1566</v>
      </c>
      <c r="D683" s="1" t="str">
        <f>"5855"</f>
        <v>5855</v>
      </c>
      <c r="E683" s="1" t="str">
        <f>"015790062"</f>
        <v>015790062</v>
      </c>
      <c r="F683" s="1" t="s">
        <v>742</v>
      </c>
      <c r="G683" s="1" t="s">
        <v>15</v>
      </c>
      <c r="H683" s="1" t="str">
        <f>"13"</f>
        <v>13</v>
      </c>
      <c r="I683" s="3" t="str">
        <f>"900"</f>
        <v>900</v>
      </c>
      <c r="J683" s="4">
        <v>46107</v>
      </c>
      <c r="K683" s="1" t="s">
        <v>1567</v>
      </c>
    </row>
    <row r="684" spans="1:11" x14ac:dyDescent="0.35">
      <c r="A684" s="1" t="s">
        <v>1516</v>
      </c>
      <c r="B684" s="1" t="s">
        <v>1520</v>
      </c>
      <c r="C684" s="1" t="s">
        <v>1568</v>
      </c>
      <c r="D684" s="1" t="str">
        <f>"6115"</f>
        <v>6115</v>
      </c>
      <c r="E684" s="1" t="s">
        <v>157</v>
      </c>
      <c r="F684" s="1" t="s">
        <v>158</v>
      </c>
      <c r="G684" s="1" t="s">
        <v>15</v>
      </c>
      <c r="H684" s="1" t="str">
        <f>"1"</f>
        <v>1</v>
      </c>
      <c r="I684" s="3">
        <v>2292.92</v>
      </c>
      <c r="J684" s="4">
        <v>46107</v>
      </c>
      <c r="K684" s="1" t="s">
        <v>1569</v>
      </c>
    </row>
    <row r="685" spans="1:11" x14ac:dyDescent="0.35">
      <c r="A685" s="1" t="s">
        <v>1516</v>
      </c>
      <c r="B685" s="1" t="s">
        <v>1520</v>
      </c>
      <c r="C685" s="1" t="s">
        <v>1575</v>
      </c>
      <c r="D685" s="1" t="str">
        <f>"6650"</f>
        <v>6650</v>
      </c>
      <c r="E685" s="1" t="s">
        <v>1576</v>
      </c>
      <c r="F685" s="1" t="s">
        <v>1577</v>
      </c>
      <c r="G685" s="1" t="s">
        <v>15</v>
      </c>
      <c r="H685" s="1" t="str">
        <f>"2"</f>
        <v>2</v>
      </c>
      <c r="I685" s="3">
        <v>208.47</v>
      </c>
      <c r="J685" s="4">
        <v>46107</v>
      </c>
      <c r="K685" s="1" t="s">
        <v>1578</v>
      </c>
    </row>
    <row r="686" spans="1:11" x14ac:dyDescent="0.35">
      <c r="A686" s="1" t="s">
        <v>1516</v>
      </c>
      <c r="B686" s="1" t="s">
        <v>1520</v>
      </c>
      <c r="C686" s="1" t="s">
        <v>1586</v>
      </c>
      <c r="D686" s="1" t="str">
        <f t="shared" ref="D686:D732" si="32">"8415"</f>
        <v>8415</v>
      </c>
      <c r="E686" s="1" t="str">
        <f>"016411794"</f>
        <v>016411794</v>
      </c>
      <c r="F686" s="1" t="s">
        <v>771</v>
      </c>
      <c r="G686" s="1" t="s">
        <v>47</v>
      </c>
      <c r="H686" s="1" t="str">
        <f>"1"</f>
        <v>1</v>
      </c>
      <c r="I686" s="3">
        <v>108.96</v>
      </c>
      <c r="J686" s="4">
        <v>46108</v>
      </c>
      <c r="K686" s="1" t="s">
        <v>1587</v>
      </c>
    </row>
    <row r="687" spans="1:11" x14ac:dyDescent="0.35">
      <c r="A687" s="1" t="s">
        <v>1516</v>
      </c>
      <c r="B687" s="1" t="s">
        <v>1520</v>
      </c>
      <c r="C687" s="1" t="s">
        <v>1588</v>
      </c>
      <c r="D687" s="1" t="str">
        <f t="shared" si="32"/>
        <v>8415</v>
      </c>
      <c r="E687" s="1" t="str">
        <f>"015802856"</f>
        <v>015802856</v>
      </c>
      <c r="F687" s="1" t="s">
        <v>18</v>
      </c>
      <c r="G687" s="1" t="s">
        <v>15</v>
      </c>
      <c r="H687" s="1" t="str">
        <f>"1"</f>
        <v>1</v>
      </c>
      <c r="I687" s="3">
        <v>146.16</v>
      </c>
      <c r="J687" s="4">
        <v>46108</v>
      </c>
      <c r="K687" s="1" t="s">
        <v>1587</v>
      </c>
    </row>
    <row r="688" spans="1:11" x14ac:dyDescent="0.35">
      <c r="A688" s="1" t="s">
        <v>1516</v>
      </c>
      <c r="B688" s="1" t="s">
        <v>1520</v>
      </c>
      <c r="C688" s="1" t="s">
        <v>1589</v>
      </c>
      <c r="D688" s="1" t="str">
        <f t="shared" si="32"/>
        <v>8415</v>
      </c>
      <c r="E688" s="1" t="str">
        <f>"015802984"</f>
        <v>015802984</v>
      </c>
      <c r="F688" s="1" t="s">
        <v>758</v>
      </c>
      <c r="G688" s="1" t="s">
        <v>47</v>
      </c>
      <c r="H688" s="1" t="str">
        <f>"1"</f>
        <v>1</v>
      </c>
      <c r="I688" s="3">
        <v>113.3</v>
      </c>
      <c r="J688" s="4">
        <v>46108</v>
      </c>
      <c r="K688" s="1" t="s">
        <v>1587</v>
      </c>
    </row>
    <row r="689" spans="1:11" x14ac:dyDescent="0.35">
      <c r="A689" s="1" t="s">
        <v>1516</v>
      </c>
      <c r="B689" s="1" t="s">
        <v>1520</v>
      </c>
      <c r="C689" s="1" t="s">
        <v>1590</v>
      </c>
      <c r="D689" s="1" t="str">
        <f t="shared" si="32"/>
        <v>8415</v>
      </c>
      <c r="E689" s="1" t="str">
        <f>"016411683"</f>
        <v>016411683</v>
      </c>
      <c r="F689" s="1" t="s">
        <v>819</v>
      </c>
      <c r="G689" s="1" t="s">
        <v>47</v>
      </c>
      <c r="H689" s="1" t="str">
        <f>"4"</f>
        <v>4</v>
      </c>
      <c r="I689" s="3">
        <v>100.61</v>
      </c>
      <c r="J689" s="4">
        <v>46108</v>
      </c>
      <c r="K689" s="1" t="s">
        <v>1587</v>
      </c>
    </row>
    <row r="690" spans="1:11" x14ac:dyDescent="0.35">
      <c r="A690" s="1" t="s">
        <v>1516</v>
      </c>
      <c r="B690" s="1" t="s">
        <v>1520</v>
      </c>
      <c r="C690" s="1" t="s">
        <v>1591</v>
      </c>
      <c r="D690" s="1" t="str">
        <f t="shared" si="32"/>
        <v>8415</v>
      </c>
      <c r="E690" s="1" t="str">
        <f>"015802497"</f>
        <v>015802497</v>
      </c>
      <c r="F690" s="1" t="s">
        <v>22</v>
      </c>
      <c r="G690" s="1" t="s">
        <v>47</v>
      </c>
      <c r="H690" s="1" t="str">
        <f>"2"</f>
        <v>2</v>
      </c>
      <c r="I690" s="3">
        <v>120.1</v>
      </c>
      <c r="J690" s="4">
        <v>46108</v>
      </c>
      <c r="K690" s="1" t="s">
        <v>1587</v>
      </c>
    </row>
    <row r="691" spans="1:11" x14ac:dyDescent="0.35">
      <c r="A691" s="1" t="s">
        <v>1516</v>
      </c>
      <c r="B691" s="1" t="s">
        <v>1520</v>
      </c>
      <c r="C691" s="1" t="s">
        <v>1592</v>
      </c>
      <c r="D691" s="1" t="str">
        <f t="shared" si="32"/>
        <v>8415</v>
      </c>
      <c r="E691" s="1" t="str">
        <f>"016411690"</f>
        <v>016411690</v>
      </c>
      <c r="F691" s="1" t="s">
        <v>758</v>
      </c>
      <c r="G691" s="1" t="s">
        <v>47</v>
      </c>
      <c r="H691" s="1" t="str">
        <f>"1"</f>
        <v>1</v>
      </c>
      <c r="I691" s="3">
        <v>100.61</v>
      </c>
      <c r="J691" s="4">
        <v>46108</v>
      </c>
      <c r="K691" s="1" t="s">
        <v>1587</v>
      </c>
    </row>
    <row r="692" spans="1:11" x14ac:dyDescent="0.35">
      <c r="A692" s="1" t="s">
        <v>1516</v>
      </c>
      <c r="B692" s="1" t="s">
        <v>1520</v>
      </c>
      <c r="C692" s="1" t="s">
        <v>1593</v>
      </c>
      <c r="D692" s="1" t="str">
        <f t="shared" si="32"/>
        <v>8415</v>
      </c>
      <c r="E692" s="1" t="str">
        <f>"015802984"</f>
        <v>015802984</v>
      </c>
      <c r="F692" s="1" t="s">
        <v>758</v>
      </c>
      <c r="G692" s="1" t="s">
        <v>47</v>
      </c>
      <c r="H692" s="1" t="str">
        <f>"3"</f>
        <v>3</v>
      </c>
      <c r="I692" s="3">
        <v>113.3</v>
      </c>
      <c r="J692" s="4">
        <v>46108</v>
      </c>
      <c r="K692" s="1" t="s">
        <v>1587</v>
      </c>
    </row>
    <row r="693" spans="1:11" x14ac:dyDescent="0.35">
      <c r="A693" s="1" t="s">
        <v>1516</v>
      </c>
      <c r="B693" s="1" t="s">
        <v>1520</v>
      </c>
      <c r="C693" s="1" t="s">
        <v>1594</v>
      </c>
      <c r="D693" s="1" t="str">
        <f t="shared" si="32"/>
        <v>8415</v>
      </c>
      <c r="E693" s="1" t="str">
        <f>"016411799"</f>
        <v>016411799</v>
      </c>
      <c r="F693" s="1" t="s">
        <v>771</v>
      </c>
      <c r="G693" s="1" t="s">
        <v>47</v>
      </c>
      <c r="H693" s="1" t="str">
        <f>"5"</f>
        <v>5</v>
      </c>
      <c r="I693" s="3">
        <v>108.96</v>
      </c>
      <c r="J693" s="4">
        <v>46108</v>
      </c>
      <c r="K693" s="1" t="s">
        <v>1587</v>
      </c>
    </row>
    <row r="694" spans="1:11" x14ac:dyDescent="0.35">
      <c r="A694" s="1" t="s">
        <v>1516</v>
      </c>
      <c r="B694" s="1" t="s">
        <v>1520</v>
      </c>
      <c r="C694" s="1" t="s">
        <v>1595</v>
      </c>
      <c r="D694" s="1" t="str">
        <f t="shared" si="32"/>
        <v>8415</v>
      </c>
      <c r="E694" s="1" t="str">
        <f>"015802788"</f>
        <v>015802788</v>
      </c>
      <c r="F694" s="1" t="s">
        <v>18</v>
      </c>
      <c r="G694" s="1" t="s">
        <v>15</v>
      </c>
      <c r="H694" s="1" t="str">
        <f t="shared" ref="H694:H699" si="33">"1"</f>
        <v>1</v>
      </c>
      <c r="I694" s="3">
        <v>146.81</v>
      </c>
      <c r="J694" s="4">
        <v>46108</v>
      </c>
      <c r="K694" s="1" t="s">
        <v>1587</v>
      </c>
    </row>
    <row r="695" spans="1:11" x14ac:dyDescent="0.35">
      <c r="A695" s="1" t="s">
        <v>1516</v>
      </c>
      <c r="B695" s="1" t="s">
        <v>1520</v>
      </c>
      <c r="C695" s="1" t="s">
        <v>1596</v>
      </c>
      <c r="D695" s="1" t="str">
        <f t="shared" si="32"/>
        <v>8415</v>
      </c>
      <c r="E695" s="1" t="str">
        <f>"015802782"</f>
        <v>015802782</v>
      </c>
      <c r="F695" s="1" t="s">
        <v>18</v>
      </c>
      <c r="G695" s="1" t="s">
        <v>15</v>
      </c>
      <c r="H695" s="1" t="str">
        <f t="shared" si="33"/>
        <v>1</v>
      </c>
      <c r="I695" s="3">
        <v>146.81</v>
      </c>
      <c r="J695" s="4">
        <v>46108</v>
      </c>
      <c r="K695" s="1" t="s">
        <v>1587</v>
      </c>
    </row>
    <row r="696" spans="1:11" x14ac:dyDescent="0.35">
      <c r="A696" s="1" t="s">
        <v>1516</v>
      </c>
      <c r="B696" s="1" t="s">
        <v>1520</v>
      </c>
      <c r="C696" s="1" t="s">
        <v>1597</v>
      </c>
      <c r="D696" s="1" t="str">
        <f t="shared" si="32"/>
        <v>8415</v>
      </c>
      <c r="E696" s="1" t="str">
        <f>"015802776"</f>
        <v>015802776</v>
      </c>
      <c r="F696" s="1" t="s">
        <v>18</v>
      </c>
      <c r="G696" s="1" t="s">
        <v>15</v>
      </c>
      <c r="H696" s="1" t="str">
        <f t="shared" si="33"/>
        <v>1</v>
      </c>
      <c r="I696" s="3">
        <v>146.16</v>
      </c>
      <c r="J696" s="4">
        <v>46108</v>
      </c>
      <c r="K696" s="1" t="s">
        <v>1587</v>
      </c>
    </row>
    <row r="697" spans="1:11" x14ac:dyDescent="0.35">
      <c r="A697" s="1" t="s">
        <v>1516</v>
      </c>
      <c r="B697" s="1" t="s">
        <v>1520</v>
      </c>
      <c r="C697" s="1" t="s">
        <v>1598</v>
      </c>
      <c r="D697" s="1" t="str">
        <f t="shared" si="32"/>
        <v>8415</v>
      </c>
      <c r="E697" s="1" t="str">
        <f>"015802497"</f>
        <v>015802497</v>
      </c>
      <c r="F697" s="1" t="s">
        <v>22</v>
      </c>
      <c r="G697" s="1" t="s">
        <v>47</v>
      </c>
      <c r="H697" s="1" t="str">
        <f t="shared" si="33"/>
        <v>1</v>
      </c>
      <c r="I697" s="3">
        <v>120.1</v>
      </c>
      <c r="J697" s="4">
        <v>46108</v>
      </c>
      <c r="K697" s="1" t="s">
        <v>1587</v>
      </c>
    </row>
    <row r="698" spans="1:11" x14ac:dyDescent="0.35">
      <c r="A698" s="1" t="s">
        <v>1516</v>
      </c>
      <c r="B698" s="1" t="s">
        <v>1520</v>
      </c>
      <c r="C698" s="1" t="s">
        <v>1599</v>
      </c>
      <c r="D698" s="1" t="str">
        <f t="shared" si="32"/>
        <v>8415</v>
      </c>
      <c r="E698" s="1" t="str">
        <f>"016411679"</f>
        <v>016411679</v>
      </c>
      <c r="F698" s="1" t="s">
        <v>758</v>
      </c>
      <c r="G698" s="1" t="s">
        <v>47</v>
      </c>
      <c r="H698" s="1" t="str">
        <f t="shared" si="33"/>
        <v>1</v>
      </c>
      <c r="I698" s="3">
        <v>100.61</v>
      </c>
      <c r="J698" s="4">
        <v>46108</v>
      </c>
      <c r="K698" s="1" t="s">
        <v>1587</v>
      </c>
    </row>
    <row r="699" spans="1:11" x14ac:dyDescent="0.35">
      <c r="A699" s="1" t="s">
        <v>1516</v>
      </c>
      <c r="B699" s="1" t="s">
        <v>1520</v>
      </c>
      <c r="C699" s="1" t="s">
        <v>1600</v>
      </c>
      <c r="D699" s="1" t="str">
        <f t="shared" si="32"/>
        <v>8415</v>
      </c>
      <c r="E699" s="1" t="str">
        <f>"015802782"</f>
        <v>015802782</v>
      </c>
      <c r="F699" s="1" t="s">
        <v>18</v>
      </c>
      <c r="G699" s="1" t="s">
        <v>15</v>
      </c>
      <c r="H699" s="1" t="str">
        <f t="shared" si="33"/>
        <v>1</v>
      </c>
      <c r="I699" s="3">
        <v>146.81</v>
      </c>
      <c r="J699" s="4">
        <v>46108</v>
      </c>
      <c r="K699" s="1" t="s">
        <v>1587</v>
      </c>
    </row>
    <row r="700" spans="1:11" x14ac:dyDescent="0.35">
      <c r="A700" s="1" t="s">
        <v>1516</v>
      </c>
      <c r="B700" s="1" t="s">
        <v>1520</v>
      </c>
      <c r="C700" s="1" t="s">
        <v>1601</v>
      </c>
      <c r="D700" s="1" t="str">
        <f t="shared" si="32"/>
        <v>8415</v>
      </c>
      <c r="E700" s="1" t="str">
        <f>"016411801"</f>
        <v>016411801</v>
      </c>
      <c r="F700" s="1" t="s">
        <v>771</v>
      </c>
      <c r="G700" s="1" t="s">
        <v>47</v>
      </c>
      <c r="H700" s="1" t="str">
        <f>"3"</f>
        <v>3</v>
      </c>
      <c r="I700" s="3">
        <v>108.96</v>
      </c>
      <c r="J700" s="4">
        <v>46108</v>
      </c>
      <c r="K700" s="1" t="s">
        <v>1587</v>
      </c>
    </row>
    <row r="701" spans="1:11" x14ac:dyDescent="0.35">
      <c r="A701" s="1" t="s">
        <v>1516</v>
      </c>
      <c r="B701" s="1" t="s">
        <v>1520</v>
      </c>
      <c r="C701" s="1" t="s">
        <v>1602</v>
      </c>
      <c r="D701" s="1" t="str">
        <f t="shared" si="32"/>
        <v>8415</v>
      </c>
      <c r="E701" s="1" t="str">
        <f>"015802856"</f>
        <v>015802856</v>
      </c>
      <c r="F701" s="1" t="s">
        <v>18</v>
      </c>
      <c r="G701" s="1" t="s">
        <v>15</v>
      </c>
      <c r="H701" s="1" t="str">
        <f>"2"</f>
        <v>2</v>
      </c>
      <c r="I701" s="3">
        <v>146.16</v>
      </c>
      <c r="J701" s="4">
        <v>46108</v>
      </c>
      <c r="K701" s="1" t="s">
        <v>1587</v>
      </c>
    </row>
    <row r="702" spans="1:11" x14ac:dyDescent="0.35">
      <c r="A702" s="1" t="s">
        <v>1516</v>
      </c>
      <c r="B702" s="1" t="s">
        <v>1520</v>
      </c>
      <c r="C702" s="1" t="s">
        <v>1603</v>
      </c>
      <c r="D702" s="1" t="str">
        <f t="shared" si="32"/>
        <v>8415</v>
      </c>
      <c r="E702" s="1" t="str">
        <f>"015802984"</f>
        <v>015802984</v>
      </c>
      <c r="F702" s="1" t="s">
        <v>758</v>
      </c>
      <c r="G702" s="1" t="s">
        <v>47</v>
      </c>
      <c r="H702" s="1" t="str">
        <f>"1"</f>
        <v>1</v>
      </c>
      <c r="I702" s="3">
        <v>113.3</v>
      </c>
      <c r="J702" s="4">
        <v>46108</v>
      </c>
      <c r="K702" s="1" t="s">
        <v>1604</v>
      </c>
    </row>
    <row r="703" spans="1:11" x14ac:dyDescent="0.35">
      <c r="A703" s="1" t="s">
        <v>1516</v>
      </c>
      <c r="B703" s="1" t="s">
        <v>1520</v>
      </c>
      <c r="C703" s="1" t="s">
        <v>1605</v>
      </c>
      <c r="D703" s="1" t="str">
        <f t="shared" si="32"/>
        <v>8415</v>
      </c>
      <c r="E703" s="1" t="str">
        <f>"015802497"</f>
        <v>015802497</v>
      </c>
      <c r="F703" s="1" t="s">
        <v>22</v>
      </c>
      <c r="G703" s="1" t="s">
        <v>47</v>
      </c>
      <c r="H703" s="1" t="str">
        <f>"2"</f>
        <v>2</v>
      </c>
      <c r="I703" s="3">
        <v>120.1</v>
      </c>
      <c r="J703" s="4">
        <v>46108</v>
      </c>
      <c r="K703" s="1" t="s">
        <v>1604</v>
      </c>
    </row>
    <row r="704" spans="1:11" x14ac:dyDescent="0.35">
      <c r="A704" s="1" t="s">
        <v>1516</v>
      </c>
      <c r="B704" s="1" t="s">
        <v>1520</v>
      </c>
      <c r="C704" s="1" t="s">
        <v>1606</v>
      </c>
      <c r="D704" s="1" t="str">
        <f t="shared" si="32"/>
        <v>8415</v>
      </c>
      <c r="E704" s="1" t="str">
        <f>"015802504"</f>
        <v>015802504</v>
      </c>
      <c r="F704" s="1" t="s">
        <v>22</v>
      </c>
      <c r="G704" s="1" t="s">
        <v>47</v>
      </c>
      <c r="H704" s="1" t="str">
        <f>"1"</f>
        <v>1</v>
      </c>
      <c r="I704" s="3">
        <v>120.1</v>
      </c>
      <c r="J704" s="4">
        <v>46108</v>
      </c>
      <c r="K704" s="1" t="s">
        <v>1604</v>
      </c>
    </row>
    <row r="705" spans="1:11" x14ac:dyDescent="0.35">
      <c r="A705" s="1" t="s">
        <v>1516</v>
      </c>
      <c r="B705" s="1" t="s">
        <v>1520</v>
      </c>
      <c r="C705" s="1" t="s">
        <v>1607</v>
      </c>
      <c r="D705" s="1" t="str">
        <f t="shared" si="32"/>
        <v>8415</v>
      </c>
      <c r="E705" s="1" t="str">
        <f>"015802778"</f>
        <v>015802778</v>
      </c>
      <c r="F705" s="1" t="s">
        <v>18</v>
      </c>
      <c r="G705" s="1" t="s">
        <v>15</v>
      </c>
      <c r="H705" s="1" t="str">
        <f>"1"</f>
        <v>1</v>
      </c>
      <c r="I705" s="3">
        <v>150.29</v>
      </c>
      <c r="J705" s="4">
        <v>46108</v>
      </c>
      <c r="K705" s="1" t="s">
        <v>1604</v>
      </c>
    </row>
    <row r="706" spans="1:11" x14ac:dyDescent="0.35">
      <c r="A706" s="1" t="s">
        <v>1516</v>
      </c>
      <c r="B706" s="1" t="s">
        <v>1520</v>
      </c>
      <c r="C706" s="1" t="s">
        <v>1608</v>
      </c>
      <c r="D706" s="1" t="str">
        <f t="shared" si="32"/>
        <v>8415</v>
      </c>
      <c r="E706" s="1" t="str">
        <f>"015841419"</f>
        <v>015841419</v>
      </c>
      <c r="F706" s="1" t="s">
        <v>771</v>
      </c>
      <c r="G706" s="1" t="s">
        <v>15</v>
      </c>
      <c r="H706" s="1" t="str">
        <f>"1"</f>
        <v>1</v>
      </c>
      <c r="I706" s="3">
        <v>456.61</v>
      </c>
      <c r="J706" s="4">
        <v>46108</v>
      </c>
      <c r="K706" s="1" t="s">
        <v>1604</v>
      </c>
    </row>
    <row r="707" spans="1:11" x14ac:dyDescent="0.35">
      <c r="A707" s="1" t="s">
        <v>1516</v>
      </c>
      <c r="B707" s="1" t="s">
        <v>1520</v>
      </c>
      <c r="C707" s="1" t="s">
        <v>1609</v>
      </c>
      <c r="D707" s="1" t="str">
        <f t="shared" si="32"/>
        <v>8415</v>
      </c>
      <c r="E707" s="1" t="str">
        <f>"016411695"</f>
        <v>016411695</v>
      </c>
      <c r="F707" s="1" t="s">
        <v>758</v>
      </c>
      <c r="G707" s="1" t="s">
        <v>47</v>
      </c>
      <c r="H707" s="1" t="str">
        <f>"3"</f>
        <v>3</v>
      </c>
      <c r="I707" s="3">
        <v>100.61</v>
      </c>
      <c r="J707" s="4">
        <v>46108</v>
      </c>
      <c r="K707" s="1" t="s">
        <v>1587</v>
      </c>
    </row>
    <row r="708" spans="1:11" x14ac:dyDescent="0.35">
      <c r="A708" s="1" t="s">
        <v>1516</v>
      </c>
      <c r="B708" s="1" t="s">
        <v>1520</v>
      </c>
      <c r="C708" s="1" t="s">
        <v>1610</v>
      </c>
      <c r="D708" s="1" t="str">
        <f t="shared" si="32"/>
        <v>8415</v>
      </c>
      <c r="E708" s="1" t="str">
        <f>"015802990"</f>
        <v>015802990</v>
      </c>
      <c r="F708" s="1" t="s">
        <v>819</v>
      </c>
      <c r="G708" s="1" t="s">
        <v>47</v>
      </c>
      <c r="H708" s="1" t="str">
        <f>"2"</f>
        <v>2</v>
      </c>
      <c r="I708" s="3">
        <v>113.3</v>
      </c>
      <c r="J708" s="4">
        <v>46108</v>
      </c>
      <c r="K708" s="1" t="s">
        <v>1587</v>
      </c>
    </row>
    <row r="709" spans="1:11" x14ac:dyDescent="0.35">
      <c r="A709" s="1" t="s">
        <v>1516</v>
      </c>
      <c r="B709" s="1" t="s">
        <v>1520</v>
      </c>
      <c r="C709" s="1" t="s">
        <v>1611</v>
      </c>
      <c r="D709" s="1" t="str">
        <f t="shared" si="32"/>
        <v>8415</v>
      </c>
      <c r="E709" s="1" t="str">
        <f>"016411800"</f>
        <v>016411800</v>
      </c>
      <c r="F709" s="1" t="s">
        <v>771</v>
      </c>
      <c r="G709" s="1" t="s">
        <v>47</v>
      </c>
      <c r="H709" s="1" t="str">
        <f>"1"</f>
        <v>1</v>
      </c>
      <c r="I709" s="3">
        <v>108.96</v>
      </c>
      <c r="J709" s="4">
        <v>46108</v>
      </c>
      <c r="K709" s="1" t="s">
        <v>1587</v>
      </c>
    </row>
    <row r="710" spans="1:11" x14ac:dyDescent="0.35">
      <c r="A710" s="1" t="s">
        <v>1516</v>
      </c>
      <c r="B710" s="1" t="s">
        <v>1520</v>
      </c>
      <c r="C710" s="1" t="s">
        <v>1612</v>
      </c>
      <c r="D710" s="1" t="str">
        <f t="shared" si="32"/>
        <v>8415</v>
      </c>
      <c r="E710" s="1" t="str">
        <f>"016411685"</f>
        <v>016411685</v>
      </c>
      <c r="F710" s="1" t="s">
        <v>758</v>
      </c>
      <c r="G710" s="1" t="s">
        <v>47</v>
      </c>
      <c r="H710" s="1" t="str">
        <f>"4"</f>
        <v>4</v>
      </c>
      <c r="I710" s="3">
        <v>100.61</v>
      </c>
      <c r="J710" s="4">
        <v>46108</v>
      </c>
      <c r="K710" s="1" t="s">
        <v>1587</v>
      </c>
    </row>
    <row r="711" spans="1:11" x14ac:dyDescent="0.35">
      <c r="A711" s="1" t="s">
        <v>1516</v>
      </c>
      <c r="B711" s="1" t="s">
        <v>1520</v>
      </c>
      <c r="C711" s="1" t="s">
        <v>1613</v>
      </c>
      <c r="D711" s="1" t="str">
        <f t="shared" si="32"/>
        <v>8415</v>
      </c>
      <c r="E711" s="1" t="str">
        <f>"015802776"</f>
        <v>015802776</v>
      </c>
      <c r="F711" s="1" t="s">
        <v>18</v>
      </c>
      <c r="G711" s="1" t="s">
        <v>15</v>
      </c>
      <c r="H711" s="1" t="str">
        <f>"1"</f>
        <v>1</v>
      </c>
      <c r="I711" s="3">
        <v>146.16</v>
      </c>
      <c r="J711" s="4">
        <v>46108</v>
      </c>
      <c r="K711" s="1" t="s">
        <v>1587</v>
      </c>
    </row>
    <row r="712" spans="1:11" x14ac:dyDescent="0.35">
      <c r="A712" s="1" t="s">
        <v>1516</v>
      </c>
      <c r="B712" s="1" t="s">
        <v>1520</v>
      </c>
      <c r="C712" s="1" t="s">
        <v>1614</v>
      </c>
      <c r="D712" s="1" t="str">
        <f t="shared" si="32"/>
        <v>8415</v>
      </c>
      <c r="E712" s="1" t="str">
        <f>"015802323"</f>
        <v>015802323</v>
      </c>
      <c r="F712" s="1" t="s">
        <v>49</v>
      </c>
      <c r="G712" s="1" t="s">
        <v>47</v>
      </c>
      <c r="H712" s="1" t="str">
        <f>"1"</f>
        <v>1</v>
      </c>
      <c r="I712" s="3">
        <v>123.49</v>
      </c>
      <c r="J712" s="4">
        <v>46108</v>
      </c>
      <c r="K712" s="1" t="s">
        <v>1587</v>
      </c>
    </row>
    <row r="713" spans="1:11" x14ac:dyDescent="0.35">
      <c r="A713" s="1" t="s">
        <v>1516</v>
      </c>
      <c r="B713" s="1" t="s">
        <v>1520</v>
      </c>
      <c r="C713" s="1" t="s">
        <v>1615</v>
      </c>
      <c r="D713" s="1" t="str">
        <f t="shared" si="32"/>
        <v>8415</v>
      </c>
      <c r="E713" s="1" t="str">
        <f>"015802493"</f>
        <v>015802493</v>
      </c>
      <c r="F713" s="1" t="s">
        <v>22</v>
      </c>
      <c r="G713" s="1" t="s">
        <v>47</v>
      </c>
      <c r="H713" s="1" t="str">
        <f>"1"</f>
        <v>1</v>
      </c>
      <c r="I713" s="3">
        <v>123.49</v>
      </c>
      <c r="J713" s="4">
        <v>46108</v>
      </c>
      <c r="K713" s="1" t="s">
        <v>1587</v>
      </c>
    </row>
    <row r="714" spans="1:11" x14ac:dyDescent="0.35">
      <c r="A714" s="1" t="s">
        <v>1516</v>
      </c>
      <c r="B714" s="1" t="s">
        <v>1520</v>
      </c>
      <c r="C714" s="1" t="s">
        <v>1616</v>
      </c>
      <c r="D714" s="1" t="str">
        <f t="shared" si="32"/>
        <v>8415</v>
      </c>
      <c r="E714" s="1" t="str">
        <f>"015802493"</f>
        <v>015802493</v>
      </c>
      <c r="F714" s="1" t="s">
        <v>22</v>
      </c>
      <c r="G714" s="1" t="s">
        <v>47</v>
      </c>
      <c r="H714" s="1" t="str">
        <f>"1"</f>
        <v>1</v>
      </c>
      <c r="I714" s="3">
        <v>123.49</v>
      </c>
      <c r="J714" s="4">
        <v>46108</v>
      </c>
      <c r="K714" s="1" t="s">
        <v>1587</v>
      </c>
    </row>
    <row r="715" spans="1:11" x14ac:dyDescent="0.35">
      <c r="A715" s="1" t="s">
        <v>1516</v>
      </c>
      <c r="B715" s="1" t="s">
        <v>1520</v>
      </c>
      <c r="C715" s="1" t="s">
        <v>1617</v>
      </c>
      <c r="D715" s="1" t="str">
        <f t="shared" si="32"/>
        <v>8415</v>
      </c>
      <c r="E715" s="1" t="str">
        <f>"015802468"</f>
        <v>015802468</v>
      </c>
      <c r="F715" s="1" t="s">
        <v>22</v>
      </c>
      <c r="G715" s="1" t="s">
        <v>47</v>
      </c>
      <c r="H715" s="1" t="str">
        <f>"5"</f>
        <v>5</v>
      </c>
      <c r="I715" s="3">
        <v>120.1</v>
      </c>
      <c r="J715" s="4">
        <v>46108</v>
      </c>
      <c r="K715" s="1" t="s">
        <v>1587</v>
      </c>
    </row>
    <row r="716" spans="1:11" x14ac:dyDescent="0.35">
      <c r="A716" s="1" t="s">
        <v>1516</v>
      </c>
      <c r="B716" s="1" t="s">
        <v>1520</v>
      </c>
      <c r="C716" s="1" t="s">
        <v>1618</v>
      </c>
      <c r="D716" s="1" t="str">
        <f t="shared" si="32"/>
        <v>8415</v>
      </c>
      <c r="E716" s="1" t="str">
        <f>"015802497"</f>
        <v>015802497</v>
      </c>
      <c r="F716" s="1" t="s">
        <v>22</v>
      </c>
      <c r="G716" s="1" t="s">
        <v>47</v>
      </c>
      <c r="H716" s="1" t="str">
        <f>"1"</f>
        <v>1</v>
      </c>
      <c r="I716" s="3">
        <v>120.1</v>
      </c>
      <c r="J716" s="4">
        <v>46108</v>
      </c>
      <c r="K716" s="1" t="s">
        <v>1587</v>
      </c>
    </row>
    <row r="717" spans="1:11" x14ac:dyDescent="0.35">
      <c r="A717" s="1" t="s">
        <v>1516</v>
      </c>
      <c r="B717" s="1" t="s">
        <v>1520</v>
      </c>
      <c r="C717" s="1" t="s">
        <v>1619</v>
      </c>
      <c r="D717" s="1" t="str">
        <f t="shared" si="32"/>
        <v>8415</v>
      </c>
      <c r="E717" s="1" t="str">
        <f>"015802904"</f>
        <v>015802904</v>
      </c>
      <c r="F717" s="1" t="s">
        <v>18</v>
      </c>
      <c r="G717" s="1" t="s">
        <v>15</v>
      </c>
      <c r="H717" s="1" t="str">
        <f>"1"</f>
        <v>1</v>
      </c>
      <c r="I717" s="3">
        <v>150.29</v>
      </c>
      <c r="J717" s="4">
        <v>46108</v>
      </c>
      <c r="K717" s="1" t="s">
        <v>1587</v>
      </c>
    </row>
    <row r="718" spans="1:11" x14ac:dyDescent="0.35">
      <c r="A718" s="1" t="s">
        <v>1516</v>
      </c>
      <c r="B718" s="1" t="s">
        <v>1520</v>
      </c>
      <c r="C718" s="1" t="s">
        <v>1620</v>
      </c>
      <c r="D718" s="1" t="str">
        <f t="shared" si="32"/>
        <v>8415</v>
      </c>
      <c r="E718" s="1" t="str">
        <f>"015802854"</f>
        <v>015802854</v>
      </c>
      <c r="F718" s="1" t="s">
        <v>18</v>
      </c>
      <c r="G718" s="1" t="s">
        <v>15</v>
      </c>
      <c r="H718" s="1" t="str">
        <f>"2"</f>
        <v>2</v>
      </c>
      <c r="I718" s="3">
        <v>146.83000000000001</v>
      </c>
      <c r="J718" s="4">
        <v>46108</v>
      </c>
      <c r="K718" s="1" t="s">
        <v>1587</v>
      </c>
    </row>
    <row r="719" spans="1:11" x14ac:dyDescent="0.35">
      <c r="A719" s="1" t="s">
        <v>1516</v>
      </c>
      <c r="B719" s="1" t="s">
        <v>1520</v>
      </c>
      <c r="C719" s="1" t="s">
        <v>1621</v>
      </c>
      <c r="D719" s="1" t="str">
        <f t="shared" si="32"/>
        <v>8415</v>
      </c>
      <c r="E719" s="1" t="str">
        <f>"015802513"</f>
        <v>015802513</v>
      </c>
      <c r="F719" s="1" t="s">
        <v>22</v>
      </c>
      <c r="G719" s="1" t="s">
        <v>47</v>
      </c>
      <c r="H719" s="1" t="str">
        <f>"1"</f>
        <v>1</v>
      </c>
      <c r="I719" s="3">
        <v>123.49</v>
      </c>
      <c r="J719" s="4">
        <v>46108</v>
      </c>
      <c r="K719" s="1" t="s">
        <v>1587</v>
      </c>
    </row>
    <row r="720" spans="1:11" x14ac:dyDescent="0.35">
      <c r="A720" s="1" t="s">
        <v>1516</v>
      </c>
      <c r="B720" s="1" t="s">
        <v>1520</v>
      </c>
      <c r="C720" s="1" t="s">
        <v>1622</v>
      </c>
      <c r="D720" s="1" t="str">
        <f t="shared" si="32"/>
        <v>8415</v>
      </c>
      <c r="E720" s="1" t="str">
        <f>"015802776"</f>
        <v>015802776</v>
      </c>
      <c r="F720" s="1" t="s">
        <v>18</v>
      </c>
      <c r="G720" s="1" t="s">
        <v>15</v>
      </c>
      <c r="H720" s="1" t="str">
        <f>"1"</f>
        <v>1</v>
      </c>
      <c r="I720" s="3">
        <v>146.16</v>
      </c>
      <c r="J720" s="4">
        <v>46108</v>
      </c>
      <c r="K720" s="1" t="s">
        <v>1587</v>
      </c>
    </row>
    <row r="721" spans="1:11" x14ac:dyDescent="0.35">
      <c r="A721" s="1" t="s">
        <v>1516</v>
      </c>
      <c r="B721" s="1" t="s">
        <v>1520</v>
      </c>
      <c r="C721" s="1" t="s">
        <v>1623</v>
      </c>
      <c r="D721" s="1" t="str">
        <f t="shared" si="32"/>
        <v>8415</v>
      </c>
      <c r="E721" s="1" t="str">
        <f>"015802782"</f>
        <v>015802782</v>
      </c>
      <c r="F721" s="1" t="s">
        <v>18</v>
      </c>
      <c r="G721" s="1" t="s">
        <v>15</v>
      </c>
      <c r="H721" s="1" t="str">
        <f>"1"</f>
        <v>1</v>
      </c>
      <c r="I721" s="3">
        <v>146.81</v>
      </c>
      <c r="J721" s="4">
        <v>46108</v>
      </c>
      <c r="K721" s="1" t="s">
        <v>1587</v>
      </c>
    </row>
    <row r="722" spans="1:11" x14ac:dyDescent="0.35">
      <c r="A722" s="1" t="s">
        <v>1516</v>
      </c>
      <c r="B722" s="1" t="s">
        <v>1520</v>
      </c>
      <c r="C722" s="1" t="s">
        <v>1624</v>
      </c>
      <c r="D722" s="1" t="str">
        <f t="shared" si="32"/>
        <v>8415</v>
      </c>
      <c r="E722" s="1" t="str">
        <f>"015802788"</f>
        <v>015802788</v>
      </c>
      <c r="F722" s="1" t="s">
        <v>18</v>
      </c>
      <c r="G722" s="1" t="s">
        <v>15</v>
      </c>
      <c r="H722" s="1" t="str">
        <f>"2"</f>
        <v>2</v>
      </c>
      <c r="I722" s="3">
        <v>146.81</v>
      </c>
      <c r="J722" s="4">
        <v>46108</v>
      </c>
      <c r="K722" s="1" t="s">
        <v>1587</v>
      </c>
    </row>
    <row r="723" spans="1:11" x14ac:dyDescent="0.35">
      <c r="A723" s="1" t="s">
        <v>1516</v>
      </c>
      <c r="B723" s="1" t="s">
        <v>1520</v>
      </c>
      <c r="C723" s="1" t="s">
        <v>1625</v>
      </c>
      <c r="D723" s="1" t="str">
        <f t="shared" si="32"/>
        <v>8415</v>
      </c>
      <c r="E723" s="1" t="str">
        <f>"015802782"</f>
        <v>015802782</v>
      </c>
      <c r="F723" s="1" t="s">
        <v>18</v>
      </c>
      <c r="G723" s="1" t="s">
        <v>15</v>
      </c>
      <c r="H723" s="1" t="str">
        <f>"4"</f>
        <v>4</v>
      </c>
      <c r="I723" s="3">
        <v>146.81</v>
      </c>
      <c r="J723" s="4">
        <v>46108</v>
      </c>
      <c r="K723" s="1" t="s">
        <v>1587</v>
      </c>
    </row>
    <row r="724" spans="1:11" x14ac:dyDescent="0.35">
      <c r="A724" s="1" t="s">
        <v>1516</v>
      </c>
      <c r="B724" s="1" t="s">
        <v>1520</v>
      </c>
      <c r="C724" s="1" t="s">
        <v>1626</v>
      </c>
      <c r="D724" s="1" t="str">
        <f t="shared" si="32"/>
        <v>8415</v>
      </c>
      <c r="E724" s="1" t="str">
        <f>"015802497"</f>
        <v>015802497</v>
      </c>
      <c r="F724" s="1" t="s">
        <v>22</v>
      </c>
      <c r="G724" s="1" t="s">
        <v>47</v>
      </c>
      <c r="H724" s="1" t="str">
        <f>"1"</f>
        <v>1</v>
      </c>
      <c r="I724" s="3">
        <v>120.1</v>
      </c>
      <c r="J724" s="4">
        <v>46108</v>
      </c>
      <c r="K724" s="1" t="s">
        <v>1587</v>
      </c>
    </row>
    <row r="725" spans="1:11" x14ac:dyDescent="0.35">
      <c r="A725" s="1" t="s">
        <v>1516</v>
      </c>
      <c r="B725" s="1" t="s">
        <v>1520</v>
      </c>
      <c r="C725" s="1" t="s">
        <v>1627</v>
      </c>
      <c r="D725" s="1" t="str">
        <f t="shared" si="32"/>
        <v>8415</v>
      </c>
      <c r="E725" s="1" t="str">
        <f>"015802497"</f>
        <v>015802497</v>
      </c>
      <c r="F725" s="1" t="s">
        <v>22</v>
      </c>
      <c r="G725" s="1" t="s">
        <v>47</v>
      </c>
      <c r="H725" s="1" t="str">
        <f>"3"</f>
        <v>3</v>
      </c>
      <c r="I725" s="3">
        <v>120.1</v>
      </c>
      <c r="J725" s="4">
        <v>46108</v>
      </c>
      <c r="K725" s="1" t="s">
        <v>1587</v>
      </c>
    </row>
    <row r="726" spans="1:11" x14ac:dyDescent="0.35">
      <c r="A726" s="1" t="s">
        <v>1516</v>
      </c>
      <c r="B726" s="1" t="s">
        <v>1520</v>
      </c>
      <c r="C726" s="1" t="s">
        <v>1628</v>
      </c>
      <c r="D726" s="1" t="str">
        <f t="shared" si="32"/>
        <v>8415</v>
      </c>
      <c r="E726" s="1" t="str">
        <f>"015802788"</f>
        <v>015802788</v>
      </c>
      <c r="F726" s="1" t="s">
        <v>18</v>
      </c>
      <c r="G726" s="1" t="s">
        <v>15</v>
      </c>
      <c r="H726" s="1" t="str">
        <f>"1"</f>
        <v>1</v>
      </c>
      <c r="I726" s="3">
        <v>146.81</v>
      </c>
      <c r="J726" s="4">
        <v>46108</v>
      </c>
      <c r="K726" s="1" t="s">
        <v>1587</v>
      </c>
    </row>
    <row r="727" spans="1:11" x14ac:dyDescent="0.35">
      <c r="A727" s="1" t="s">
        <v>1516</v>
      </c>
      <c r="B727" s="1" t="s">
        <v>1520</v>
      </c>
      <c r="C727" s="1" t="s">
        <v>1629</v>
      </c>
      <c r="D727" s="1" t="str">
        <f t="shared" si="32"/>
        <v>8415</v>
      </c>
      <c r="E727" s="1" t="str">
        <f>"015802861"</f>
        <v>015802861</v>
      </c>
      <c r="F727" s="1" t="s">
        <v>18</v>
      </c>
      <c r="G727" s="1" t="s">
        <v>15</v>
      </c>
      <c r="H727" s="1" t="str">
        <f>"2"</f>
        <v>2</v>
      </c>
      <c r="I727" s="3">
        <v>146.81</v>
      </c>
      <c r="J727" s="4">
        <v>46108</v>
      </c>
      <c r="K727" s="1" t="s">
        <v>1587</v>
      </c>
    </row>
    <row r="728" spans="1:11" x14ac:dyDescent="0.35">
      <c r="A728" s="1" t="s">
        <v>1516</v>
      </c>
      <c r="B728" s="1" t="s">
        <v>1520</v>
      </c>
      <c r="C728" s="1" t="s">
        <v>1630</v>
      </c>
      <c r="D728" s="1" t="str">
        <f t="shared" si="32"/>
        <v>8415</v>
      </c>
      <c r="E728" s="1" t="str">
        <f>"015802854"</f>
        <v>015802854</v>
      </c>
      <c r="F728" s="1" t="s">
        <v>18</v>
      </c>
      <c r="G728" s="1" t="s">
        <v>15</v>
      </c>
      <c r="H728" s="1" t="str">
        <f>"1"</f>
        <v>1</v>
      </c>
      <c r="I728" s="3">
        <v>146.83000000000001</v>
      </c>
      <c r="J728" s="4">
        <v>46108</v>
      </c>
      <c r="K728" s="1" t="s">
        <v>1587</v>
      </c>
    </row>
    <row r="729" spans="1:11" x14ac:dyDescent="0.35">
      <c r="A729" s="1" t="s">
        <v>1516</v>
      </c>
      <c r="B729" s="1" t="s">
        <v>1520</v>
      </c>
      <c r="C729" s="1" t="s">
        <v>1631</v>
      </c>
      <c r="D729" s="1" t="str">
        <f t="shared" si="32"/>
        <v>8415</v>
      </c>
      <c r="E729" s="1" t="str">
        <f>"016411682"</f>
        <v>016411682</v>
      </c>
      <c r="F729" s="1" t="s">
        <v>758</v>
      </c>
      <c r="G729" s="1" t="s">
        <v>47</v>
      </c>
      <c r="H729" s="1" t="str">
        <f>"1"</f>
        <v>1</v>
      </c>
      <c r="I729" s="3">
        <v>100.61</v>
      </c>
      <c r="J729" s="4">
        <v>46108</v>
      </c>
      <c r="K729" s="1" t="s">
        <v>1587</v>
      </c>
    </row>
    <row r="730" spans="1:11" x14ac:dyDescent="0.35">
      <c r="A730" s="1" t="s">
        <v>1516</v>
      </c>
      <c r="B730" s="1" t="s">
        <v>1520</v>
      </c>
      <c r="C730" s="1" t="s">
        <v>1632</v>
      </c>
      <c r="D730" s="1" t="str">
        <f t="shared" si="32"/>
        <v>8415</v>
      </c>
      <c r="E730" s="1" t="str">
        <f>"016411799"</f>
        <v>016411799</v>
      </c>
      <c r="F730" s="1" t="s">
        <v>771</v>
      </c>
      <c r="G730" s="1" t="s">
        <v>47</v>
      </c>
      <c r="H730" s="1" t="str">
        <f>"2"</f>
        <v>2</v>
      </c>
      <c r="I730" s="3">
        <v>108.96</v>
      </c>
      <c r="J730" s="4">
        <v>46108</v>
      </c>
      <c r="K730" s="1" t="s">
        <v>1587</v>
      </c>
    </row>
    <row r="731" spans="1:11" x14ac:dyDescent="0.35">
      <c r="A731" s="1" t="s">
        <v>1516</v>
      </c>
      <c r="B731" s="1" t="s">
        <v>1520</v>
      </c>
      <c r="C731" s="1" t="s">
        <v>1633</v>
      </c>
      <c r="D731" s="1" t="str">
        <f t="shared" si="32"/>
        <v>8415</v>
      </c>
      <c r="E731" s="1" t="str">
        <f>"015802854"</f>
        <v>015802854</v>
      </c>
      <c r="F731" s="1" t="s">
        <v>18</v>
      </c>
      <c r="G731" s="1" t="s">
        <v>15</v>
      </c>
      <c r="H731" s="1" t="str">
        <f>"1"</f>
        <v>1</v>
      </c>
      <c r="I731" s="3">
        <v>146.83000000000001</v>
      </c>
      <c r="J731" s="4">
        <v>46108</v>
      </c>
      <c r="K731" s="1" t="s">
        <v>1587</v>
      </c>
    </row>
    <row r="732" spans="1:11" x14ac:dyDescent="0.35">
      <c r="A732" s="1" t="s">
        <v>1516</v>
      </c>
      <c r="B732" s="1" t="s">
        <v>1520</v>
      </c>
      <c r="C732" s="1" t="s">
        <v>1634</v>
      </c>
      <c r="D732" s="1" t="str">
        <f t="shared" si="32"/>
        <v>8415</v>
      </c>
      <c r="E732" s="1" t="str">
        <f>"015802988"</f>
        <v>015802988</v>
      </c>
      <c r="F732" s="1" t="s">
        <v>758</v>
      </c>
      <c r="G732" s="1" t="s">
        <v>47</v>
      </c>
      <c r="H732" s="1" t="str">
        <f>"1"</f>
        <v>1</v>
      </c>
      <c r="I732" s="3">
        <v>113.3</v>
      </c>
      <c r="J732" s="4">
        <v>46108</v>
      </c>
      <c r="K732" s="1" t="s">
        <v>1587</v>
      </c>
    </row>
    <row r="733" spans="1:11" x14ac:dyDescent="0.35">
      <c r="A733" s="1" t="s">
        <v>1516</v>
      </c>
      <c r="B733" s="1" t="s">
        <v>1520</v>
      </c>
      <c r="C733" s="1" t="s">
        <v>1635</v>
      </c>
      <c r="D733" s="1" t="str">
        <f t="shared" ref="D733:D740" si="34">"8465"</f>
        <v>8465</v>
      </c>
      <c r="E733" s="1" t="str">
        <f>"015236276"</f>
        <v>015236276</v>
      </c>
      <c r="F733" s="1" t="s">
        <v>1636</v>
      </c>
      <c r="G733" s="1" t="s">
        <v>257</v>
      </c>
      <c r="H733" s="1" t="str">
        <f>"2"</f>
        <v>2</v>
      </c>
      <c r="I733" s="3">
        <v>255.8</v>
      </c>
      <c r="J733" s="4">
        <v>46108</v>
      </c>
      <c r="K733" s="1" t="s">
        <v>1637</v>
      </c>
    </row>
    <row r="734" spans="1:11" x14ac:dyDescent="0.35">
      <c r="A734" s="1" t="s">
        <v>1516</v>
      </c>
      <c r="B734" s="1" t="s">
        <v>1520</v>
      </c>
      <c r="C734" s="1" t="s">
        <v>1638</v>
      </c>
      <c r="D734" s="1" t="str">
        <f t="shared" si="34"/>
        <v>8465</v>
      </c>
      <c r="E734" s="1" t="str">
        <f>"016419671"</f>
        <v>016419671</v>
      </c>
      <c r="F734" s="1" t="s">
        <v>1639</v>
      </c>
      <c r="G734" s="1" t="s">
        <v>15</v>
      </c>
      <c r="H734" s="1" t="str">
        <f>"24"</f>
        <v>24</v>
      </c>
      <c r="I734" s="3">
        <v>40.4</v>
      </c>
      <c r="J734" s="4">
        <v>46108</v>
      </c>
      <c r="K734" s="1" t="s">
        <v>1640</v>
      </c>
    </row>
    <row r="735" spans="1:11" x14ac:dyDescent="0.35">
      <c r="A735" s="1" t="s">
        <v>1516</v>
      </c>
      <c r="B735" s="1" t="s">
        <v>1520</v>
      </c>
      <c r="C735" s="1" t="s">
        <v>1641</v>
      </c>
      <c r="D735" s="1" t="str">
        <f t="shared" si="34"/>
        <v>8465</v>
      </c>
      <c r="E735" s="1" t="str">
        <f>"015938664"</f>
        <v>015938664</v>
      </c>
      <c r="F735" s="1" t="s">
        <v>1642</v>
      </c>
      <c r="G735" s="1" t="s">
        <v>15</v>
      </c>
      <c r="H735" s="1" t="str">
        <f>"12"</f>
        <v>12</v>
      </c>
      <c r="I735" s="3">
        <v>75.17</v>
      </c>
      <c r="J735" s="4">
        <v>46108</v>
      </c>
      <c r="K735" s="1" t="s">
        <v>1643</v>
      </c>
    </row>
    <row r="736" spans="1:11" x14ac:dyDescent="0.35">
      <c r="A736" s="1" t="s">
        <v>1516</v>
      </c>
      <c r="B736" s="1" t="s">
        <v>1520</v>
      </c>
      <c r="C736" s="1" t="s">
        <v>1644</v>
      </c>
      <c r="D736" s="1" t="str">
        <f t="shared" si="34"/>
        <v>8465</v>
      </c>
      <c r="E736" s="1" t="str">
        <f>"015851512"</f>
        <v>015851512</v>
      </c>
      <c r="F736" s="1" t="s">
        <v>1645</v>
      </c>
      <c r="G736" s="1" t="s">
        <v>257</v>
      </c>
      <c r="H736" s="1" t="str">
        <f>"8"</f>
        <v>8</v>
      </c>
      <c r="I736" s="3">
        <v>115.92</v>
      </c>
      <c r="J736" s="4">
        <v>46108</v>
      </c>
      <c r="K736" s="1" t="s">
        <v>1643</v>
      </c>
    </row>
    <row r="737" spans="1:11" x14ac:dyDescent="0.35">
      <c r="A737" s="1" t="s">
        <v>1516</v>
      </c>
      <c r="B737" s="1" t="s">
        <v>1520</v>
      </c>
      <c r="C737" s="1" t="s">
        <v>1646</v>
      </c>
      <c r="D737" s="1" t="str">
        <f t="shared" si="34"/>
        <v>8465</v>
      </c>
      <c r="E737" s="1" t="str">
        <f>"016733364"</f>
        <v>016733364</v>
      </c>
      <c r="F737" s="1" t="s">
        <v>856</v>
      </c>
      <c r="G737" s="1" t="s">
        <v>257</v>
      </c>
      <c r="H737" s="1" t="str">
        <f>"22"</f>
        <v>22</v>
      </c>
      <c r="I737" s="3">
        <v>376.9</v>
      </c>
      <c r="J737" s="4">
        <v>46108</v>
      </c>
      <c r="K737" s="1" t="s">
        <v>1643</v>
      </c>
    </row>
    <row r="738" spans="1:11" x14ac:dyDescent="0.35">
      <c r="A738" s="1" t="s">
        <v>1516</v>
      </c>
      <c r="B738" s="1" t="s">
        <v>1520</v>
      </c>
      <c r="C738" s="1" t="s">
        <v>1647</v>
      </c>
      <c r="D738" s="1" t="str">
        <f t="shared" si="34"/>
        <v>8465</v>
      </c>
      <c r="E738" s="1" t="str">
        <f>"016416358"</f>
        <v>016416358</v>
      </c>
      <c r="F738" s="1" t="s">
        <v>856</v>
      </c>
      <c r="G738" s="1" t="s">
        <v>15</v>
      </c>
      <c r="H738" s="1" t="str">
        <f>"4"</f>
        <v>4</v>
      </c>
      <c r="I738" s="3">
        <v>116.7</v>
      </c>
      <c r="J738" s="4">
        <v>46108</v>
      </c>
      <c r="K738" s="1" t="s">
        <v>1648</v>
      </c>
    </row>
    <row r="739" spans="1:11" x14ac:dyDescent="0.35">
      <c r="A739" s="1" t="s">
        <v>1516</v>
      </c>
      <c r="B739" s="1" t="s">
        <v>1520</v>
      </c>
      <c r="C739" s="1" t="s">
        <v>1649</v>
      </c>
      <c r="D739" s="1" t="str">
        <f t="shared" si="34"/>
        <v>8465</v>
      </c>
      <c r="E739" s="1" t="str">
        <f>"015938664"</f>
        <v>015938664</v>
      </c>
      <c r="F739" s="1" t="s">
        <v>1642</v>
      </c>
      <c r="G739" s="1" t="s">
        <v>15</v>
      </c>
      <c r="H739" s="1" t="str">
        <f>"4"</f>
        <v>4</v>
      </c>
      <c r="I739" s="3">
        <v>75.17</v>
      </c>
      <c r="J739" s="4">
        <v>46108</v>
      </c>
      <c r="K739" s="1" t="s">
        <v>1648</v>
      </c>
    </row>
    <row r="740" spans="1:11" x14ac:dyDescent="0.35">
      <c r="A740" s="1" t="s">
        <v>1516</v>
      </c>
      <c r="B740" s="1" t="s">
        <v>1520</v>
      </c>
      <c r="C740" s="1" t="s">
        <v>1650</v>
      </c>
      <c r="D740" s="1" t="str">
        <f t="shared" si="34"/>
        <v>8465</v>
      </c>
      <c r="E740" s="1" t="str">
        <f>"016733374"</f>
        <v>016733374</v>
      </c>
      <c r="F740" s="1" t="s">
        <v>856</v>
      </c>
      <c r="G740" s="1" t="s">
        <v>15</v>
      </c>
      <c r="H740" s="1" t="str">
        <f>"15"</f>
        <v>15</v>
      </c>
      <c r="I740" s="3">
        <v>143.49</v>
      </c>
      <c r="J740" s="4">
        <v>46108</v>
      </c>
      <c r="K740" s="1" t="s">
        <v>1637</v>
      </c>
    </row>
    <row r="741" spans="1:11" x14ac:dyDescent="0.35">
      <c r="A741" s="1" t="s">
        <v>1516</v>
      </c>
      <c r="B741" s="1" t="s">
        <v>1520</v>
      </c>
      <c r="C741" s="1" t="s">
        <v>1533</v>
      </c>
      <c r="D741" s="1" t="str">
        <f>"3750"</f>
        <v>3750</v>
      </c>
      <c r="E741" s="1" t="s">
        <v>120</v>
      </c>
      <c r="F741" s="1" t="s">
        <v>121</v>
      </c>
      <c r="G741" s="1" t="s">
        <v>15</v>
      </c>
      <c r="H741" s="1" t="str">
        <f>"1"</f>
        <v>1</v>
      </c>
      <c r="I741" s="3">
        <v>290.95</v>
      </c>
      <c r="J741" s="4">
        <v>46111</v>
      </c>
      <c r="K741" s="1" t="s">
        <v>1534</v>
      </c>
    </row>
    <row r="742" spans="1:11" x14ac:dyDescent="0.35">
      <c r="A742" s="1" t="s">
        <v>1516</v>
      </c>
      <c r="B742" s="1" t="s">
        <v>1520</v>
      </c>
      <c r="C742" s="1" t="s">
        <v>1579</v>
      </c>
      <c r="D742" s="1" t="str">
        <f>"8150"</f>
        <v>8150</v>
      </c>
      <c r="E742" s="1" t="str">
        <f>"014638555"</f>
        <v>014638555</v>
      </c>
      <c r="F742" s="1" t="s">
        <v>387</v>
      </c>
      <c r="G742" s="1" t="s">
        <v>15</v>
      </c>
      <c r="H742" s="1" t="str">
        <f>"1"</f>
        <v>1</v>
      </c>
      <c r="I742" s="3">
        <v>10377.86</v>
      </c>
      <c r="J742" s="4">
        <v>46111</v>
      </c>
      <c r="K742" s="1" t="s">
        <v>1580</v>
      </c>
    </row>
    <row r="743" spans="1:11" x14ac:dyDescent="0.35">
      <c r="A743" s="1" t="s">
        <v>1516</v>
      </c>
      <c r="B743" s="1" t="s">
        <v>1520</v>
      </c>
      <c r="C743" s="1" t="s">
        <v>1581</v>
      </c>
      <c r="D743" s="1" t="str">
        <f>"8150"</f>
        <v>8150</v>
      </c>
      <c r="E743" s="1" t="str">
        <f>"014759570"</f>
        <v>014759570</v>
      </c>
      <c r="F743" s="1" t="s">
        <v>1081</v>
      </c>
      <c r="G743" s="1" t="s">
        <v>15</v>
      </c>
      <c r="H743" s="1" t="str">
        <f>"1"</f>
        <v>1</v>
      </c>
      <c r="I743" s="3" t="str">
        <f>"7922"</f>
        <v>7922</v>
      </c>
      <c r="J743" s="4">
        <v>46111</v>
      </c>
      <c r="K743" s="1" t="s">
        <v>1582</v>
      </c>
    </row>
    <row r="744" spans="1:11" x14ac:dyDescent="0.35">
      <c r="A744" s="1" t="s">
        <v>1516</v>
      </c>
      <c r="B744" s="1" t="s">
        <v>1520</v>
      </c>
      <c r="C744" s="1" t="s">
        <v>1583</v>
      </c>
      <c r="D744" s="1" t="str">
        <f>"8150"</f>
        <v>8150</v>
      </c>
      <c r="E744" s="1" t="str">
        <f>"015287531"</f>
        <v>015287531</v>
      </c>
      <c r="F744" s="1" t="s">
        <v>1584</v>
      </c>
      <c r="G744" s="1" t="s">
        <v>15</v>
      </c>
      <c r="H744" s="1" t="str">
        <f>"3"</f>
        <v>3</v>
      </c>
      <c r="I744" s="3" t="str">
        <f>"4527"</f>
        <v>4527</v>
      </c>
      <c r="J744" s="4">
        <v>46111</v>
      </c>
      <c r="K744" s="1" t="s">
        <v>1585</v>
      </c>
    </row>
    <row r="745" spans="1:11" x14ac:dyDescent="0.35">
      <c r="A745" s="1" t="s">
        <v>1784</v>
      </c>
      <c r="B745" s="1" t="s">
        <v>1785</v>
      </c>
      <c r="C745" s="1" t="s">
        <v>1786</v>
      </c>
      <c r="D745" s="1" t="str">
        <f>"1550"</f>
        <v>1550</v>
      </c>
      <c r="E745" s="1" t="str">
        <f>"015872765"</f>
        <v>015872765</v>
      </c>
      <c r="F745" s="1" t="s">
        <v>1287</v>
      </c>
      <c r="G745" s="1" t="s">
        <v>15</v>
      </c>
      <c r="H745" s="1" t="str">
        <f>"1"</f>
        <v>1</v>
      </c>
      <c r="I745" s="3" t="str">
        <f>"100000"</f>
        <v>100000</v>
      </c>
      <c r="J745" s="4">
        <v>46038</v>
      </c>
      <c r="K745" s="1" t="s">
        <v>1787</v>
      </c>
    </row>
    <row r="746" spans="1:11" x14ac:dyDescent="0.35">
      <c r="A746" s="1" t="s">
        <v>1784</v>
      </c>
      <c r="B746" s="1" t="s">
        <v>1785</v>
      </c>
      <c r="C746" s="1" t="s">
        <v>1788</v>
      </c>
      <c r="D746" s="1" t="str">
        <f>"1550"</f>
        <v>1550</v>
      </c>
      <c r="E746" s="1" t="str">
        <f>"016838961"</f>
        <v>016838961</v>
      </c>
      <c r="F746" s="1" t="s">
        <v>1789</v>
      </c>
      <c r="G746" s="1" t="s">
        <v>168</v>
      </c>
      <c r="H746" s="1" t="str">
        <f>"2"</f>
        <v>2</v>
      </c>
      <c r="I746" s="3" t="str">
        <f>"62071"</f>
        <v>62071</v>
      </c>
      <c r="J746" s="4">
        <v>46086</v>
      </c>
      <c r="K746" s="1" t="s">
        <v>1790</v>
      </c>
    </row>
    <row r="747" spans="1:11" x14ac:dyDescent="0.35">
      <c r="A747" s="1" t="s">
        <v>1791</v>
      </c>
      <c r="B747" s="1" t="s">
        <v>1856</v>
      </c>
      <c r="C747" s="1" t="s">
        <v>1857</v>
      </c>
      <c r="D747" s="1" t="str">
        <f>"1550"</f>
        <v>1550</v>
      </c>
      <c r="E747" s="1" t="str">
        <f>"015389256"</f>
        <v>015389256</v>
      </c>
      <c r="F747" s="1" t="s">
        <v>1287</v>
      </c>
      <c r="G747" s="1" t="s">
        <v>15</v>
      </c>
      <c r="H747" s="1" t="str">
        <f>"1"</f>
        <v>1</v>
      </c>
      <c r="I747" s="3" t="str">
        <f>"100000"</f>
        <v>100000</v>
      </c>
      <c r="J747" s="4">
        <v>46027</v>
      </c>
      <c r="K747" s="1" t="s">
        <v>1858</v>
      </c>
    </row>
    <row r="748" spans="1:11" x14ac:dyDescent="0.35">
      <c r="A748" s="1" t="s">
        <v>1791</v>
      </c>
      <c r="B748" s="1" t="s">
        <v>1896</v>
      </c>
      <c r="C748" s="1" t="s">
        <v>1897</v>
      </c>
      <c r="D748" s="1" t="str">
        <f>"1940"</f>
        <v>1940</v>
      </c>
      <c r="E748" s="1" t="s">
        <v>1898</v>
      </c>
      <c r="F748" s="1" t="s">
        <v>1899</v>
      </c>
      <c r="G748" s="1" t="s">
        <v>15</v>
      </c>
      <c r="H748" s="1" t="str">
        <f>"1"</f>
        <v>1</v>
      </c>
      <c r="I748" s="3" t="str">
        <f>"30000"</f>
        <v>30000</v>
      </c>
      <c r="J748" s="4">
        <v>46028</v>
      </c>
      <c r="K748" s="1" t="s">
        <v>1900</v>
      </c>
    </row>
    <row r="749" spans="1:11" x14ac:dyDescent="0.35">
      <c r="A749" s="1" t="s">
        <v>1791</v>
      </c>
      <c r="B749" s="1" t="s">
        <v>1795</v>
      </c>
      <c r="C749" s="1" t="s">
        <v>1796</v>
      </c>
      <c r="D749" s="1" t="str">
        <f>"6230"</f>
        <v>6230</v>
      </c>
      <c r="E749" s="1" t="str">
        <f>"013534782"</f>
        <v>013534782</v>
      </c>
      <c r="F749" s="1" t="s">
        <v>1797</v>
      </c>
      <c r="G749" s="1" t="s">
        <v>257</v>
      </c>
      <c r="H749" s="1" t="str">
        <f>"1"</f>
        <v>1</v>
      </c>
      <c r="I749" s="3">
        <v>11441.06</v>
      </c>
      <c r="J749" s="4">
        <v>46029</v>
      </c>
      <c r="K749" s="1" t="s">
        <v>1798</v>
      </c>
    </row>
    <row r="750" spans="1:11" x14ac:dyDescent="0.35">
      <c r="A750" s="1" t="s">
        <v>1791</v>
      </c>
      <c r="B750" s="1" t="s">
        <v>1847</v>
      </c>
      <c r="C750" s="1" t="s">
        <v>1851</v>
      </c>
      <c r="D750" s="1" t="str">
        <f>"6545"</f>
        <v>6545</v>
      </c>
      <c r="E750" s="1" t="str">
        <f>"016320167"</f>
        <v>016320167</v>
      </c>
      <c r="F750" s="1" t="s">
        <v>990</v>
      </c>
      <c r="G750" s="1" t="s">
        <v>168</v>
      </c>
      <c r="H750" s="1" t="str">
        <f>"29"</f>
        <v>29</v>
      </c>
      <c r="I750" s="3">
        <v>327.7</v>
      </c>
      <c r="J750" s="4">
        <v>46030</v>
      </c>
      <c r="K750" s="1" t="s">
        <v>1852</v>
      </c>
    </row>
    <row r="751" spans="1:11" x14ac:dyDescent="0.35">
      <c r="A751" s="1" t="s">
        <v>1791</v>
      </c>
      <c r="B751" s="1" t="s">
        <v>1821</v>
      </c>
      <c r="C751" s="1" t="s">
        <v>1843</v>
      </c>
      <c r="D751" s="1" t="str">
        <f>"9535"</f>
        <v>9535</v>
      </c>
      <c r="E751" s="1" t="s">
        <v>1844</v>
      </c>
      <c r="F751" s="1" t="s">
        <v>1845</v>
      </c>
      <c r="G751" s="1" t="s">
        <v>15</v>
      </c>
      <c r="H751" s="1" t="str">
        <f>"1"</f>
        <v>1</v>
      </c>
      <c r="I751" s="3" t="str">
        <f>"10000"</f>
        <v>10000</v>
      </c>
      <c r="J751" s="4">
        <v>46031</v>
      </c>
      <c r="K751" s="1" t="s">
        <v>1846</v>
      </c>
    </row>
    <row r="752" spans="1:11" x14ac:dyDescent="0.35">
      <c r="A752" s="1" t="s">
        <v>1791</v>
      </c>
      <c r="B752" s="1" t="s">
        <v>1847</v>
      </c>
      <c r="C752" s="1" t="s">
        <v>1848</v>
      </c>
      <c r="D752" s="1" t="str">
        <f>"6545"</f>
        <v>6545</v>
      </c>
      <c r="E752" s="1" t="str">
        <f>"015324962"</f>
        <v>015324962</v>
      </c>
      <c r="F752" s="1" t="s">
        <v>1849</v>
      </c>
      <c r="G752" s="1" t="s">
        <v>168</v>
      </c>
      <c r="H752" s="1" t="str">
        <f>"5"</f>
        <v>5</v>
      </c>
      <c r="I752" s="3">
        <v>1868.26</v>
      </c>
      <c r="J752" s="4">
        <v>46036</v>
      </c>
      <c r="K752" s="1" t="s">
        <v>1850</v>
      </c>
    </row>
    <row r="753" spans="1:11" x14ac:dyDescent="0.35">
      <c r="A753" s="1" t="s">
        <v>1791</v>
      </c>
      <c r="B753" s="1" t="s">
        <v>1799</v>
      </c>
      <c r="C753" s="1" t="s">
        <v>1800</v>
      </c>
      <c r="D753" s="1" t="str">
        <f>"1095"</f>
        <v>1095</v>
      </c>
      <c r="E753" s="1" t="str">
        <f>"015652809"</f>
        <v>015652809</v>
      </c>
      <c r="F753" s="1" t="s">
        <v>1102</v>
      </c>
      <c r="G753" s="1" t="s">
        <v>15</v>
      </c>
      <c r="H753" s="1" t="str">
        <f>"1"</f>
        <v>1</v>
      </c>
      <c r="I753" s="3">
        <v>971.5</v>
      </c>
      <c r="J753" s="4">
        <v>46038</v>
      </c>
      <c r="K753" s="1" t="s">
        <v>1801</v>
      </c>
    </row>
    <row r="754" spans="1:11" x14ac:dyDescent="0.35">
      <c r="A754" s="1" t="s">
        <v>1791</v>
      </c>
      <c r="B754" s="1" t="s">
        <v>1799</v>
      </c>
      <c r="C754" s="1" t="s">
        <v>1804</v>
      </c>
      <c r="D754" s="1" t="str">
        <f>"8140"</f>
        <v>8140</v>
      </c>
      <c r="E754" s="1" t="s">
        <v>1805</v>
      </c>
      <c r="F754" s="1" t="s">
        <v>1806</v>
      </c>
      <c r="G754" s="1" t="s">
        <v>15</v>
      </c>
      <c r="H754" s="1" t="str">
        <f>"5"</f>
        <v>5</v>
      </c>
      <c r="I754" s="3">
        <v>5.99</v>
      </c>
      <c r="J754" s="4">
        <v>46038</v>
      </c>
      <c r="K754" s="1" t="s">
        <v>1807</v>
      </c>
    </row>
    <row r="755" spans="1:11" x14ac:dyDescent="0.35">
      <c r="A755" s="1" t="s">
        <v>1791</v>
      </c>
      <c r="B755" s="1" t="s">
        <v>1871</v>
      </c>
      <c r="C755" s="1" t="s">
        <v>1877</v>
      </c>
      <c r="D755" s="1" t="str">
        <f>"2320"</f>
        <v>2320</v>
      </c>
      <c r="E755" s="1" t="str">
        <f>"015402007"</f>
        <v>015402007</v>
      </c>
      <c r="F755" s="1" t="s">
        <v>1860</v>
      </c>
      <c r="G755" s="1" t="s">
        <v>15</v>
      </c>
      <c r="H755" s="1" t="str">
        <f>"1"</f>
        <v>1</v>
      </c>
      <c r="I755" s="3" t="str">
        <f>"181463"</f>
        <v>181463</v>
      </c>
      <c r="J755" s="4">
        <v>46043</v>
      </c>
      <c r="K755" s="1" t="s">
        <v>1878</v>
      </c>
    </row>
    <row r="756" spans="1:11" x14ac:dyDescent="0.35">
      <c r="A756" s="1" t="s">
        <v>1791</v>
      </c>
      <c r="B756" s="1" t="s">
        <v>1821</v>
      </c>
      <c r="C756" s="1" t="s">
        <v>1835</v>
      </c>
      <c r="D756" s="1" t="str">
        <f>"6910"</f>
        <v>6910</v>
      </c>
      <c r="E756" s="1" t="str">
        <f>"016297815"</f>
        <v>016297815</v>
      </c>
      <c r="F756" s="1" t="s">
        <v>1048</v>
      </c>
      <c r="G756" s="1" t="s">
        <v>257</v>
      </c>
      <c r="H756" s="1" t="str">
        <f>"1"</f>
        <v>1</v>
      </c>
      <c r="I756" s="3">
        <v>428158.5</v>
      </c>
      <c r="J756" s="4">
        <v>46044</v>
      </c>
      <c r="K756" s="1" t="s">
        <v>1836</v>
      </c>
    </row>
    <row r="757" spans="1:11" x14ac:dyDescent="0.35">
      <c r="A757" s="1" t="s">
        <v>1791</v>
      </c>
      <c r="B757" s="1" t="s">
        <v>1821</v>
      </c>
      <c r="C757" s="1" t="s">
        <v>1837</v>
      </c>
      <c r="D757" s="1" t="str">
        <f>"7110"</f>
        <v>7110</v>
      </c>
      <c r="E757" s="1" t="str">
        <f>"015025826"</f>
        <v>015025826</v>
      </c>
      <c r="F757" s="1" t="s">
        <v>1838</v>
      </c>
      <c r="G757" s="1" t="s">
        <v>15</v>
      </c>
      <c r="H757" s="1" t="str">
        <f>"2"</f>
        <v>2</v>
      </c>
      <c r="I757" s="3">
        <v>2052.4</v>
      </c>
      <c r="J757" s="4">
        <v>46044</v>
      </c>
      <c r="K757" s="1" t="s">
        <v>1839</v>
      </c>
    </row>
    <row r="758" spans="1:11" x14ac:dyDescent="0.35">
      <c r="A758" s="1" t="s">
        <v>1791</v>
      </c>
      <c r="B758" s="1" t="s">
        <v>1901</v>
      </c>
      <c r="C758" s="1" t="s">
        <v>1902</v>
      </c>
      <c r="D758" s="1" t="str">
        <f>"5855"</f>
        <v>5855</v>
      </c>
      <c r="E758" s="1" t="str">
        <f>"015485687"</f>
        <v>015485687</v>
      </c>
      <c r="F758" s="1" t="s">
        <v>798</v>
      </c>
      <c r="G758" s="1" t="s">
        <v>15</v>
      </c>
      <c r="H758" s="1" t="str">
        <f>"85"</f>
        <v>85</v>
      </c>
      <c r="I758" s="3" t="str">
        <f>"10402"</f>
        <v>10402</v>
      </c>
      <c r="J758" s="4">
        <v>46044</v>
      </c>
      <c r="K758" s="1" t="s">
        <v>1903</v>
      </c>
    </row>
    <row r="759" spans="1:11" x14ac:dyDescent="0.35">
      <c r="A759" s="1" t="s">
        <v>1791</v>
      </c>
      <c r="B759" s="1" t="s">
        <v>1871</v>
      </c>
      <c r="C759" s="1" t="s">
        <v>1872</v>
      </c>
      <c r="D759" s="1" t="str">
        <f>"1005"</f>
        <v>1005</v>
      </c>
      <c r="E759" s="1" t="str">
        <f>"014526771"</f>
        <v>014526771</v>
      </c>
      <c r="F759" s="1" t="s">
        <v>1873</v>
      </c>
      <c r="G759" s="1" t="s">
        <v>15</v>
      </c>
      <c r="H759" s="1" t="str">
        <f>"5"</f>
        <v>5</v>
      </c>
      <c r="I759" s="3">
        <v>123.07</v>
      </c>
      <c r="J759" s="4">
        <v>46049</v>
      </c>
      <c r="K759" s="1" t="s">
        <v>1874</v>
      </c>
    </row>
    <row r="760" spans="1:11" x14ac:dyDescent="0.35">
      <c r="A760" s="1" t="s">
        <v>1791</v>
      </c>
      <c r="B760" s="1" t="s">
        <v>1871</v>
      </c>
      <c r="C760" s="1" t="s">
        <v>1882</v>
      </c>
      <c r="D760" s="1" t="str">
        <f>"8465"</f>
        <v>8465</v>
      </c>
      <c r="E760" s="1" t="str">
        <f>"016068756"</f>
        <v>016068756</v>
      </c>
      <c r="F760" s="1" t="s">
        <v>340</v>
      </c>
      <c r="G760" s="1" t="s">
        <v>15</v>
      </c>
      <c r="H760" s="1" t="str">
        <f>"12"</f>
        <v>12</v>
      </c>
      <c r="I760" s="3">
        <v>25.31</v>
      </c>
      <c r="J760" s="4">
        <v>46050</v>
      </c>
      <c r="K760" s="1" t="s">
        <v>1883</v>
      </c>
    </row>
    <row r="761" spans="1:11" x14ac:dyDescent="0.35">
      <c r="A761" s="1" t="s">
        <v>1791</v>
      </c>
      <c r="B761" s="1" t="s">
        <v>1884</v>
      </c>
      <c r="C761" s="1" t="s">
        <v>1885</v>
      </c>
      <c r="D761" s="1" t="str">
        <f>"1005"</f>
        <v>1005</v>
      </c>
      <c r="E761" s="1" t="str">
        <f>"016976892"</f>
        <v>016976892</v>
      </c>
      <c r="F761" s="1" t="s">
        <v>1886</v>
      </c>
      <c r="G761" s="1" t="s">
        <v>15</v>
      </c>
      <c r="H761" s="1" t="str">
        <f>"3"</f>
        <v>3</v>
      </c>
      <c r="I761" s="3" t="str">
        <f>"1804"</f>
        <v>1804</v>
      </c>
      <c r="J761" s="4">
        <v>46056</v>
      </c>
      <c r="K761" s="1" t="s">
        <v>1887</v>
      </c>
    </row>
    <row r="762" spans="1:11" x14ac:dyDescent="0.35">
      <c r="A762" s="1" t="s">
        <v>1791</v>
      </c>
      <c r="B762" s="1" t="s">
        <v>1924</v>
      </c>
      <c r="C762" s="1" t="s">
        <v>1928</v>
      </c>
      <c r="D762" s="1" t="str">
        <f>"5180"</f>
        <v>5180</v>
      </c>
      <c r="E762" s="1" t="str">
        <f>"011950855"</f>
        <v>011950855</v>
      </c>
      <c r="F762" s="1" t="s">
        <v>1929</v>
      </c>
      <c r="G762" s="1" t="s">
        <v>168</v>
      </c>
      <c r="H762" s="1" t="str">
        <f>"1"</f>
        <v>1</v>
      </c>
      <c r="I762" s="3">
        <v>1813.5</v>
      </c>
      <c r="J762" s="4">
        <v>46056</v>
      </c>
      <c r="K762" s="1" t="s">
        <v>1930</v>
      </c>
    </row>
    <row r="763" spans="1:11" x14ac:dyDescent="0.35">
      <c r="A763" s="1" t="s">
        <v>1791</v>
      </c>
      <c r="B763" s="1" t="s">
        <v>1924</v>
      </c>
      <c r="C763" s="1" t="s">
        <v>1931</v>
      </c>
      <c r="D763" s="1" t="str">
        <f>"5180"</f>
        <v>5180</v>
      </c>
      <c r="E763" s="1" t="str">
        <f>"011950855"</f>
        <v>011950855</v>
      </c>
      <c r="F763" s="1" t="s">
        <v>1929</v>
      </c>
      <c r="G763" s="1" t="s">
        <v>168</v>
      </c>
      <c r="H763" s="1" t="str">
        <f>"1"</f>
        <v>1</v>
      </c>
      <c r="I763" s="3">
        <v>1813.5</v>
      </c>
      <c r="J763" s="4">
        <v>46056</v>
      </c>
      <c r="K763" s="1" t="s">
        <v>1930</v>
      </c>
    </row>
    <row r="764" spans="1:11" x14ac:dyDescent="0.35">
      <c r="A764" s="1" t="s">
        <v>1791</v>
      </c>
      <c r="B764" s="1" t="s">
        <v>1924</v>
      </c>
      <c r="C764" s="1" t="s">
        <v>1932</v>
      </c>
      <c r="D764" s="1" t="str">
        <f>"5820"</f>
        <v>5820</v>
      </c>
      <c r="E764" s="1" t="str">
        <f>"016000660"</f>
        <v>016000660</v>
      </c>
      <c r="F764" s="1" t="s">
        <v>1933</v>
      </c>
      <c r="G764" s="1" t="s">
        <v>15</v>
      </c>
      <c r="H764" s="1" t="str">
        <f>"10"</f>
        <v>10</v>
      </c>
      <c r="I764" s="3" t="str">
        <f>"1959"</f>
        <v>1959</v>
      </c>
      <c r="J764" s="4">
        <v>46056</v>
      </c>
      <c r="K764" s="1" t="s">
        <v>1934</v>
      </c>
    </row>
    <row r="765" spans="1:11" x14ac:dyDescent="0.35">
      <c r="A765" s="1" t="s">
        <v>1791</v>
      </c>
      <c r="B765" s="1" t="s">
        <v>1924</v>
      </c>
      <c r="C765" s="1" t="s">
        <v>1935</v>
      </c>
      <c r="D765" s="1" t="str">
        <f>"6350"</f>
        <v>6350</v>
      </c>
      <c r="E765" s="1" t="str">
        <f>"016436240"</f>
        <v>016436240</v>
      </c>
      <c r="F765" s="1" t="s">
        <v>1936</v>
      </c>
      <c r="G765" s="1" t="s">
        <v>168</v>
      </c>
      <c r="H765" s="1" t="str">
        <f>"2"</f>
        <v>2</v>
      </c>
      <c r="I765" s="3" t="str">
        <f>"8370"</f>
        <v>8370</v>
      </c>
      <c r="J765" s="4">
        <v>46056</v>
      </c>
      <c r="K765" s="1" t="s">
        <v>1937</v>
      </c>
    </row>
    <row r="766" spans="1:11" x14ac:dyDescent="0.35">
      <c r="A766" s="1" t="s">
        <v>1791</v>
      </c>
      <c r="B766" s="1" t="s">
        <v>1924</v>
      </c>
      <c r="C766" s="1" t="s">
        <v>1938</v>
      </c>
      <c r="D766" s="1" t="str">
        <f t="shared" ref="D766:D775" si="35">"8415"</f>
        <v>8415</v>
      </c>
      <c r="E766" s="1" t="str">
        <f>"016643142"</f>
        <v>016643142</v>
      </c>
      <c r="F766" s="1" t="s">
        <v>1939</v>
      </c>
      <c r="G766" s="1" t="s">
        <v>15</v>
      </c>
      <c r="H766" s="1" t="str">
        <f>"2"</f>
        <v>2</v>
      </c>
      <c r="I766" s="3">
        <v>77.67</v>
      </c>
      <c r="J766" s="4">
        <v>46056</v>
      </c>
      <c r="K766" s="1" t="s">
        <v>1940</v>
      </c>
    </row>
    <row r="767" spans="1:11" x14ac:dyDescent="0.35">
      <c r="A767" s="1" t="s">
        <v>1791</v>
      </c>
      <c r="B767" s="1" t="s">
        <v>1924</v>
      </c>
      <c r="C767" s="1" t="s">
        <v>1941</v>
      </c>
      <c r="D767" s="1" t="str">
        <f t="shared" si="35"/>
        <v>8415</v>
      </c>
      <c r="E767" s="1" t="str">
        <f>"015347376"</f>
        <v>015347376</v>
      </c>
      <c r="F767" s="1" t="s">
        <v>1939</v>
      </c>
      <c r="G767" s="1" t="s">
        <v>15</v>
      </c>
      <c r="H767" s="1" t="str">
        <f>"1"</f>
        <v>1</v>
      </c>
      <c r="I767" s="3">
        <v>52.7</v>
      </c>
      <c r="J767" s="4">
        <v>46056</v>
      </c>
      <c r="K767" s="1" t="s">
        <v>1940</v>
      </c>
    </row>
    <row r="768" spans="1:11" x14ac:dyDescent="0.35">
      <c r="A768" s="1" t="s">
        <v>1791</v>
      </c>
      <c r="B768" s="1" t="s">
        <v>1924</v>
      </c>
      <c r="C768" s="1" t="s">
        <v>1942</v>
      </c>
      <c r="D768" s="1" t="str">
        <f t="shared" si="35"/>
        <v>8415</v>
      </c>
      <c r="E768" s="1" t="str">
        <f>"015347375"</f>
        <v>015347375</v>
      </c>
      <c r="F768" s="1" t="s">
        <v>1939</v>
      </c>
      <c r="G768" s="1" t="s">
        <v>15</v>
      </c>
      <c r="H768" s="1" t="str">
        <f>"3"</f>
        <v>3</v>
      </c>
      <c r="I768" s="3">
        <v>46.05</v>
      </c>
      <c r="J768" s="4">
        <v>46056</v>
      </c>
      <c r="K768" s="1" t="s">
        <v>1940</v>
      </c>
    </row>
    <row r="769" spans="1:11" x14ac:dyDescent="0.35">
      <c r="A769" s="1" t="s">
        <v>1791</v>
      </c>
      <c r="B769" s="1" t="s">
        <v>1924</v>
      </c>
      <c r="C769" s="1" t="s">
        <v>1943</v>
      </c>
      <c r="D769" s="1" t="str">
        <f t="shared" si="35"/>
        <v>8415</v>
      </c>
      <c r="E769" s="1" t="s">
        <v>1944</v>
      </c>
      <c r="F769" s="1" t="s">
        <v>1945</v>
      </c>
      <c r="G769" s="1" t="s">
        <v>15</v>
      </c>
      <c r="H769" s="1" t="str">
        <f>"1"</f>
        <v>1</v>
      </c>
      <c r="I769" s="3">
        <v>52.3</v>
      </c>
      <c r="J769" s="4">
        <v>46056</v>
      </c>
      <c r="K769" s="1" t="s">
        <v>1940</v>
      </c>
    </row>
    <row r="770" spans="1:11" x14ac:dyDescent="0.35">
      <c r="A770" s="1" t="s">
        <v>1791</v>
      </c>
      <c r="B770" s="1" t="s">
        <v>1924</v>
      </c>
      <c r="C770" s="1" t="s">
        <v>1946</v>
      </c>
      <c r="D770" s="1" t="str">
        <f t="shared" si="35"/>
        <v>8415</v>
      </c>
      <c r="E770" s="1" t="str">
        <f>"016643140"</f>
        <v>016643140</v>
      </c>
      <c r="F770" s="1" t="s">
        <v>1939</v>
      </c>
      <c r="G770" s="1" t="s">
        <v>15</v>
      </c>
      <c r="H770" s="1" t="str">
        <f>"2"</f>
        <v>2</v>
      </c>
      <c r="I770" s="3">
        <v>77.67</v>
      </c>
      <c r="J770" s="4">
        <v>46056</v>
      </c>
      <c r="K770" s="1" t="s">
        <v>1940</v>
      </c>
    </row>
    <row r="771" spans="1:11" x14ac:dyDescent="0.35">
      <c r="A771" s="1" t="s">
        <v>1791</v>
      </c>
      <c r="B771" s="1" t="s">
        <v>1924</v>
      </c>
      <c r="C771" s="1" t="s">
        <v>1947</v>
      </c>
      <c r="D771" s="1" t="str">
        <f t="shared" si="35"/>
        <v>8415</v>
      </c>
      <c r="E771" s="1" t="str">
        <f>"015347377"</f>
        <v>015347377</v>
      </c>
      <c r="F771" s="1" t="s">
        <v>1939</v>
      </c>
      <c r="G771" s="1" t="s">
        <v>15</v>
      </c>
      <c r="H771" s="1" t="str">
        <f>"2"</f>
        <v>2</v>
      </c>
      <c r="I771" s="3">
        <v>52.7</v>
      </c>
      <c r="J771" s="4">
        <v>46056</v>
      </c>
      <c r="K771" s="1" t="s">
        <v>1940</v>
      </c>
    </row>
    <row r="772" spans="1:11" x14ac:dyDescent="0.35">
      <c r="A772" s="1" t="s">
        <v>1791</v>
      </c>
      <c r="B772" s="1" t="s">
        <v>1924</v>
      </c>
      <c r="C772" s="1" t="s">
        <v>1948</v>
      </c>
      <c r="D772" s="1" t="str">
        <f t="shared" si="35"/>
        <v>8415</v>
      </c>
      <c r="E772" s="1" t="str">
        <f>"015347376"</f>
        <v>015347376</v>
      </c>
      <c r="F772" s="1" t="s">
        <v>1939</v>
      </c>
      <c r="G772" s="1" t="s">
        <v>15</v>
      </c>
      <c r="H772" s="1" t="str">
        <f>"3"</f>
        <v>3</v>
      </c>
      <c r="I772" s="3">
        <v>52.7</v>
      </c>
      <c r="J772" s="4">
        <v>46056</v>
      </c>
      <c r="K772" s="1" t="s">
        <v>1940</v>
      </c>
    </row>
    <row r="773" spans="1:11" x14ac:dyDescent="0.35">
      <c r="A773" s="1" t="s">
        <v>1791</v>
      </c>
      <c r="B773" s="1" t="s">
        <v>1924</v>
      </c>
      <c r="C773" s="1" t="s">
        <v>1949</v>
      </c>
      <c r="D773" s="1" t="str">
        <f t="shared" si="35"/>
        <v>8415</v>
      </c>
      <c r="E773" s="1" t="str">
        <f>"015347376"</f>
        <v>015347376</v>
      </c>
      <c r="F773" s="1" t="s">
        <v>1939</v>
      </c>
      <c r="G773" s="1" t="s">
        <v>15</v>
      </c>
      <c r="H773" s="1" t="str">
        <f>"2"</f>
        <v>2</v>
      </c>
      <c r="I773" s="3">
        <v>52.7</v>
      </c>
      <c r="J773" s="4">
        <v>46056</v>
      </c>
      <c r="K773" s="1" t="s">
        <v>1940</v>
      </c>
    </row>
    <row r="774" spans="1:11" x14ac:dyDescent="0.35">
      <c r="A774" s="1" t="s">
        <v>1791</v>
      </c>
      <c r="B774" s="1" t="s">
        <v>1924</v>
      </c>
      <c r="C774" s="1" t="s">
        <v>1951</v>
      </c>
      <c r="D774" s="1" t="str">
        <f t="shared" si="35"/>
        <v>8415</v>
      </c>
      <c r="E774" s="1" t="s">
        <v>1952</v>
      </c>
      <c r="F774" s="1" t="s">
        <v>1953</v>
      </c>
      <c r="G774" s="1" t="s">
        <v>47</v>
      </c>
      <c r="H774" s="1" t="str">
        <f>"27"</f>
        <v>27</v>
      </c>
      <c r="I774" s="3">
        <v>18.989999999999998</v>
      </c>
      <c r="J774" s="4">
        <v>46056</v>
      </c>
      <c r="K774" s="1" t="s">
        <v>1954</v>
      </c>
    </row>
    <row r="775" spans="1:11" x14ac:dyDescent="0.35">
      <c r="A775" s="1" t="s">
        <v>1791</v>
      </c>
      <c r="B775" s="1" t="s">
        <v>1924</v>
      </c>
      <c r="C775" s="1" t="s">
        <v>1955</v>
      </c>
      <c r="D775" s="1" t="str">
        <f t="shared" si="35"/>
        <v>8415</v>
      </c>
      <c r="E775" s="1" t="str">
        <f>"015347376"</f>
        <v>015347376</v>
      </c>
      <c r="F775" s="1" t="s">
        <v>1939</v>
      </c>
      <c r="G775" s="1" t="s">
        <v>15</v>
      </c>
      <c r="H775" s="1" t="str">
        <f>"2"</f>
        <v>2</v>
      </c>
      <c r="I775" s="3">
        <v>52.7</v>
      </c>
      <c r="J775" s="4">
        <v>46056</v>
      </c>
      <c r="K775" s="1" t="s">
        <v>1940</v>
      </c>
    </row>
    <row r="776" spans="1:11" x14ac:dyDescent="0.35">
      <c r="A776" s="1" t="s">
        <v>1791</v>
      </c>
      <c r="B776" s="1" t="s">
        <v>1924</v>
      </c>
      <c r="C776" s="1" t="s">
        <v>1956</v>
      </c>
      <c r="D776" s="1" t="str">
        <f t="shared" ref="D776:D782" si="36">"8465"</f>
        <v>8465</v>
      </c>
      <c r="E776" s="1" t="str">
        <f>"015801300"</f>
        <v>015801300</v>
      </c>
      <c r="F776" s="1" t="s">
        <v>1957</v>
      </c>
      <c r="G776" s="1" t="s">
        <v>15</v>
      </c>
      <c r="H776" s="1" t="str">
        <f>"3"</f>
        <v>3</v>
      </c>
      <c r="I776" s="3">
        <v>13.29</v>
      </c>
      <c r="J776" s="4">
        <v>46056</v>
      </c>
      <c r="K776" s="1" t="s">
        <v>1958</v>
      </c>
    </row>
    <row r="777" spans="1:11" x14ac:dyDescent="0.35">
      <c r="A777" s="1" t="s">
        <v>1791</v>
      </c>
      <c r="B777" s="1" t="s">
        <v>1924</v>
      </c>
      <c r="C777" s="1" t="s">
        <v>1959</v>
      </c>
      <c r="D777" s="1" t="str">
        <f t="shared" si="36"/>
        <v>8465</v>
      </c>
      <c r="E777" s="1" t="str">
        <f>"015801300"</f>
        <v>015801300</v>
      </c>
      <c r="F777" s="1" t="s">
        <v>1957</v>
      </c>
      <c r="G777" s="1" t="s">
        <v>15</v>
      </c>
      <c r="H777" s="1" t="str">
        <f>"5"</f>
        <v>5</v>
      </c>
      <c r="I777" s="3">
        <v>13.29</v>
      </c>
      <c r="J777" s="4">
        <v>46056</v>
      </c>
      <c r="K777" s="1" t="s">
        <v>1958</v>
      </c>
    </row>
    <row r="778" spans="1:11" x14ac:dyDescent="0.35">
      <c r="A778" s="1" t="s">
        <v>1791</v>
      </c>
      <c r="B778" s="1" t="s">
        <v>1924</v>
      </c>
      <c r="C778" s="1" t="s">
        <v>1960</v>
      </c>
      <c r="D778" s="1" t="str">
        <f t="shared" si="36"/>
        <v>8465</v>
      </c>
      <c r="E778" s="1" t="str">
        <f>"015472694"</f>
        <v>015472694</v>
      </c>
      <c r="F778" s="1" t="s">
        <v>1961</v>
      </c>
      <c r="G778" s="1" t="s">
        <v>15</v>
      </c>
      <c r="H778" s="1" t="str">
        <f>"10"</f>
        <v>10</v>
      </c>
      <c r="I778" s="3">
        <v>96.33</v>
      </c>
      <c r="J778" s="4">
        <v>46056</v>
      </c>
      <c r="K778" s="1" t="s">
        <v>1962</v>
      </c>
    </row>
    <row r="779" spans="1:11" x14ac:dyDescent="0.35">
      <c r="A779" s="1" t="s">
        <v>1791</v>
      </c>
      <c r="B779" s="1" t="s">
        <v>1924</v>
      </c>
      <c r="C779" s="1" t="s">
        <v>1963</v>
      </c>
      <c r="D779" s="1" t="str">
        <f t="shared" si="36"/>
        <v>8465</v>
      </c>
      <c r="E779" s="1" t="str">
        <f>"015801303"</f>
        <v>015801303</v>
      </c>
      <c r="F779" s="1" t="s">
        <v>1964</v>
      </c>
      <c r="G779" s="1" t="s">
        <v>15</v>
      </c>
      <c r="H779" s="1" t="str">
        <f>"11"</f>
        <v>11</v>
      </c>
      <c r="I779" s="3">
        <v>19.87</v>
      </c>
      <c r="J779" s="4">
        <v>46056</v>
      </c>
      <c r="K779" s="1" t="s">
        <v>1965</v>
      </c>
    </row>
    <row r="780" spans="1:11" x14ac:dyDescent="0.35">
      <c r="A780" s="1" t="s">
        <v>1791</v>
      </c>
      <c r="B780" s="1" t="s">
        <v>1924</v>
      </c>
      <c r="C780" s="1" t="s">
        <v>1966</v>
      </c>
      <c r="D780" s="1" t="str">
        <f t="shared" si="36"/>
        <v>8465</v>
      </c>
      <c r="E780" s="1" t="str">
        <f>"015801303"</f>
        <v>015801303</v>
      </c>
      <c r="F780" s="1" t="s">
        <v>1964</v>
      </c>
      <c r="G780" s="1" t="s">
        <v>15</v>
      </c>
      <c r="H780" s="1" t="str">
        <f>"4"</f>
        <v>4</v>
      </c>
      <c r="I780" s="3">
        <v>19.87</v>
      </c>
      <c r="J780" s="4">
        <v>46056</v>
      </c>
      <c r="K780" s="1" t="s">
        <v>1965</v>
      </c>
    </row>
    <row r="781" spans="1:11" x14ac:dyDescent="0.35">
      <c r="A781" s="1" t="s">
        <v>1791</v>
      </c>
      <c r="B781" s="1" t="s">
        <v>1924</v>
      </c>
      <c r="C781" s="1" t="s">
        <v>1967</v>
      </c>
      <c r="D781" s="1" t="str">
        <f t="shared" si="36"/>
        <v>8465</v>
      </c>
      <c r="E781" s="1" t="str">
        <f>"016419405"</f>
        <v>016419405</v>
      </c>
      <c r="F781" s="1" t="s">
        <v>1968</v>
      </c>
      <c r="G781" s="1" t="s">
        <v>15</v>
      </c>
      <c r="H781" s="1" t="str">
        <f>"5"</f>
        <v>5</v>
      </c>
      <c r="I781" s="3">
        <v>26.22</v>
      </c>
      <c r="J781" s="4">
        <v>46056</v>
      </c>
      <c r="K781" s="1" t="s">
        <v>1965</v>
      </c>
    </row>
    <row r="782" spans="1:11" x14ac:dyDescent="0.35">
      <c r="A782" s="1" t="s">
        <v>1791</v>
      </c>
      <c r="B782" s="1" t="s">
        <v>1924</v>
      </c>
      <c r="C782" s="1" t="s">
        <v>1969</v>
      </c>
      <c r="D782" s="1" t="str">
        <f t="shared" si="36"/>
        <v>8465</v>
      </c>
      <c r="E782" s="1" t="str">
        <f>"016419395"</f>
        <v>016419395</v>
      </c>
      <c r="F782" s="1" t="s">
        <v>1957</v>
      </c>
      <c r="G782" s="1" t="s">
        <v>15</v>
      </c>
      <c r="H782" s="1" t="str">
        <f>"2"</f>
        <v>2</v>
      </c>
      <c r="I782" s="3">
        <v>21.07</v>
      </c>
      <c r="J782" s="4">
        <v>46056</v>
      </c>
      <c r="K782" s="1" t="s">
        <v>1958</v>
      </c>
    </row>
    <row r="783" spans="1:11" x14ac:dyDescent="0.35">
      <c r="A783" s="1" t="s">
        <v>1791</v>
      </c>
      <c r="B783" s="1" t="s">
        <v>1811</v>
      </c>
      <c r="C783" s="1" t="s">
        <v>1812</v>
      </c>
      <c r="D783" s="1" t="str">
        <f>"5855"</f>
        <v>5855</v>
      </c>
      <c r="E783" s="1" t="str">
        <f>"015330555"</f>
        <v>015330555</v>
      </c>
      <c r="F783" s="1" t="s">
        <v>476</v>
      </c>
      <c r="G783" s="1" t="s">
        <v>15</v>
      </c>
      <c r="H783" s="1" t="str">
        <f>"6"</f>
        <v>6</v>
      </c>
      <c r="I783" s="3" t="str">
        <f>"1800"</f>
        <v>1800</v>
      </c>
      <c r="J783" s="4">
        <v>46059</v>
      </c>
      <c r="K783" s="1" t="s">
        <v>1813</v>
      </c>
    </row>
    <row r="784" spans="1:11" x14ac:dyDescent="0.35">
      <c r="A784" s="1" t="s">
        <v>1791</v>
      </c>
      <c r="B784" s="1" t="s">
        <v>1811</v>
      </c>
      <c r="C784" s="1" t="s">
        <v>1817</v>
      </c>
      <c r="D784" s="1" t="str">
        <f>"6545"</f>
        <v>6545</v>
      </c>
      <c r="E784" s="1" t="str">
        <f>"015841582"</f>
        <v>015841582</v>
      </c>
      <c r="F784" s="1" t="s">
        <v>990</v>
      </c>
      <c r="G784" s="1" t="s">
        <v>168</v>
      </c>
      <c r="H784" s="1" t="str">
        <f>"25"</f>
        <v>25</v>
      </c>
      <c r="I784" s="3">
        <v>103.24</v>
      </c>
      <c r="J784" s="4">
        <v>46059</v>
      </c>
      <c r="K784" s="1" t="s">
        <v>1818</v>
      </c>
    </row>
    <row r="785" spans="1:11" x14ac:dyDescent="0.35">
      <c r="A785" s="1" t="s">
        <v>1791</v>
      </c>
      <c r="B785" s="1" t="s">
        <v>1811</v>
      </c>
      <c r="C785" s="1" t="s">
        <v>1819</v>
      </c>
      <c r="D785" s="1" t="str">
        <f>"8465"</f>
        <v>8465</v>
      </c>
      <c r="E785" s="1" t="str">
        <f>"015800981"</f>
        <v>015800981</v>
      </c>
      <c r="F785" s="1" t="s">
        <v>343</v>
      </c>
      <c r="G785" s="1" t="s">
        <v>15</v>
      </c>
      <c r="H785" s="1" t="str">
        <f>"6"</f>
        <v>6</v>
      </c>
      <c r="I785" s="3">
        <v>75.150000000000006</v>
      </c>
      <c r="J785" s="4">
        <v>46059</v>
      </c>
      <c r="K785" s="1" t="s">
        <v>1820</v>
      </c>
    </row>
    <row r="786" spans="1:11" x14ac:dyDescent="0.35">
      <c r="A786" s="1" t="s">
        <v>1791</v>
      </c>
      <c r="B786" s="1" t="s">
        <v>1856</v>
      </c>
      <c r="C786" s="1" t="s">
        <v>1862</v>
      </c>
      <c r="D786" s="1" t="str">
        <f>"3805"</f>
        <v>3805</v>
      </c>
      <c r="E786" s="1" t="s">
        <v>1020</v>
      </c>
      <c r="F786" s="1" t="s">
        <v>1021</v>
      </c>
      <c r="G786" s="1" t="s">
        <v>15</v>
      </c>
      <c r="H786" s="1" t="str">
        <f>"1"</f>
        <v>1</v>
      </c>
      <c r="I786" s="3" t="str">
        <f>"7500"</f>
        <v>7500</v>
      </c>
      <c r="J786" s="4">
        <v>46059</v>
      </c>
      <c r="K786" s="1" t="s">
        <v>1863</v>
      </c>
    </row>
    <row r="787" spans="1:11" x14ac:dyDescent="0.35">
      <c r="A787" s="1" t="s">
        <v>1791</v>
      </c>
      <c r="B787" s="1" t="s">
        <v>1924</v>
      </c>
      <c r="C787" s="1" t="s">
        <v>1925</v>
      </c>
      <c r="D787" s="1" t="str">
        <f>"2340"</f>
        <v>2340</v>
      </c>
      <c r="E787" s="1" t="str">
        <f>"015135988"</f>
        <v>015135988</v>
      </c>
      <c r="F787" s="1" t="s">
        <v>1926</v>
      </c>
      <c r="G787" s="1" t="s">
        <v>15</v>
      </c>
      <c r="H787" s="1" t="str">
        <f>"2"</f>
        <v>2</v>
      </c>
      <c r="I787" s="3" t="str">
        <f>"13259"</f>
        <v>13259</v>
      </c>
      <c r="J787" s="4">
        <v>46059</v>
      </c>
      <c r="K787" s="1" t="s">
        <v>1927</v>
      </c>
    </row>
    <row r="788" spans="1:11" x14ac:dyDescent="0.35">
      <c r="A788" s="1" t="s">
        <v>1791</v>
      </c>
      <c r="B788" s="1" t="s">
        <v>1871</v>
      </c>
      <c r="C788" s="1" t="s">
        <v>1875</v>
      </c>
      <c r="D788" s="1" t="str">
        <f>"1095"</f>
        <v>1095</v>
      </c>
      <c r="E788" s="1" t="str">
        <f>"015432189"</f>
        <v>015432189</v>
      </c>
      <c r="F788" s="1" t="s">
        <v>704</v>
      </c>
      <c r="G788" s="1" t="s">
        <v>15</v>
      </c>
      <c r="H788" s="1" t="str">
        <f>"12"</f>
        <v>12</v>
      </c>
      <c r="I788" s="3" t="str">
        <f>"959"</f>
        <v>959</v>
      </c>
      <c r="J788" s="4">
        <v>46063</v>
      </c>
      <c r="K788" s="1" t="s">
        <v>1876</v>
      </c>
    </row>
    <row r="789" spans="1:11" x14ac:dyDescent="0.35">
      <c r="A789" s="1" t="s">
        <v>1791</v>
      </c>
      <c r="B789" s="1" t="s">
        <v>1871</v>
      </c>
      <c r="C789" s="1" t="s">
        <v>1879</v>
      </c>
      <c r="D789" s="1" t="str">
        <f>"4220"</f>
        <v>4220</v>
      </c>
      <c r="E789" s="1" t="str">
        <f>"014159817"</f>
        <v>014159817</v>
      </c>
      <c r="F789" s="1" t="s">
        <v>1880</v>
      </c>
      <c r="G789" s="1" t="s">
        <v>15</v>
      </c>
      <c r="H789" s="1" t="str">
        <f>"12"</f>
        <v>12</v>
      </c>
      <c r="I789" s="3">
        <v>100.81</v>
      </c>
      <c r="J789" s="4">
        <v>46066</v>
      </c>
      <c r="K789" s="1" t="s">
        <v>1881</v>
      </c>
    </row>
    <row r="790" spans="1:11" x14ac:dyDescent="0.35">
      <c r="A790" s="1" t="s">
        <v>1791</v>
      </c>
      <c r="B790" s="1" t="s">
        <v>1904</v>
      </c>
      <c r="C790" s="1" t="s">
        <v>1910</v>
      </c>
      <c r="D790" s="1" t="str">
        <f>"1240"</f>
        <v>1240</v>
      </c>
      <c r="E790" s="1" t="str">
        <f>"016785336"</f>
        <v>016785336</v>
      </c>
      <c r="F790" s="1" t="s">
        <v>71</v>
      </c>
      <c r="G790" s="1" t="s">
        <v>15</v>
      </c>
      <c r="H790" s="1" t="str">
        <f>"12"</f>
        <v>12</v>
      </c>
      <c r="I790" s="3" t="str">
        <f>"352"</f>
        <v>352</v>
      </c>
      <c r="J790" s="4">
        <v>46066</v>
      </c>
      <c r="K790" s="1" t="s">
        <v>1911</v>
      </c>
    </row>
    <row r="791" spans="1:11" x14ac:dyDescent="0.35">
      <c r="A791" s="1" t="s">
        <v>1791</v>
      </c>
      <c r="B791" s="1" t="s">
        <v>1904</v>
      </c>
      <c r="C791" s="1" t="s">
        <v>1915</v>
      </c>
      <c r="D791" s="1" t="str">
        <f>"2360"</f>
        <v>2360</v>
      </c>
      <c r="E791" s="1" t="str">
        <f>"016651491"</f>
        <v>016651491</v>
      </c>
      <c r="F791" s="1" t="s">
        <v>1275</v>
      </c>
      <c r="G791" s="1" t="s">
        <v>15</v>
      </c>
      <c r="H791" s="1" t="str">
        <f>"2"</f>
        <v>2</v>
      </c>
      <c r="I791" s="3" t="str">
        <f>"17125"</f>
        <v>17125</v>
      </c>
      <c r="J791" s="4">
        <v>46066</v>
      </c>
      <c r="K791" s="1" t="s">
        <v>1916</v>
      </c>
    </row>
    <row r="792" spans="1:11" x14ac:dyDescent="0.35">
      <c r="A792" s="1" t="s">
        <v>1791</v>
      </c>
      <c r="B792" s="1" t="s">
        <v>1856</v>
      </c>
      <c r="C792" s="1" t="s">
        <v>1864</v>
      </c>
      <c r="D792" s="1" t="str">
        <f>"7830"</f>
        <v>7830</v>
      </c>
      <c r="E792" s="1" t="s">
        <v>1865</v>
      </c>
      <c r="F792" s="1" t="s">
        <v>1866</v>
      </c>
      <c r="G792" s="1" t="s">
        <v>15</v>
      </c>
      <c r="H792" s="1" t="str">
        <f>"1"</f>
        <v>1</v>
      </c>
      <c r="I792" s="3" t="str">
        <f>"589"</f>
        <v>589</v>
      </c>
      <c r="J792" s="4">
        <v>46070</v>
      </c>
      <c r="K792" s="1" t="s">
        <v>1867</v>
      </c>
    </row>
    <row r="793" spans="1:11" x14ac:dyDescent="0.35">
      <c r="A793" s="1" t="s">
        <v>1791</v>
      </c>
      <c r="B793" s="1" t="s">
        <v>1924</v>
      </c>
      <c r="C793" s="1" t="s">
        <v>1950</v>
      </c>
      <c r="D793" s="1" t="str">
        <f>"8415"</f>
        <v>8415</v>
      </c>
      <c r="E793" s="1" t="str">
        <f>"015347383"</f>
        <v>015347383</v>
      </c>
      <c r="F793" s="1" t="s">
        <v>1939</v>
      </c>
      <c r="G793" s="1" t="s">
        <v>15</v>
      </c>
      <c r="H793" s="1" t="str">
        <f>"2"</f>
        <v>2</v>
      </c>
      <c r="I793" s="3">
        <v>52.7</v>
      </c>
      <c r="J793" s="4">
        <v>46071</v>
      </c>
      <c r="K793" s="1" t="s">
        <v>1940</v>
      </c>
    </row>
    <row r="794" spans="1:11" x14ac:dyDescent="0.35">
      <c r="A794" s="1" t="s">
        <v>1791</v>
      </c>
      <c r="B794" s="1" t="s">
        <v>1904</v>
      </c>
      <c r="C794" s="1" t="s">
        <v>1919</v>
      </c>
      <c r="D794" s="1" t="str">
        <f>"8465"</f>
        <v>8465</v>
      </c>
      <c r="E794" s="1" t="str">
        <f>"015851512"</f>
        <v>015851512</v>
      </c>
      <c r="F794" s="1" t="s">
        <v>1645</v>
      </c>
      <c r="G794" s="1" t="s">
        <v>257</v>
      </c>
      <c r="H794" s="1" t="str">
        <f>"2"</f>
        <v>2</v>
      </c>
      <c r="I794" s="3">
        <v>115.92</v>
      </c>
      <c r="J794" s="4">
        <v>46073</v>
      </c>
      <c r="K794" s="1" t="s">
        <v>1918</v>
      </c>
    </row>
    <row r="795" spans="1:11" x14ac:dyDescent="0.35">
      <c r="A795" s="1" t="s">
        <v>1791</v>
      </c>
      <c r="B795" s="1" t="s">
        <v>1904</v>
      </c>
      <c r="C795" s="1" t="s">
        <v>1920</v>
      </c>
      <c r="D795" s="1" t="str">
        <f>"8465"</f>
        <v>8465</v>
      </c>
      <c r="E795" s="1" t="str">
        <f>"015851512"</f>
        <v>015851512</v>
      </c>
      <c r="F795" s="1" t="s">
        <v>1645</v>
      </c>
      <c r="G795" s="1" t="s">
        <v>257</v>
      </c>
      <c r="H795" s="1" t="str">
        <f>"6"</f>
        <v>6</v>
      </c>
      <c r="I795" s="3">
        <v>115.92</v>
      </c>
      <c r="J795" s="4">
        <v>46073</v>
      </c>
      <c r="K795" s="1" t="s">
        <v>1918</v>
      </c>
    </row>
    <row r="796" spans="1:11" x14ac:dyDescent="0.35">
      <c r="A796" s="1" t="s">
        <v>1791</v>
      </c>
      <c r="B796" s="1" t="s">
        <v>1904</v>
      </c>
      <c r="C796" s="1" t="s">
        <v>1921</v>
      </c>
      <c r="D796" s="1" t="str">
        <f>"8465"</f>
        <v>8465</v>
      </c>
      <c r="E796" s="1" t="str">
        <f>"015851512"</f>
        <v>015851512</v>
      </c>
      <c r="F796" s="1" t="s">
        <v>1645</v>
      </c>
      <c r="G796" s="1" t="s">
        <v>257</v>
      </c>
      <c r="H796" s="1" t="str">
        <f>"4"</f>
        <v>4</v>
      </c>
      <c r="I796" s="3">
        <v>115.92</v>
      </c>
      <c r="J796" s="4">
        <v>46073</v>
      </c>
      <c r="K796" s="1" t="s">
        <v>1918</v>
      </c>
    </row>
    <row r="797" spans="1:11" x14ac:dyDescent="0.35">
      <c r="A797" s="1" t="s">
        <v>1791</v>
      </c>
      <c r="B797" s="1" t="s">
        <v>1904</v>
      </c>
      <c r="C797" s="1" t="s">
        <v>1922</v>
      </c>
      <c r="D797" s="1" t="str">
        <f>"8465"</f>
        <v>8465</v>
      </c>
      <c r="E797" s="1" t="str">
        <f>"015851512"</f>
        <v>015851512</v>
      </c>
      <c r="F797" s="1" t="s">
        <v>1645</v>
      </c>
      <c r="G797" s="1" t="s">
        <v>257</v>
      </c>
      <c r="H797" s="1" t="str">
        <f>"6"</f>
        <v>6</v>
      </c>
      <c r="I797" s="3">
        <v>115.92</v>
      </c>
      <c r="J797" s="4">
        <v>46073</v>
      </c>
      <c r="K797" s="1" t="s">
        <v>1918</v>
      </c>
    </row>
    <row r="798" spans="1:11" x14ac:dyDescent="0.35">
      <c r="A798" s="1" t="s">
        <v>1791</v>
      </c>
      <c r="B798" s="1" t="s">
        <v>1904</v>
      </c>
      <c r="C798" s="1" t="s">
        <v>1923</v>
      </c>
      <c r="D798" s="1" t="str">
        <f>"8465"</f>
        <v>8465</v>
      </c>
      <c r="E798" s="1" t="str">
        <f>"015851512"</f>
        <v>015851512</v>
      </c>
      <c r="F798" s="1" t="s">
        <v>1645</v>
      </c>
      <c r="G798" s="1" t="s">
        <v>257</v>
      </c>
      <c r="H798" s="1" t="str">
        <f>"5"</f>
        <v>5</v>
      </c>
      <c r="I798" s="3">
        <v>115.92</v>
      </c>
      <c r="J798" s="4">
        <v>46073</v>
      </c>
      <c r="K798" s="1" t="s">
        <v>1918</v>
      </c>
    </row>
    <row r="799" spans="1:11" x14ac:dyDescent="0.35">
      <c r="A799" s="1" t="s">
        <v>1791</v>
      </c>
      <c r="B799" s="1" t="s">
        <v>1821</v>
      </c>
      <c r="C799" s="1" t="s">
        <v>1825</v>
      </c>
      <c r="D799" s="1" t="str">
        <f>"2340"</f>
        <v>2340</v>
      </c>
      <c r="E799" s="1" t="s">
        <v>1071</v>
      </c>
      <c r="F799" s="1" t="s">
        <v>1072</v>
      </c>
      <c r="G799" s="1" t="s">
        <v>15</v>
      </c>
      <c r="H799" s="1" t="str">
        <f>"1"</f>
        <v>1</v>
      </c>
      <c r="I799" s="3" t="str">
        <f>"14918"</f>
        <v>14918</v>
      </c>
      <c r="J799" s="4">
        <v>46077</v>
      </c>
      <c r="K799" s="1" t="s">
        <v>1826</v>
      </c>
    </row>
    <row r="800" spans="1:11" x14ac:dyDescent="0.35">
      <c r="A800" s="1" t="s">
        <v>1791</v>
      </c>
      <c r="B800" s="1" t="s">
        <v>1856</v>
      </c>
      <c r="C800" s="1" t="s">
        <v>1868</v>
      </c>
      <c r="D800" s="1" t="str">
        <f>"7830"</f>
        <v>7830</v>
      </c>
      <c r="E800" s="1" t="s">
        <v>1869</v>
      </c>
      <c r="F800" s="1" t="s">
        <v>1870</v>
      </c>
      <c r="G800" s="1" t="s">
        <v>15</v>
      </c>
      <c r="H800" s="1" t="str">
        <f>"1"</f>
        <v>1</v>
      </c>
      <c r="I800" s="3" t="str">
        <f>"5269"</f>
        <v>5269</v>
      </c>
      <c r="J800" s="4">
        <v>46077</v>
      </c>
      <c r="K800" s="1" t="s">
        <v>1867</v>
      </c>
    </row>
    <row r="801" spans="1:11" x14ac:dyDescent="0.35">
      <c r="A801" s="1" t="s">
        <v>1791</v>
      </c>
      <c r="B801" s="1" t="s">
        <v>1904</v>
      </c>
      <c r="C801" s="1" t="s">
        <v>1905</v>
      </c>
      <c r="D801" s="1" t="str">
        <f>"1240"</f>
        <v>1240</v>
      </c>
      <c r="E801" s="1" t="str">
        <f>"015766134"</f>
        <v>015766134</v>
      </c>
      <c r="F801" s="1" t="s">
        <v>71</v>
      </c>
      <c r="G801" s="1" t="s">
        <v>15</v>
      </c>
      <c r="H801" s="1" t="str">
        <f>"10"</f>
        <v>10</v>
      </c>
      <c r="I801" s="3" t="str">
        <f>"589"</f>
        <v>589</v>
      </c>
      <c r="J801" s="4">
        <v>46077</v>
      </c>
      <c r="K801" s="1" t="s">
        <v>1906</v>
      </c>
    </row>
    <row r="802" spans="1:11" x14ac:dyDescent="0.35">
      <c r="A802" s="1" t="s">
        <v>1791</v>
      </c>
      <c r="B802" s="1" t="s">
        <v>1904</v>
      </c>
      <c r="C802" s="1" t="s">
        <v>1917</v>
      </c>
      <c r="D802" s="1" t="str">
        <f>"8465"</f>
        <v>8465</v>
      </c>
      <c r="E802" s="1" t="str">
        <f>"015851512"</f>
        <v>015851512</v>
      </c>
      <c r="F802" s="1" t="s">
        <v>1645</v>
      </c>
      <c r="G802" s="1" t="s">
        <v>257</v>
      </c>
      <c r="H802" s="1" t="str">
        <f>"4"</f>
        <v>4</v>
      </c>
      <c r="I802" s="3">
        <v>115.92</v>
      </c>
      <c r="J802" s="4">
        <v>46077</v>
      </c>
      <c r="K802" s="1" t="s">
        <v>1918</v>
      </c>
    </row>
    <row r="803" spans="1:11" x14ac:dyDescent="0.35">
      <c r="A803" s="1" t="s">
        <v>1791</v>
      </c>
      <c r="B803" s="1" t="s">
        <v>1799</v>
      </c>
      <c r="C803" s="1" t="s">
        <v>1808</v>
      </c>
      <c r="D803" s="1" t="str">
        <f>"8465"</f>
        <v>8465</v>
      </c>
      <c r="E803" s="1" t="str">
        <f>"015800981"</f>
        <v>015800981</v>
      </c>
      <c r="F803" s="1" t="s">
        <v>343</v>
      </c>
      <c r="G803" s="1" t="s">
        <v>15</v>
      </c>
      <c r="H803" s="1" t="str">
        <f>"5"</f>
        <v>5</v>
      </c>
      <c r="I803" s="3">
        <v>75.150000000000006</v>
      </c>
      <c r="J803" s="4">
        <v>46078</v>
      </c>
      <c r="K803" s="1" t="s">
        <v>1809</v>
      </c>
    </row>
    <row r="804" spans="1:11" x14ac:dyDescent="0.35">
      <c r="A804" s="1" t="s">
        <v>1791</v>
      </c>
      <c r="B804" s="1" t="s">
        <v>1799</v>
      </c>
      <c r="C804" s="1" t="s">
        <v>1810</v>
      </c>
      <c r="D804" s="1" t="str">
        <f>"8465"</f>
        <v>8465</v>
      </c>
      <c r="E804" s="1" t="str">
        <f>"015245250"</f>
        <v>015245250</v>
      </c>
      <c r="F804" s="1" t="s">
        <v>343</v>
      </c>
      <c r="G804" s="1" t="s">
        <v>15</v>
      </c>
      <c r="H804" s="1" t="str">
        <f>"5"</f>
        <v>5</v>
      </c>
      <c r="I804" s="3">
        <v>75.150000000000006</v>
      </c>
      <c r="J804" s="4">
        <v>46078</v>
      </c>
      <c r="K804" s="1" t="s">
        <v>1809</v>
      </c>
    </row>
    <row r="805" spans="1:11" x14ac:dyDescent="0.35">
      <c r="A805" s="1" t="s">
        <v>1791</v>
      </c>
      <c r="B805" s="1" t="s">
        <v>1853</v>
      </c>
      <c r="C805" s="1" t="s">
        <v>1854</v>
      </c>
      <c r="D805" s="1" t="str">
        <f>"2320"</f>
        <v>2320</v>
      </c>
      <c r="E805" s="1" t="str">
        <f>"014473887"</f>
        <v>014473887</v>
      </c>
      <c r="F805" s="1" t="s">
        <v>930</v>
      </c>
      <c r="G805" s="1" t="s">
        <v>15</v>
      </c>
      <c r="H805" s="1" t="str">
        <f>"1"</f>
        <v>1</v>
      </c>
      <c r="I805" s="3" t="str">
        <f>"218378"</f>
        <v>218378</v>
      </c>
      <c r="J805" s="4">
        <v>46078</v>
      </c>
      <c r="K805" s="1" t="s">
        <v>1855</v>
      </c>
    </row>
    <row r="806" spans="1:11" x14ac:dyDescent="0.35">
      <c r="A806" s="1" t="s">
        <v>1791</v>
      </c>
      <c r="B806" s="1" t="s">
        <v>1821</v>
      </c>
      <c r="C806" s="1" t="s">
        <v>1822</v>
      </c>
      <c r="D806" s="1" t="str">
        <f>"2330"</f>
        <v>2330</v>
      </c>
      <c r="E806" s="1" t="str">
        <f>"013590080"</f>
        <v>013590080</v>
      </c>
      <c r="F806" s="1" t="s">
        <v>1823</v>
      </c>
      <c r="G806" s="1" t="s">
        <v>15</v>
      </c>
      <c r="H806" s="1" t="str">
        <f>"3"</f>
        <v>3</v>
      </c>
      <c r="I806" s="3" t="str">
        <f>"4985"</f>
        <v>4985</v>
      </c>
      <c r="J806" s="4">
        <v>46079</v>
      </c>
      <c r="K806" s="1" t="s">
        <v>1824</v>
      </c>
    </row>
    <row r="807" spans="1:11" x14ac:dyDescent="0.35">
      <c r="A807" s="1" t="s">
        <v>1791</v>
      </c>
      <c r="B807" s="1" t="s">
        <v>1856</v>
      </c>
      <c r="C807" s="1" t="s">
        <v>1859</v>
      </c>
      <c r="D807" s="1" t="str">
        <f>"2320"</f>
        <v>2320</v>
      </c>
      <c r="E807" s="1" t="str">
        <f>"013469317"</f>
        <v>013469317</v>
      </c>
      <c r="F807" s="1" t="s">
        <v>1860</v>
      </c>
      <c r="G807" s="1" t="s">
        <v>15</v>
      </c>
      <c r="H807" s="1" t="str">
        <f>"1"</f>
        <v>1</v>
      </c>
      <c r="I807" s="3" t="str">
        <f>"94171"</f>
        <v>94171</v>
      </c>
      <c r="J807" s="4">
        <v>46085</v>
      </c>
      <c r="K807" s="1" t="s">
        <v>1861</v>
      </c>
    </row>
    <row r="808" spans="1:11" x14ac:dyDescent="0.35">
      <c r="A808" s="1" t="s">
        <v>1791</v>
      </c>
      <c r="B808" s="1" t="s">
        <v>1888</v>
      </c>
      <c r="C808" s="1" t="s">
        <v>1889</v>
      </c>
      <c r="D808" s="1" t="str">
        <f>"3930"</f>
        <v>3930</v>
      </c>
      <c r="E808" s="1" t="str">
        <f>"015080886"</f>
        <v>015080886</v>
      </c>
      <c r="F808" s="1" t="s">
        <v>124</v>
      </c>
      <c r="G808" s="1" t="s">
        <v>15</v>
      </c>
      <c r="H808" s="1" t="str">
        <f>"1"</f>
        <v>1</v>
      </c>
      <c r="I808" s="3" t="str">
        <f>"85556"</f>
        <v>85556</v>
      </c>
      <c r="J808" s="4">
        <v>46085</v>
      </c>
      <c r="K808" s="1" t="s">
        <v>1890</v>
      </c>
    </row>
    <row r="809" spans="1:11" x14ac:dyDescent="0.35">
      <c r="A809" s="1" t="s">
        <v>1791</v>
      </c>
      <c r="B809" s="1" t="s">
        <v>1888</v>
      </c>
      <c r="C809" s="1" t="s">
        <v>1894</v>
      </c>
      <c r="D809" s="1" t="str">
        <f>"6115"</f>
        <v>6115</v>
      </c>
      <c r="E809" s="1" t="s">
        <v>157</v>
      </c>
      <c r="F809" s="1" t="s">
        <v>158</v>
      </c>
      <c r="G809" s="1" t="s">
        <v>15</v>
      </c>
      <c r="H809" s="1" t="str">
        <f>"2"</f>
        <v>2</v>
      </c>
      <c r="I809" s="3" t="str">
        <f>"36684"</f>
        <v>36684</v>
      </c>
      <c r="J809" s="4">
        <v>46085</v>
      </c>
      <c r="K809" s="1" t="s">
        <v>1895</v>
      </c>
    </row>
    <row r="810" spans="1:11" x14ac:dyDescent="0.35">
      <c r="A810" s="1" t="s">
        <v>1791</v>
      </c>
      <c r="B810" s="1" t="s">
        <v>1799</v>
      </c>
      <c r="C810" s="1" t="s">
        <v>1802</v>
      </c>
      <c r="D810" s="1" t="str">
        <f>"5120"</f>
        <v>5120</v>
      </c>
      <c r="E810" s="1" t="str">
        <f>"008785932"</f>
        <v>008785932</v>
      </c>
      <c r="F810" s="1" t="s">
        <v>76</v>
      </c>
      <c r="G810" s="1" t="s">
        <v>15</v>
      </c>
      <c r="H810" s="1" t="str">
        <f>"10"</f>
        <v>10</v>
      </c>
      <c r="I810" s="3">
        <v>97.1</v>
      </c>
      <c r="J810" s="4">
        <v>46086</v>
      </c>
      <c r="K810" s="1" t="s">
        <v>1803</v>
      </c>
    </row>
    <row r="811" spans="1:11" x14ac:dyDescent="0.35">
      <c r="A811" s="1" t="s">
        <v>1791</v>
      </c>
      <c r="B811" s="1" t="s">
        <v>1811</v>
      </c>
      <c r="C811" s="1" t="s">
        <v>1814</v>
      </c>
      <c r="D811" s="1" t="str">
        <f>"6545"</f>
        <v>6545</v>
      </c>
      <c r="E811" s="1" t="str">
        <f>"012549551"</f>
        <v>012549551</v>
      </c>
      <c r="F811" s="1" t="s">
        <v>1815</v>
      </c>
      <c r="G811" s="1" t="s">
        <v>15</v>
      </c>
      <c r="H811" s="1" t="str">
        <f>"3"</f>
        <v>3</v>
      </c>
      <c r="I811" s="3">
        <v>194.9</v>
      </c>
      <c r="J811" s="4">
        <v>46091</v>
      </c>
      <c r="K811" s="1" t="s">
        <v>1816</v>
      </c>
    </row>
    <row r="812" spans="1:11" x14ac:dyDescent="0.35">
      <c r="A812" s="1" t="s">
        <v>1791</v>
      </c>
      <c r="B812" s="1" t="s">
        <v>1792</v>
      </c>
      <c r="C812" s="1" t="s">
        <v>1793</v>
      </c>
      <c r="D812" s="1" t="str">
        <f>"2330"</f>
        <v>2330</v>
      </c>
      <c r="E812" s="1" t="s">
        <v>104</v>
      </c>
      <c r="F812" s="1" t="s">
        <v>105</v>
      </c>
      <c r="G812" s="1" t="s">
        <v>15</v>
      </c>
      <c r="H812" s="1" t="str">
        <f>"1"</f>
        <v>1</v>
      </c>
      <c r="I812" s="3" t="str">
        <f>"4000"</f>
        <v>4000</v>
      </c>
      <c r="J812" s="4">
        <v>46097</v>
      </c>
      <c r="K812" s="1" t="s">
        <v>1794</v>
      </c>
    </row>
    <row r="813" spans="1:11" x14ac:dyDescent="0.35">
      <c r="A813" s="1" t="s">
        <v>1791</v>
      </c>
      <c r="B813" s="1" t="s">
        <v>1904</v>
      </c>
      <c r="C813" s="1" t="s">
        <v>1912</v>
      </c>
      <c r="D813" s="1" t="str">
        <f>"1385"</f>
        <v>1385</v>
      </c>
      <c r="E813" s="1" t="str">
        <f>"015744707"</f>
        <v>015744707</v>
      </c>
      <c r="F813" s="1" t="s">
        <v>1913</v>
      </c>
      <c r="G813" s="1" t="s">
        <v>15</v>
      </c>
      <c r="H813" s="1" t="str">
        <f>"1"</f>
        <v>1</v>
      </c>
      <c r="I813" s="3" t="str">
        <f>"10000"</f>
        <v>10000</v>
      </c>
      <c r="J813" s="4">
        <v>46100</v>
      </c>
      <c r="K813" s="1" t="s">
        <v>1914</v>
      </c>
    </row>
    <row r="814" spans="1:11" x14ac:dyDescent="0.35">
      <c r="A814" s="1" t="s">
        <v>1791</v>
      </c>
      <c r="B814" s="1" t="s">
        <v>1888</v>
      </c>
      <c r="C814" s="1" t="s">
        <v>1891</v>
      </c>
      <c r="D814" s="1" t="str">
        <f>"5410"</f>
        <v>5410</v>
      </c>
      <c r="E814" s="1" t="str">
        <f>"014518080"</f>
        <v>014518080</v>
      </c>
      <c r="F814" s="1" t="s">
        <v>1892</v>
      </c>
      <c r="G814" s="1" t="s">
        <v>15</v>
      </c>
      <c r="H814" s="1" t="str">
        <f>"2"</f>
        <v>2</v>
      </c>
      <c r="I814" s="3">
        <v>112715.04</v>
      </c>
      <c r="J814" s="4">
        <v>46106</v>
      </c>
      <c r="K814" s="1" t="s">
        <v>1893</v>
      </c>
    </row>
    <row r="815" spans="1:11" x14ac:dyDescent="0.35">
      <c r="A815" s="1" t="s">
        <v>1791</v>
      </c>
      <c r="B815" s="1" t="s">
        <v>1904</v>
      </c>
      <c r="C815" s="1" t="s">
        <v>1907</v>
      </c>
      <c r="D815" s="1" t="str">
        <f>"1240"</f>
        <v>1240</v>
      </c>
      <c r="E815" s="1" t="str">
        <f>"014111265"</f>
        <v>014111265</v>
      </c>
      <c r="F815" s="1" t="s">
        <v>71</v>
      </c>
      <c r="G815" s="1" t="s">
        <v>15</v>
      </c>
      <c r="H815" s="1" t="str">
        <f>"1"</f>
        <v>1</v>
      </c>
      <c r="I815" s="3" t="str">
        <f>"339"</f>
        <v>339</v>
      </c>
      <c r="J815" s="4">
        <v>46106</v>
      </c>
      <c r="K815" s="1" t="s">
        <v>1908</v>
      </c>
    </row>
    <row r="816" spans="1:11" x14ac:dyDescent="0.35">
      <c r="A816" s="1" t="s">
        <v>1791</v>
      </c>
      <c r="B816" s="1" t="s">
        <v>1904</v>
      </c>
      <c r="C816" s="1" t="s">
        <v>1909</v>
      </c>
      <c r="D816" s="1" t="str">
        <f>"1240"</f>
        <v>1240</v>
      </c>
      <c r="E816" s="1" t="str">
        <f>"014111265"</f>
        <v>014111265</v>
      </c>
      <c r="F816" s="1" t="s">
        <v>71</v>
      </c>
      <c r="G816" s="1" t="s">
        <v>15</v>
      </c>
      <c r="H816" s="1" t="str">
        <f>"16"</f>
        <v>16</v>
      </c>
      <c r="I816" s="3" t="str">
        <f>"339"</f>
        <v>339</v>
      </c>
      <c r="J816" s="4">
        <v>46106</v>
      </c>
      <c r="K816" s="1" t="s">
        <v>1908</v>
      </c>
    </row>
    <row r="817" spans="1:11" x14ac:dyDescent="0.35">
      <c r="A817" s="1" t="s">
        <v>1791</v>
      </c>
      <c r="B817" s="1" t="s">
        <v>1821</v>
      </c>
      <c r="C817" s="1" t="s">
        <v>1827</v>
      </c>
      <c r="D817" s="1" t="str">
        <f>"5180"</f>
        <v>5180</v>
      </c>
      <c r="E817" s="1" t="str">
        <f>"009802908"</f>
        <v>009802908</v>
      </c>
      <c r="F817" s="1" t="s">
        <v>1828</v>
      </c>
      <c r="G817" s="1" t="s">
        <v>15</v>
      </c>
      <c r="H817" s="1" t="str">
        <f>"1"</f>
        <v>1</v>
      </c>
      <c r="I817" s="3">
        <v>18763.7</v>
      </c>
      <c r="J817" s="4">
        <v>46112</v>
      </c>
      <c r="K817" s="1" t="s">
        <v>1829</v>
      </c>
    </row>
    <row r="818" spans="1:11" x14ac:dyDescent="0.35">
      <c r="A818" s="1" t="s">
        <v>1791</v>
      </c>
      <c r="B818" s="1" t="s">
        <v>1821</v>
      </c>
      <c r="C818" s="1" t="s">
        <v>1830</v>
      </c>
      <c r="D818" s="1" t="str">
        <f>"5180"</f>
        <v>5180</v>
      </c>
      <c r="E818" s="1" t="str">
        <f>"015544224"</f>
        <v>015544224</v>
      </c>
      <c r="F818" s="1" t="s">
        <v>1831</v>
      </c>
      <c r="G818" s="1" t="s">
        <v>15</v>
      </c>
      <c r="H818" s="1" t="str">
        <f>"6"</f>
        <v>6</v>
      </c>
      <c r="I818" s="3">
        <v>2012.99</v>
      </c>
      <c r="J818" s="4">
        <v>46112</v>
      </c>
      <c r="K818" s="1" t="s">
        <v>1832</v>
      </c>
    </row>
    <row r="819" spans="1:11" x14ac:dyDescent="0.35">
      <c r="A819" s="1" t="s">
        <v>1791</v>
      </c>
      <c r="B819" s="1" t="s">
        <v>1821</v>
      </c>
      <c r="C819" s="1" t="s">
        <v>1833</v>
      </c>
      <c r="D819" s="1" t="str">
        <f>"6115"</f>
        <v>6115</v>
      </c>
      <c r="E819" s="1" t="s">
        <v>157</v>
      </c>
      <c r="F819" s="1" t="s">
        <v>158</v>
      </c>
      <c r="G819" s="1" t="s">
        <v>15</v>
      </c>
      <c r="H819" s="1" t="str">
        <f>"1"</f>
        <v>1</v>
      </c>
      <c r="I819" s="3" t="str">
        <f>"4800"</f>
        <v>4800</v>
      </c>
      <c r="J819" s="4">
        <v>46112</v>
      </c>
      <c r="K819" s="1" t="s">
        <v>1834</v>
      </c>
    </row>
    <row r="820" spans="1:11" x14ac:dyDescent="0.35">
      <c r="A820" s="1" t="s">
        <v>1791</v>
      </c>
      <c r="B820" s="1" t="s">
        <v>1821</v>
      </c>
      <c r="C820" s="1" t="s">
        <v>1840</v>
      </c>
      <c r="D820" s="1" t="str">
        <f>"7240"</f>
        <v>7240</v>
      </c>
      <c r="E820" s="1" t="str">
        <f>"013375269"</f>
        <v>013375269</v>
      </c>
      <c r="F820" s="1" t="s">
        <v>1841</v>
      </c>
      <c r="G820" s="1" t="s">
        <v>15</v>
      </c>
      <c r="H820" s="1" t="str">
        <f>"31"</f>
        <v>31</v>
      </c>
      <c r="I820" s="3">
        <v>44.09</v>
      </c>
      <c r="J820" s="4">
        <v>46112</v>
      </c>
      <c r="K820" s="1" t="s">
        <v>1842</v>
      </c>
    </row>
    <row r="821" spans="1:11" x14ac:dyDescent="0.35">
      <c r="A821" s="1" t="s">
        <v>1970</v>
      </c>
      <c r="B821" s="1" t="s">
        <v>1971</v>
      </c>
      <c r="C821" s="1" t="s">
        <v>1972</v>
      </c>
      <c r="D821" s="1" t="str">
        <f>"4220"</f>
        <v>4220</v>
      </c>
      <c r="E821" s="1" t="str">
        <f>"014450275"</f>
        <v>014450275</v>
      </c>
      <c r="F821" s="1" t="s">
        <v>1973</v>
      </c>
      <c r="G821" s="1" t="s">
        <v>15</v>
      </c>
      <c r="H821" s="1" t="str">
        <f>"2"</f>
        <v>2</v>
      </c>
      <c r="I821" s="3">
        <v>2212.9699999999998</v>
      </c>
      <c r="J821" s="4">
        <v>46049</v>
      </c>
      <c r="K821" s="1" t="s">
        <v>1974</v>
      </c>
    </row>
    <row r="822" spans="1:11" x14ac:dyDescent="0.35">
      <c r="A822" s="1" t="s">
        <v>1975</v>
      </c>
      <c r="B822" s="1" t="s">
        <v>1976</v>
      </c>
      <c r="C822" s="1" t="s">
        <v>1985</v>
      </c>
      <c r="D822" s="1" t="str">
        <f>"8415"</f>
        <v>8415</v>
      </c>
      <c r="E822" s="1" t="str">
        <f>"012281320"</f>
        <v>012281320</v>
      </c>
      <c r="F822" s="1" t="s">
        <v>781</v>
      </c>
      <c r="G822" s="1" t="s">
        <v>15</v>
      </c>
      <c r="H822" s="1" t="str">
        <f>"1"</f>
        <v>1</v>
      </c>
      <c r="I822" s="3">
        <v>155.33000000000001</v>
      </c>
      <c r="J822" s="4">
        <v>46079</v>
      </c>
      <c r="K822" s="1" t="s">
        <v>1986</v>
      </c>
    </row>
    <row r="823" spans="1:11" x14ac:dyDescent="0.35">
      <c r="A823" s="1" t="s">
        <v>1975</v>
      </c>
      <c r="B823" s="1" t="s">
        <v>1976</v>
      </c>
      <c r="C823" s="1" t="s">
        <v>1987</v>
      </c>
      <c r="D823" s="1" t="str">
        <f>"8465"</f>
        <v>8465</v>
      </c>
      <c r="E823" s="1" t="str">
        <f>"016418924"</f>
        <v>016418924</v>
      </c>
      <c r="F823" s="1" t="s">
        <v>368</v>
      </c>
      <c r="G823" s="1" t="s">
        <v>15</v>
      </c>
      <c r="H823" s="1" t="str">
        <f>"3"</f>
        <v>3</v>
      </c>
      <c r="I823" s="3">
        <v>37.9</v>
      </c>
      <c r="J823" s="4">
        <v>46079</v>
      </c>
      <c r="K823" s="1" t="s">
        <v>1988</v>
      </c>
    </row>
    <row r="824" spans="1:11" x14ac:dyDescent="0.35">
      <c r="A824" s="1" t="s">
        <v>1975</v>
      </c>
      <c r="B824" s="1" t="s">
        <v>1976</v>
      </c>
      <c r="C824" s="1" t="s">
        <v>1977</v>
      </c>
      <c r="D824" s="1" t="str">
        <f>"8415"</f>
        <v>8415</v>
      </c>
      <c r="E824" s="1" t="s">
        <v>836</v>
      </c>
      <c r="F824" s="1" t="s">
        <v>837</v>
      </c>
      <c r="G824" s="1" t="s">
        <v>47</v>
      </c>
      <c r="H824" s="1" t="str">
        <f>"3"</f>
        <v>3</v>
      </c>
      <c r="I824" s="3" t="str">
        <f>"50"</f>
        <v>50</v>
      </c>
      <c r="J824" s="4">
        <v>46091</v>
      </c>
      <c r="K824" s="1" t="s">
        <v>1978</v>
      </c>
    </row>
    <row r="825" spans="1:11" x14ac:dyDescent="0.35">
      <c r="A825" s="1" t="s">
        <v>1975</v>
      </c>
      <c r="B825" s="1" t="s">
        <v>1976</v>
      </c>
      <c r="C825" s="1" t="s">
        <v>1979</v>
      </c>
      <c r="D825" s="1" t="str">
        <f>"8415"</f>
        <v>8415</v>
      </c>
      <c r="E825" s="1" t="s">
        <v>836</v>
      </c>
      <c r="F825" s="1" t="s">
        <v>837</v>
      </c>
      <c r="G825" s="1" t="s">
        <v>47</v>
      </c>
      <c r="H825" s="1" t="str">
        <f>"4"</f>
        <v>4</v>
      </c>
      <c r="I825" s="3" t="str">
        <f>"50"</f>
        <v>50</v>
      </c>
      <c r="J825" s="4">
        <v>46091</v>
      </c>
      <c r="K825" s="1" t="s">
        <v>1980</v>
      </c>
    </row>
    <row r="826" spans="1:11" x14ac:dyDescent="0.35">
      <c r="A826" s="1" t="s">
        <v>1975</v>
      </c>
      <c r="B826" s="1" t="s">
        <v>1976</v>
      </c>
      <c r="C826" s="1" t="s">
        <v>1981</v>
      </c>
      <c r="D826" s="1" t="str">
        <f>"8415"</f>
        <v>8415</v>
      </c>
      <c r="E826" s="1" t="s">
        <v>836</v>
      </c>
      <c r="F826" s="1" t="s">
        <v>837</v>
      </c>
      <c r="G826" s="1" t="s">
        <v>47</v>
      </c>
      <c r="H826" s="1" t="str">
        <f>"4"</f>
        <v>4</v>
      </c>
      <c r="I826" s="3" t="str">
        <f>"50"</f>
        <v>50</v>
      </c>
      <c r="J826" s="4">
        <v>46091</v>
      </c>
      <c r="K826" s="1" t="s">
        <v>1980</v>
      </c>
    </row>
    <row r="827" spans="1:11" x14ac:dyDescent="0.35">
      <c r="A827" s="1" t="s">
        <v>1975</v>
      </c>
      <c r="B827" s="1" t="s">
        <v>1976</v>
      </c>
      <c r="C827" s="1" t="s">
        <v>1982</v>
      </c>
      <c r="D827" s="1" t="str">
        <f>"8415"</f>
        <v>8415</v>
      </c>
      <c r="E827" s="1" t="str">
        <f>"015272721"</f>
        <v>015272721</v>
      </c>
      <c r="F827" s="1" t="s">
        <v>1983</v>
      </c>
      <c r="G827" s="1" t="s">
        <v>47</v>
      </c>
      <c r="H827" s="1" t="str">
        <f>"3"</f>
        <v>3</v>
      </c>
      <c r="I827" s="3">
        <v>41.07</v>
      </c>
      <c r="J827" s="4">
        <v>46091</v>
      </c>
      <c r="K827" s="1" t="s">
        <v>1980</v>
      </c>
    </row>
    <row r="828" spans="1:11" x14ac:dyDescent="0.35">
      <c r="A828" s="1" t="s">
        <v>1975</v>
      </c>
      <c r="B828" s="1" t="s">
        <v>1976</v>
      </c>
      <c r="C828" s="1" t="s">
        <v>1984</v>
      </c>
      <c r="D828" s="1" t="str">
        <f>"8415"</f>
        <v>8415</v>
      </c>
      <c r="E828" s="1" t="str">
        <f>"015272757"</f>
        <v>015272757</v>
      </c>
      <c r="F828" s="1" t="s">
        <v>1983</v>
      </c>
      <c r="G828" s="1" t="s">
        <v>47</v>
      </c>
      <c r="H828" s="1" t="str">
        <f>"3"</f>
        <v>3</v>
      </c>
      <c r="I828" s="3">
        <v>41.07</v>
      </c>
      <c r="J828" s="4">
        <v>46091</v>
      </c>
      <c r="K828" s="1" t="s">
        <v>1980</v>
      </c>
    </row>
    <row r="829" spans="1:11" x14ac:dyDescent="0.35">
      <c r="A829" s="1" t="s">
        <v>1989</v>
      </c>
      <c r="B829" s="1" t="s">
        <v>2116</v>
      </c>
      <c r="C829" s="1" t="s">
        <v>2122</v>
      </c>
      <c r="D829" s="1" t="str">
        <f>"4110"</f>
        <v>4110</v>
      </c>
      <c r="E829" s="1" t="s">
        <v>1056</v>
      </c>
      <c r="F829" s="1" t="s">
        <v>1057</v>
      </c>
      <c r="G829" s="1" t="s">
        <v>15</v>
      </c>
      <c r="H829" s="1" t="str">
        <f>"1"</f>
        <v>1</v>
      </c>
      <c r="I829" s="3">
        <v>6090.87</v>
      </c>
      <c r="J829" s="4">
        <v>46027</v>
      </c>
      <c r="K829" s="1" t="s">
        <v>2123</v>
      </c>
    </row>
    <row r="830" spans="1:11" x14ac:dyDescent="0.35">
      <c r="A830" s="1" t="s">
        <v>1989</v>
      </c>
      <c r="B830" s="1" t="s">
        <v>2116</v>
      </c>
      <c r="C830" s="1" t="s">
        <v>2148</v>
      </c>
      <c r="D830" s="1" t="str">
        <f>"7010"</f>
        <v>7010</v>
      </c>
      <c r="E830" s="1" t="str">
        <f>"016313789"</f>
        <v>016313789</v>
      </c>
      <c r="F830" s="1" t="s">
        <v>2149</v>
      </c>
      <c r="G830" s="1" t="s">
        <v>15</v>
      </c>
      <c r="H830" s="1" t="str">
        <f>"4"</f>
        <v>4</v>
      </c>
      <c r="I830" s="3" t="str">
        <f>"2376"</f>
        <v>2376</v>
      </c>
      <c r="J830" s="4">
        <v>46027</v>
      </c>
      <c r="K830" s="1" t="s">
        <v>2150</v>
      </c>
    </row>
    <row r="831" spans="1:11" x14ac:dyDescent="0.35">
      <c r="A831" s="1" t="s">
        <v>1989</v>
      </c>
      <c r="B831" s="1" t="s">
        <v>2116</v>
      </c>
      <c r="C831" s="1" t="s">
        <v>2156</v>
      </c>
      <c r="D831" s="1" t="str">
        <f>"7035"</f>
        <v>7035</v>
      </c>
      <c r="E831" s="1" t="str">
        <f>"015963408"</f>
        <v>015963408</v>
      </c>
      <c r="F831" s="1" t="s">
        <v>2157</v>
      </c>
      <c r="G831" s="1" t="s">
        <v>15</v>
      </c>
      <c r="H831" s="1" t="str">
        <f>"4"</f>
        <v>4</v>
      </c>
      <c r="I831" s="3">
        <v>7082.17</v>
      </c>
      <c r="J831" s="4">
        <v>46027</v>
      </c>
      <c r="K831" s="1" t="s">
        <v>2147</v>
      </c>
    </row>
    <row r="832" spans="1:11" x14ac:dyDescent="0.35">
      <c r="A832" s="1" t="s">
        <v>1989</v>
      </c>
      <c r="B832" s="1" t="s">
        <v>2055</v>
      </c>
      <c r="C832" s="1" t="s">
        <v>2056</v>
      </c>
      <c r="D832" s="1" t="str">
        <f>"1005"</f>
        <v>1005</v>
      </c>
      <c r="E832" s="1" t="s">
        <v>2057</v>
      </c>
      <c r="F832" s="1" t="s">
        <v>2058</v>
      </c>
      <c r="G832" s="1" t="s">
        <v>15</v>
      </c>
      <c r="H832" s="1" t="str">
        <f>"2"</f>
        <v>2</v>
      </c>
      <c r="I832" s="3" t="str">
        <f>"200"</f>
        <v>200</v>
      </c>
      <c r="J832" s="4">
        <v>46028</v>
      </c>
      <c r="K832" s="1" t="s">
        <v>2059</v>
      </c>
    </row>
    <row r="833" spans="1:11" x14ac:dyDescent="0.35">
      <c r="A833" s="1" t="s">
        <v>1989</v>
      </c>
      <c r="B833" s="1" t="s">
        <v>2187</v>
      </c>
      <c r="C833" s="1" t="s">
        <v>2188</v>
      </c>
      <c r="D833" s="1" t="str">
        <f>"6210"</f>
        <v>6210</v>
      </c>
      <c r="E833" s="1" t="s">
        <v>2189</v>
      </c>
      <c r="F833" s="1" t="s">
        <v>2190</v>
      </c>
      <c r="G833" s="1" t="s">
        <v>15</v>
      </c>
      <c r="H833" s="1" t="str">
        <f>"2"</f>
        <v>2</v>
      </c>
      <c r="I833" s="3" t="str">
        <f>"15200"</f>
        <v>15200</v>
      </c>
      <c r="J833" s="4">
        <v>46028</v>
      </c>
      <c r="K833" s="1" t="s">
        <v>2191</v>
      </c>
    </row>
    <row r="834" spans="1:11" x14ac:dyDescent="0.35">
      <c r="A834" s="1" t="s">
        <v>1989</v>
      </c>
      <c r="B834" s="1" t="s">
        <v>2187</v>
      </c>
      <c r="C834" s="1" t="s">
        <v>2192</v>
      </c>
      <c r="D834" s="1" t="str">
        <f>"6210"</f>
        <v>6210</v>
      </c>
      <c r="E834" s="1" t="s">
        <v>2189</v>
      </c>
      <c r="F834" s="1" t="s">
        <v>2190</v>
      </c>
      <c r="G834" s="1" t="s">
        <v>15</v>
      </c>
      <c r="H834" s="1" t="str">
        <f>"2"</f>
        <v>2</v>
      </c>
      <c r="I834" s="3" t="str">
        <f>"15200"</f>
        <v>15200</v>
      </c>
      <c r="J834" s="4">
        <v>46028</v>
      </c>
      <c r="K834" s="1" t="s">
        <v>2191</v>
      </c>
    </row>
    <row r="835" spans="1:11" x14ac:dyDescent="0.35">
      <c r="A835" s="1" t="s">
        <v>1989</v>
      </c>
      <c r="B835" s="1" t="s">
        <v>2116</v>
      </c>
      <c r="C835" s="1" t="s">
        <v>2117</v>
      </c>
      <c r="D835" s="1" t="str">
        <f>"1005"</f>
        <v>1005</v>
      </c>
      <c r="E835" s="1" t="str">
        <f>"009991435"</f>
        <v>009991435</v>
      </c>
      <c r="F835" s="1" t="s">
        <v>2118</v>
      </c>
      <c r="G835" s="1" t="s">
        <v>15</v>
      </c>
      <c r="H835" s="1" t="str">
        <f>"26"</f>
        <v>26</v>
      </c>
      <c r="I835" s="3">
        <v>3.5</v>
      </c>
      <c r="J835" s="4">
        <v>46031</v>
      </c>
      <c r="K835" s="1" t="s">
        <v>2119</v>
      </c>
    </row>
    <row r="836" spans="1:11" x14ac:dyDescent="0.35">
      <c r="A836" s="1" t="s">
        <v>1989</v>
      </c>
      <c r="B836" s="1" t="s">
        <v>2116</v>
      </c>
      <c r="C836" s="1" t="s">
        <v>2120</v>
      </c>
      <c r="D836" s="1" t="str">
        <f>"2330"</f>
        <v>2330</v>
      </c>
      <c r="E836" s="1" t="s">
        <v>104</v>
      </c>
      <c r="F836" s="1" t="s">
        <v>105</v>
      </c>
      <c r="G836" s="1" t="s">
        <v>15</v>
      </c>
      <c r="H836" s="1" t="str">
        <f>"1"</f>
        <v>1</v>
      </c>
      <c r="I836" s="3">
        <v>41374.559999999998</v>
      </c>
      <c r="J836" s="4">
        <v>46031</v>
      </c>
      <c r="K836" s="1" t="s">
        <v>2121</v>
      </c>
    </row>
    <row r="837" spans="1:11" x14ac:dyDescent="0.35">
      <c r="A837" s="1" t="s">
        <v>1989</v>
      </c>
      <c r="B837" s="1" t="s">
        <v>2116</v>
      </c>
      <c r="C837" s="1" t="s">
        <v>2124</v>
      </c>
      <c r="D837" s="1" t="str">
        <f>"4240"</f>
        <v>4240</v>
      </c>
      <c r="E837" s="1" t="s">
        <v>372</v>
      </c>
      <c r="F837" s="1" t="s">
        <v>373</v>
      </c>
      <c r="G837" s="1" t="s">
        <v>15</v>
      </c>
      <c r="H837" s="1" t="str">
        <f>"1"</f>
        <v>1</v>
      </c>
      <c r="I837" s="3" t="str">
        <f>"7770"</f>
        <v>7770</v>
      </c>
      <c r="J837" s="4">
        <v>46031</v>
      </c>
      <c r="K837" s="1" t="s">
        <v>2125</v>
      </c>
    </row>
    <row r="838" spans="1:11" x14ac:dyDescent="0.35">
      <c r="A838" s="1" t="s">
        <v>1989</v>
      </c>
      <c r="B838" s="1" t="s">
        <v>2116</v>
      </c>
      <c r="C838" s="1" t="s">
        <v>2126</v>
      </c>
      <c r="D838" s="1" t="str">
        <f>"4240"</f>
        <v>4240</v>
      </c>
      <c r="E838" s="1" t="s">
        <v>372</v>
      </c>
      <c r="F838" s="1" t="s">
        <v>373</v>
      </c>
      <c r="G838" s="1" t="s">
        <v>15</v>
      </c>
      <c r="H838" s="1" t="str">
        <f>"3"</f>
        <v>3</v>
      </c>
      <c r="I838" s="3" t="str">
        <f>"330"</f>
        <v>330</v>
      </c>
      <c r="J838" s="4">
        <v>46031</v>
      </c>
      <c r="K838" s="1" t="s">
        <v>2127</v>
      </c>
    </row>
    <row r="839" spans="1:11" x14ac:dyDescent="0.35">
      <c r="A839" s="1" t="s">
        <v>1989</v>
      </c>
      <c r="B839" s="1" t="s">
        <v>2116</v>
      </c>
      <c r="C839" s="1" t="s">
        <v>2128</v>
      </c>
      <c r="D839" s="1" t="str">
        <f>"4940"</f>
        <v>4940</v>
      </c>
      <c r="E839" s="1" t="str">
        <f>"014347786"</f>
        <v>014347786</v>
      </c>
      <c r="F839" s="1" t="s">
        <v>2129</v>
      </c>
      <c r="G839" s="1" t="s">
        <v>15</v>
      </c>
      <c r="H839" s="1" t="str">
        <f>"1"</f>
        <v>1</v>
      </c>
      <c r="I839" s="3">
        <v>1725.04</v>
      </c>
      <c r="J839" s="4">
        <v>46031</v>
      </c>
      <c r="K839" s="1" t="s">
        <v>2130</v>
      </c>
    </row>
    <row r="840" spans="1:11" x14ac:dyDescent="0.35">
      <c r="A840" s="1" t="s">
        <v>1989</v>
      </c>
      <c r="B840" s="1" t="s">
        <v>2116</v>
      </c>
      <c r="C840" s="1" t="s">
        <v>2131</v>
      </c>
      <c r="D840" s="1" t="str">
        <f>"5180"</f>
        <v>5180</v>
      </c>
      <c r="E840" s="1" t="str">
        <f>"014609328"</f>
        <v>014609328</v>
      </c>
      <c r="F840" s="1" t="s">
        <v>1929</v>
      </c>
      <c r="G840" s="1" t="s">
        <v>15</v>
      </c>
      <c r="H840" s="1" t="str">
        <f>"1"</f>
        <v>1</v>
      </c>
      <c r="I840" s="3">
        <v>2840.22</v>
      </c>
      <c r="J840" s="4">
        <v>46031</v>
      </c>
      <c r="K840" s="1" t="s">
        <v>2132</v>
      </c>
    </row>
    <row r="841" spans="1:11" x14ac:dyDescent="0.35">
      <c r="A841" s="1" t="s">
        <v>1989</v>
      </c>
      <c r="B841" s="1" t="s">
        <v>2116</v>
      </c>
      <c r="C841" s="1" t="s">
        <v>2133</v>
      </c>
      <c r="D841" s="1" t="str">
        <f>"5180"</f>
        <v>5180</v>
      </c>
      <c r="E841" s="1" t="str">
        <f>"014472199"</f>
        <v>014472199</v>
      </c>
      <c r="F841" s="1" t="s">
        <v>2134</v>
      </c>
      <c r="G841" s="1" t="s">
        <v>15</v>
      </c>
      <c r="H841" s="1" t="str">
        <f>"2"</f>
        <v>2</v>
      </c>
      <c r="I841" s="3">
        <v>8116.1</v>
      </c>
      <c r="J841" s="4">
        <v>46031</v>
      </c>
      <c r="K841" s="1" t="s">
        <v>2135</v>
      </c>
    </row>
    <row r="842" spans="1:11" x14ac:dyDescent="0.35">
      <c r="A842" s="1" t="s">
        <v>1989</v>
      </c>
      <c r="B842" s="1" t="s">
        <v>2116</v>
      </c>
      <c r="C842" s="1" t="s">
        <v>2136</v>
      </c>
      <c r="D842" s="1" t="str">
        <f>"6130"</f>
        <v>6130</v>
      </c>
      <c r="E842" s="1" t="s">
        <v>161</v>
      </c>
      <c r="F842" s="1" t="s">
        <v>162</v>
      </c>
      <c r="G842" s="1" t="s">
        <v>15</v>
      </c>
      <c r="H842" s="1" t="str">
        <f>"1"</f>
        <v>1</v>
      </c>
      <c r="I842" s="3" t="str">
        <f>"300"</f>
        <v>300</v>
      </c>
      <c r="J842" s="4">
        <v>46031</v>
      </c>
      <c r="K842" s="1" t="s">
        <v>2137</v>
      </c>
    </row>
    <row r="843" spans="1:11" x14ac:dyDescent="0.35">
      <c r="A843" s="1" t="s">
        <v>1989</v>
      </c>
      <c r="B843" s="1" t="s">
        <v>2116</v>
      </c>
      <c r="C843" s="1" t="s">
        <v>2138</v>
      </c>
      <c r="D843" s="1" t="str">
        <f>"6150"</f>
        <v>6150</v>
      </c>
      <c r="E843" s="1" t="str">
        <f>"012089753"</f>
        <v>012089753</v>
      </c>
      <c r="F843" s="1" t="s">
        <v>2139</v>
      </c>
      <c r="G843" s="1" t="s">
        <v>15</v>
      </c>
      <c r="H843" s="1" t="str">
        <f>"1"</f>
        <v>1</v>
      </c>
      <c r="I843" s="3" t="str">
        <f>"6258"</f>
        <v>6258</v>
      </c>
      <c r="J843" s="4">
        <v>46031</v>
      </c>
      <c r="K843" s="1" t="s">
        <v>2140</v>
      </c>
    </row>
    <row r="844" spans="1:11" x14ac:dyDescent="0.35">
      <c r="A844" s="1" t="s">
        <v>1989</v>
      </c>
      <c r="B844" s="1" t="s">
        <v>2116</v>
      </c>
      <c r="C844" s="1" t="s">
        <v>2141</v>
      </c>
      <c r="D844" s="1" t="str">
        <f>"6545"</f>
        <v>6545</v>
      </c>
      <c r="E844" s="1" t="str">
        <f>"015300929"</f>
        <v>015300929</v>
      </c>
      <c r="F844" s="1" t="s">
        <v>167</v>
      </c>
      <c r="G844" s="1" t="s">
        <v>168</v>
      </c>
      <c r="H844" s="1" t="str">
        <f>"52"</f>
        <v>52</v>
      </c>
      <c r="I844" s="3">
        <v>48.71</v>
      </c>
      <c r="J844" s="4">
        <v>46031</v>
      </c>
      <c r="K844" s="1" t="s">
        <v>2142</v>
      </c>
    </row>
    <row r="845" spans="1:11" x14ac:dyDescent="0.35">
      <c r="A845" s="1" t="s">
        <v>1989</v>
      </c>
      <c r="B845" s="1" t="s">
        <v>2116</v>
      </c>
      <c r="C845" s="1" t="s">
        <v>2143</v>
      </c>
      <c r="D845" s="1" t="str">
        <f>"6625"</f>
        <v>6625</v>
      </c>
      <c r="E845" s="1" t="str">
        <f>"014943112"</f>
        <v>014943112</v>
      </c>
      <c r="F845" s="1" t="s">
        <v>2144</v>
      </c>
      <c r="G845" s="1" t="s">
        <v>15</v>
      </c>
      <c r="H845" s="1" t="str">
        <f>"4"</f>
        <v>4</v>
      </c>
      <c r="I845" s="3" t="str">
        <f>"1480"</f>
        <v>1480</v>
      </c>
      <c r="J845" s="4">
        <v>46031</v>
      </c>
      <c r="K845" s="1" t="s">
        <v>2145</v>
      </c>
    </row>
    <row r="846" spans="1:11" x14ac:dyDescent="0.35">
      <c r="A846" s="1" t="s">
        <v>1989</v>
      </c>
      <c r="B846" s="1" t="s">
        <v>2116</v>
      </c>
      <c r="C846" s="1" t="s">
        <v>2146</v>
      </c>
      <c r="D846" s="1" t="str">
        <f>"6730"</f>
        <v>6730</v>
      </c>
      <c r="E846" s="1" t="str">
        <f>"014944008"</f>
        <v>014944008</v>
      </c>
      <c r="F846" s="1" t="s">
        <v>1995</v>
      </c>
      <c r="G846" s="1" t="s">
        <v>15</v>
      </c>
      <c r="H846" s="1" t="str">
        <f>"1"</f>
        <v>1</v>
      </c>
      <c r="I846" s="3" t="str">
        <f>"1499"</f>
        <v>1499</v>
      </c>
      <c r="J846" s="4">
        <v>46031</v>
      </c>
      <c r="K846" s="1" t="s">
        <v>2147</v>
      </c>
    </row>
    <row r="847" spans="1:11" x14ac:dyDescent="0.35">
      <c r="A847" s="1" t="s">
        <v>1989</v>
      </c>
      <c r="B847" s="1" t="s">
        <v>2116</v>
      </c>
      <c r="C847" s="1" t="s">
        <v>2151</v>
      </c>
      <c r="D847" s="1" t="str">
        <f>"7035"</f>
        <v>7035</v>
      </c>
      <c r="E847" s="1" t="s">
        <v>2152</v>
      </c>
      <c r="F847" s="1" t="s">
        <v>2153</v>
      </c>
      <c r="G847" s="1" t="s">
        <v>206</v>
      </c>
      <c r="H847" s="1" t="str">
        <f>"1"</f>
        <v>1</v>
      </c>
      <c r="I847" s="3" t="str">
        <f>"100"</f>
        <v>100</v>
      </c>
      <c r="J847" s="4">
        <v>46031</v>
      </c>
      <c r="K847" s="1" t="s">
        <v>2154</v>
      </c>
    </row>
    <row r="848" spans="1:11" x14ac:dyDescent="0.35">
      <c r="A848" s="1" t="s">
        <v>1989</v>
      </c>
      <c r="B848" s="1" t="s">
        <v>2116</v>
      </c>
      <c r="C848" s="1" t="s">
        <v>2155</v>
      </c>
      <c r="D848" s="1" t="str">
        <f>"7035"</f>
        <v>7035</v>
      </c>
      <c r="E848" s="1" t="s">
        <v>1207</v>
      </c>
      <c r="F848" s="1" t="s">
        <v>1208</v>
      </c>
      <c r="G848" s="1" t="s">
        <v>15</v>
      </c>
      <c r="H848" s="1" t="str">
        <f>"3"</f>
        <v>3</v>
      </c>
      <c r="I848" s="3">
        <v>1717.45</v>
      </c>
      <c r="J848" s="4">
        <v>46031</v>
      </c>
      <c r="K848" s="1" t="s">
        <v>2147</v>
      </c>
    </row>
    <row r="849" spans="1:11" x14ac:dyDescent="0.35">
      <c r="A849" s="1" t="s">
        <v>1989</v>
      </c>
      <c r="B849" s="1" t="s">
        <v>2116</v>
      </c>
      <c r="C849" s="1" t="s">
        <v>2158</v>
      </c>
      <c r="D849" s="1" t="str">
        <f>"7240"</f>
        <v>7240</v>
      </c>
      <c r="E849" s="1" t="s">
        <v>2159</v>
      </c>
      <c r="F849" s="1" t="s">
        <v>2160</v>
      </c>
      <c r="G849" s="1" t="s">
        <v>15</v>
      </c>
      <c r="H849" s="1" t="str">
        <f>"12"</f>
        <v>12</v>
      </c>
      <c r="I849" s="3" t="str">
        <f>"5"</f>
        <v>5</v>
      </c>
      <c r="J849" s="4">
        <v>46031</v>
      </c>
      <c r="K849" s="1" t="s">
        <v>2161</v>
      </c>
    </row>
    <row r="850" spans="1:11" x14ac:dyDescent="0.35">
      <c r="A850" s="1" t="s">
        <v>1989</v>
      </c>
      <c r="B850" s="1" t="s">
        <v>2116</v>
      </c>
      <c r="C850" s="1" t="s">
        <v>2162</v>
      </c>
      <c r="D850" s="1" t="str">
        <f>"7510"</f>
        <v>7510</v>
      </c>
      <c r="E850" s="1" t="s">
        <v>2163</v>
      </c>
      <c r="F850" s="1" t="s">
        <v>2164</v>
      </c>
      <c r="G850" s="1" t="s">
        <v>15</v>
      </c>
      <c r="H850" s="1" t="str">
        <f>"12"</f>
        <v>12</v>
      </c>
      <c r="I850" s="3" t="str">
        <f>"10"</f>
        <v>10</v>
      </c>
      <c r="J850" s="4">
        <v>46031</v>
      </c>
      <c r="K850" s="1" t="s">
        <v>2165</v>
      </c>
    </row>
    <row r="851" spans="1:11" x14ac:dyDescent="0.35">
      <c r="A851" s="1" t="s">
        <v>1989</v>
      </c>
      <c r="B851" s="1" t="s">
        <v>2116</v>
      </c>
      <c r="C851" s="1" t="s">
        <v>2166</v>
      </c>
      <c r="D851" s="1" t="str">
        <f>"7830"</f>
        <v>7830</v>
      </c>
      <c r="E851" s="1" t="s">
        <v>2167</v>
      </c>
      <c r="F851" s="1" t="s">
        <v>2168</v>
      </c>
      <c r="G851" s="1" t="s">
        <v>15</v>
      </c>
      <c r="H851" s="1" t="str">
        <f>"1"</f>
        <v>1</v>
      </c>
      <c r="I851" s="3" t="str">
        <f>"1000"</f>
        <v>1000</v>
      </c>
      <c r="J851" s="4">
        <v>46031</v>
      </c>
      <c r="K851" s="1" t="s">
        <v>2169</v>
      </c>
    </row>
    <row r="852" spans="1:11" x14ac:dyDescent="0.35">
      <c r="A852" s="1" t="s">
        <v>1989</v>
      </c>
      <c r="B852" s="1" t="s">
        <v>2116</v>
      </c>
      <c r="C852" s="1" t="s">
        <v>2170</v>
      </c>
      <c r="D852" s="1" t="str">
        <f>"7830"</f>
        <v>7830</v>
      </c>
      <c r="E852" s="1" t="s">
        <v>1869</v>
      </c>
      <c r="F852" s="1" t="s">
        <v>1870</v>
      </c>
      <c r="G852" s="1" t="s">
        <v>15</v>
      </c>
      <c r="H852" s="1" t="str">
        <f>"1"</f>
        <v>1</v>
      </c>
      <c r="I852" s="3" t="str">
        <f>"1000"</f>
        <v>1000</v>
      </c>
      <c r="J852" s="4">
        <v>46031</v>
      </c>
      <c r="K852" s="1" t="s">
        <v>2169</v>
      </c>
    </row>
    <row r="853" spans="1:11" x14ac:dyDescent="0.35">
      <c r="A853" s="1" t="s">
        <v>1989</v>
      </c>
      <c r="B853" s="1" t="s">
        <v>2187</v>
      </c>
      <c r="C853" s="1" t="s">
        <v>2193</v>
      </c>
      <c r="D853" s="1" t="str">
        <f>"8415"</f>
        <v>8415</v>
      </c>
      <c r="E853" s="1" t="str">
        <f>"015488259"</f>
        <v>015488259</v>
      </c>
      <c r="F853" s="1" t="s">
        <v>2194</v>
      </c>
      <c r="G853" s="1" t="s">
        <v>47</v>
      </c>
      <c r="H853" s="1" t="str">
        <f>"11"</f>
        <v>11</v>
      </c>
      <c r="I853" s="3">
        <v>133.63</v>
      </c>
      <c r="J853" s="4">
        <v>46031</v>
      </c>
      <c r="K853" s="1" t="s">
        <v>2195</v>
      </c>
    </row>
    <row r="854" spans="1:11" x14ac:dyDescent="0.35">
      <c r="A854" s="1" t="s">
        <v>1989</v>
      </c>
      <c r="B854" s="1" t="s">
        <v>2071</v>
      </c>
      <c r="C854" s="1" t="s">
        <v>2072</v>
      </c>
      <c r="D854" s="1" t="str">
        <f>"5855"</f>
        <v>5855</v>
      </c>
      <c r="E854" s="1" t="str">
        <f>"015485687"</f>
        <v>015485687</v>
      </c>
      <c r="F854" s="1" t="s">
        <v>798</v>
      </c>
      <c r="G854" s="1" t="s">
        <v>15</v>
      </c>
      <c r="H854" s="1" t="str">
        <f>"10"</f>
        <v>10</v>
      </c>
      <c r="I854" s="3" t="str">
        <f>"10402"</f>
        <v>10402</v>
      </c>
      <c r="J854" s="4">
        <v>46038</v>
      </c>
      <c r="K854" s="1" t="s">
        <v>2073</v>
      </c>
    </row>
    <row r="855" spans="1:11" x14ac:dyDescent="0.35">
      <c r="A855" s="1" t="s">
        <v>1989</v>
      </c>
      <c r="B855" s="1" t="s">
        <v>2077</v>
      </c>
      <c r="C855" s="1" t="s">
        <v>2078</v>
      </c>
      <c r="D855" s="1" t="str">
        <f>"1385"</f>
        <v>1385</v>
      </c>
      <c r="E855" s="1" t="str">
        <f>"015936219"</f>
        <v>015936219</v>
      </c>
      <c r="F855" s="1" t="s">
        <v>2079</v>
      </c>
      <c r="G855" s="1" t="s">
        <v>15</v>
      </c>
      <c r="H855" s="1" t="str">
        <f>"1"</f>
        <v>1</v>
      </c>
      <c r="I855" s="3" t="str">
        <f>"77000"</f>
        <v>77000</v>
      </c>
      <c r="J855" s="4">
        <v>46044</v>
      </c>
      <c r="K855" s="1" t="s">
        <v>2080</v>
      </c>
    </row>
    <row r="856" spans="1:11" x14ac:dyDescent="0.35">
      <c r="A856" s="1" t="s">
        <v>1989</v>
      </c>
      <c r="B856" s="1" t="s">
        <v>2099</v>
      </c>
      <c r="C856" s="1" t="s">
        <v>2100</v>
      </c>
      <c r="D856" s="1" t="str">
        <f>"2330"</f>
        <v>2330</v>
      </c>
      <c r="E856" s="1" t="str">
        <f>"013875443"</f>
        <v>013875443</v>
      </c>
      <c r="F856" s="1" t="s">
        <v>2101</v>
      </c>
      <c r="G856" s="1" t="s">
        <v>15</v>
      </c>
      <c r="H856" s="1" t="str">
        <f>"1"</f>
        <v>1</v>
      </c>
      <c r="I856" s="3" t="str">
        <f>"9535"</f>
        <v>9535</v>
      </c>
      <c r="J856" s="4">
        <v>46064</v>
      </c>
      <c r="K856" s="1" t="s">
        <v>2102</v>
      </c>
    </row>
    <row r="857" spans="1:11" x14ac:dyDescent="0.35">
      <c r="A857" s="1" t="s">
        <v>1989</v>
      </c>
      <c r="B857" s="1" t="s">
        <v>2099</v>
      </c>
      <c r="C857" s="1" t="s">
        <v>2103</v>
      </c>
      <c r="D857" s="1" t="str">
        <f>"4240"</f>
        <v>4240</v>
      </c>
      <c r="E857" s="1" t="str">
        <f>"016306352"</f>
        <v>016306352</v>
      </c>
      <c r="F857" s="1" t="s">
        <v>1404</v>
      </c>
      <c r="G857" s="1" t="s">
        <v>15</v>
      </c>
      <c r="H857" s="1" t="str">
        <f>"3"</f>
        <v>3</v>
      </c>
      <c r="I857" s="3">
        <v>50.54</v>
      </c>
      <c r="J857" s="4">
        <v>46066</v>
      </c>
      <c r="K857" s="1" t="s">
        <v>2104</v>
      </c>
    </row>
    <row r="858" spans="1:11" x14ac:dyDescent="0.35">
      <c r="A858" s="1" t="s">
        <v>1989</v>
      </c>
      <c r="B858" s="1" t="s">
        <v>2099</v>
      </c>
      <c r="C858" s="1" t="s">
        <v>2109</v>
      </c>
      <c r="D858" s="1" t="str">
        <f>"7025"</f>
        <v>7025</v>
      </c>
      <c r="E858" s="1" t="s">
        <v>2110</v>
      </c>
      <c r="F858" s="1" t="s">
        <v>2111</v>
      </c>
      <c r="G858" s="1" t="s">
        <v>15</v>
      </c>
      <c r="H858" s="1" t="str">
        <f>"20"</f>
        <v>20</v>
      </c>
      <c r="I858" s="3" t="str">
        <f>"20"</f>
        <v>20</v>
      </c>
      <c r="J858" s="4">
        <v>46066</v>
      </c>
      <c r="K858" s="1" t="s">
        <v>2112</v>
      </c>
    </row>
    <row r="859" spans="1:11" x14ac:dyDescent="0.35">
      <c r="A859" s="1" t="s">
        <v>1989</v>
      </c>
      <c r="B859" s="1" t="s">
        <v>2099</v>
      </c>
      <c r="C859" s="1" t="s">
        <v>2113</v>
      </c>
      <c r="D859" s="1" t="str">
        <f>"7105"</f>
        <v>7105</v>
      </c>
      <c r="E859" s="1" t="str">
        <f>"000528686"</f>
        <v>000528686</v>
      </c>
      <c r="F859" s="1" t="s">
        <v>2114</v>
      </c>
      <c r="G859" s="1" t="s">
        <v>206</v>
      </c>
      <c r="H859" s="1" t="str">
        <f>"2"</f>
        <v>2</v>
      </c>
      <c r="I859" s="3">
        <v>110.39</v>
      </c>
      <c r="J859" s="4">
        <v>46066</v>
      </c>
      <c r="K859" s="1" t="s">
        <v>2115</v>
      </c>
    </row>
    <row r="860" spans="1:11" x14ac:dyDescent="0.35">
      <c r="A860" s="1" t="s">
        <v>1989</v>
      </c>
      <c r="B860" s="1" t="s">
        <v>2055</v>
      </c>
      <c r="C860" s="1" t="s">
        <v>2066</v>
      </c>
      <c r="D860" s="1" t="str">
        <f>"5855"</f>
        <v>5855</v>
      </c>
      <c r="E860" s="1" t="str">
        <f>"015665301"</f>
        <v>015665301</v>
      </c>
      <c r="F860" s="1" t="s">
        <v>1357</v>
      </c>
      <c r="G860" s="1" t="s">
        <v>15</v>
      </c>
      <c r="H860" s="1" t="str">
        <f>"30"</f>
        <v>30</v>
      </c>
      <c r="I860" s="3">
        <v>445.26</v>
      </c>
      <c r="J860" s="4">
        <v>46072</v>
      </c>
      <c r="K860" s="1" t="s">
        <v>2067</v>
      </c>
    </row>
    <row r="861" spans="1:11" x14ac:dyDescent="0.35">
      <c r="A861" s="1" t="s">
        <v>1989</v>
      </c>
      <c r="B861" s="1" t="s">
        <v>2055</v>
      </c>
      <c r="C861" s="1" t="s">
        <v>2068</v>
      </c>
      <c r="D861" s="1" t="str">
        <f>"5895"</f>
        <v>5895</v>
      </c>
      <c r="E861" s="1" t="str">
        <f>"015188819"</f>
        <v>015188819</v>
      </c>
      <c r="F861" s="1" t="s">
        <v>2069</v>
      </c>
      <c r="G861" s="1" t="s">
        <v>15</v>
      </c>
      <c r="H861" s="1" t="str">
        <f>"2"</f>
        <v>2</v>
      </c>
      <c r="I861" s="3" t="str">
        <f>"598"</f>
        <v>598</v>
      </c>
      <c r="J861" s="4">
        <v>46072</v>
      </c>
      <c r="K861" s="1" t="s">
        <v>2070</v>
      </c>
    </row>
    <row r="862" spans="1:11" x14ac:dyDescent="0.35">
      <c r="A862" s="1" t="s">
        <v>1989</v>
      </c>
      <c r="B862" s="1" t="s">
        <v>2099</v>
      </c>
      <c r="C862" s="1" t="s">
        <v>2105</v>
      </c>
      <c r="D862" s="1" t="str">
        <f>"7025"</f>
        <v>7025</v>
      </c>
      <c r="E862" s="1" t="s">
        <v>2106</v>
      </c>
      <c r="F862" s="1" t="s">
        <v>2107</v>
      </c>
      <c r="G862" s="1" t="s">
        <v>15</v>
      </c>
      <c r="H862" s="1" t="str">
        <f>"1"</f>
        <v>1</v>
      </c>
      <c r="I862" s="3" t="str">
        <f>"400"</f>
        <v>400</v>
      </c>
      <c r="J862" s="4">
        <v>46076</v>
      </c>
      <c r="K862" s="1" t="s">
        <v>2108</v>
      </c>
    </row>
    <row r="863" spans="1:11" x14ac:dyDescent="0.35">
      <c r="A863" s="1" t="s">
        <v>1989</v>
      </c>
      <c r="B863" s="1" t="s">
        <v>2171</v>
      </c>
      <c r="C863" s="1" t="s">
        <v>2181</v>
      </c>
      <c r="D863" s="1" t="str">
        <f>"7125"</f>
        <v>7125</v>
      </c>
      <c r="E863" s="1" t="s">
        <v>2182</v>
      </c>
      <c r="F863" s="1" t="s">
        <v>2183</v>
      </c>
      <c r="G863" s="1" t="s">
        <v>15</v>
      </c>
      <c r="H863" s="1" t="str">
        <f>"2"</f>
        <v>2</v>
      </c>
      <c r="I863" s="3" t="str">
        <f>"300"</f>
        <v>300</v>
      </c>
      <c r="J863" s="4">
        <v>46078</v>
      </c>
      <c r="K863" s="1" t="s">
        <v>2184</v>
      </c>
    </row>
    <row r="864" spans="1:11" x14ac:dyDescent="0.35">
      <c r="A864" s="1" t="s">
        <v>1989</v>
      </c>
      <c r="B864" s="1" t="s">
        <v>2171</v>
      </c>
      <c r="C864" s="1" t="s">
        <v>2185</v>
      </c>
      <c r="D864" s="1" t="str">
        <f>"7125"</f>
        <v>7125</v>
      </c>
      <c r="E864" s="1" t="s">
        <v>2182</v>
      </c>
      <c r="F864" s="1" t="s">
        <v>2183</v>
      </c>
      <c r="G864" s="1" t="s">
        <v>15</v>
      </c>
      <c r="H864" s="1" t="str">
        <f>"1"</f>
        <v>1</v>
      </c>
      <c r="I864" s="3" t="str">
        <f>"300"</f>
        <v>300</v>
      </c>
      <c r="J864" s="4">
        <v>46078</v>
      </c>
      <c r="K864" s="1" t="s">
        <v>2186</v>
      </c>
    </row>
    <row r="865" spans="1:11" x14ac:dyDescent="0.35">
      <c r="A865" s="1" t="s">
        <v>1989</v>
      </c>
      <c r="B865" s="1" t="s">
        <v>2026</v>
      </c>
      <c r="C865" s="1" t="s">
        <v>2041</v>
      </c>
      <c r="D865" s="1" t="str">
        <f>"6760"</f>
        <v>6760</v>
      </c>
      <c r="E865" s="1" t="str">
        <f>"015800482"</f>
        <v>015800482</v>
      </c>
      <c r="F865" s="1" t="s">
        <v>2042</v>
      </c>
      <c r="G865" s="1" t="s">
        <v>15</v>
      </c>
      <c r="H865" s="1" t="str">
        <f>"1"</f>
        <v>1</v>
      </c>
      <c r="I865" s="3">
        <v>2416.13</v>
      </c>
      <c r="J865" s="4">
        <v>46080</v>
      </c>
      <c r="K865" s="1" t="s">
        <v>2043</v>
      </c>
    </row>
    <row r="866" spans="1:11" x14ac:dyDescent="0.35">
      <c r="A866" s="1" t="s">
        <v>1989</v>
      </c>
      <c r="B866" s="1" t="s">
        <v>1990</v>
      </c>
      <c r="C866" s="1" t="s">
        <v>1994</v>
      </c>
      <c r="D866" s="1" t="str">
        <f>"6730"</f>
        <v>6730</v>
      </c>
      <c r="E866" s="1" t="str">
        <f>"015496622"</f>
        <v>015496622</v>
      </c>
      <c r="F866" s="1" t="s">
        <v>1995</v>
      </c>
      <c r="G866" s="1" t="s">
        <v>15</v>
      </c>
      <c r="H866" s="1" t="str">
        <f>"2"</f>
        <v>2</v>
      </c>
      <c r="I866" s="3" t="str">
        <f>"1250"</f>
        <v>1250</v>
      </c>
      <c r="J866" s="4">
        <v>46082</v>
      </c>
      <c r="K866" s="1" t="s">
        <v>1996</v>
      </c>
    </row>
    <row r="867" spans="1:11" x14ac:dyDescent="0.35">
      <c r="A867" s="1" t="s">
        <v>1989</v>
      </c>
      <c r="B867" s="1" t="s">
        <v>1990</v>
      </c>
      <c r="C867" s="1" t="s">
        <v>1997</v>
      </c>
      <c r="D867" s="1" t="str">
        <f>"7110"</f>
        <v>7110</v>
      </c>
      <c r="E867" s="1" t="s">
        <v>1998</v>
      </c>
      <c r="F867" s="1" t="s">
        <v>1999</v>
      </c>
      <c r="G867" s="1" t="s">
        <v>15</v>
      </c>
      <c r="H867" s="1" t="str">
        <f>"2"</f>
        <v>2</v>
      </c>
      <c r="I867" s="3" t="str">
        <f>"365"</f>
        <v>365</v>
      </c>
      <c r="J867" s="4">
        <v>46082</v>
      </c>
      <c r="K867" s="1" t="s">
        <v>2000</v>
      </c>
    </row>
    <row r="868" spans="1:11" x14ac:dyDescent="0.35">
      <c r="A868" s="1" t="s">
        <v>1989</v>
      </c>
      <c r="B868" s="1" t="s">
        <v>1990</v>
      </c>
      <c r="C868" s="1" t="s">
        <v>2001</v>
      </c>
      <c r="D868" s="1" t="str">
        <f>"7810"</f>
        <v>7810</v>
      </c>
      <c r="E868" s="1" t="s">
        <v>174</v>
      </c>
      <c r="F868" s="1" t="s">
        <v>175</v>
      </c>
      <c r="G868" s="1" t="s">
        <v>15</v>
      </c>
      <c r="H868" s="1" t="str">
        <f>"31"</f>
        <v>31</v>
      </c>
      <c r="I868" s="3" t="str">
        <f>"50"</f>
        <v>50</v>
      </c>
      <c r="J868" s="4">
        <v>46082</v>
      </c>
      <c r="K868" s="1" t="s">
        <v>2002</v>
      </c>
    </row>
    <row r="869" spans="1:11" x14ac:dyDescent="0.35">
      <c r="A869" s="1" t="s">
        <v>1989</v>
      </c>
      <c r="B869" s="1" t="s">
        <v>1990</v>
      </c>
      <c r="C869" s="1" t="s">
        <v>2003</v>
      </c>
      <c r="D869" s="1" t="str">
        <f>"7830"</f>
        <v>7830</v>
      </c>
      <c r="E869" s="1" t="s">
        <v>2004</v>
      </c>
      <c r="F869" s="1" t="s">
        <v>2005</v>
      </c>
      <c r="G869" s="1" t="s">
        <v>15</v>
      </c>
      <c r="H869" s="1" t="str">
        <f>"1"</f>
        <v>1</v>
      </c>
      <c r="I869" s="3" t="str">
        <f>"1776"</f>
        <v>1776</v>
      </c>
      <c r="J869" s="4">
        <v>46082</v>
      </c>
      <c r="K869" s="1" t="s">
        <v>2006</v>
      </c>
    </row>
    <row r="870" spans="1:11" x14ac:dyDescent="0.35">
      <c r="A870" s="1" t="s">
        <v>1989</v>
      </c>
      <c r="B870" s="1" t="s">
        <v>1990</v>
      </c>
      <c r="C870" s="1" t="s">
        <v>2007</v>
      </c>
      <c r="D870" s="1" t="str">
        <f>"7830"</f>
        <v>7830</v>
      </c>
      <c r="E870" s="1" t="s">
        <v>2008</v>
      </c>
      <c r="F870" s="1" t="s">
        <v>2009</v>
      </c>
      <c r="G870" s="1" t="s">
        <v>15</v>
      </c>
      <c r="H870" s="1" t="str">
        <f>"1"</f>
        <v>1</v>
      </c>
      <c r="I870" s="3" t="str">
        <f>"2500"</f>
        <v>2500</v>
      </c>
      <c r="J870" s="4">
        <v>46082</v>
      </c>
      <c r="K870" s="1" t="s">
        <v>2006</v>
      </c>
    </row>
    <row r="871" spans="1:11" x14ac:dyDescent="0.35">
      <c r="A871" s="1" t="s">
        <v>1989</v>
      </c>
      <c r="B871" s="1" t="s">
        <v>2010</v>
      </c>
      <c r="C871" s="1" t="s">
        <v>2011</v>
      </c>
      <c r="D871" s="1" t="str">
        <f>"8405"</f>
        <v>8405</v>
      </c>
      <c r="E871" s="1" t="str">
        <f>"015472559"</f>
        <v>015472559</v>
      </c>
      <c r="F871" s="1" t="s">
        <v>893</v>
      </c>
      <c r="G871" s="1" t="s">
        <v>15</v>
      </c>
      <c r="H871" s="1" t="str">
        <f>"22"</f>
        <v>22</v>
      </c>
      <c r="I871" s="3">
        <v>38.4</v>
      </c>
      <c r="J871" s="4">
        <v>46082</v>
      </c>
      <c r="K871" s="1" t="s">
        <v>2012</v>
      </c>
    </row>
    <row r="872" spans="1:11" x14ac:dyDescent="0.35">
      <c r="A872" s="1" t="s">
        <v>1989</v>
      </c>
      <c r="B872" s="1" t="s">
        <v>2010</v>
      </c>
      <c r="C872" s="1" t="s">
        <v>2013</v>
      </c>
      <c r="D872" s="1" t="str">
        <f>"8405"</f>
        <v>8405</v>
      </c>
      <c r="E872" s="1" t="str">
        <f>"015472559"</f>
        <v>015472559</v>
      </c>
      <c r="F872" s="1" t="s">
        <v>893</v>
      </c>
      <c r="G872" s="1" t="s">
        <v>15</v>
      </c>
      <c r="H872" s="1" t="str">
        <f>"10"</f>
        <v>10</v>
      </c>
      <c r="I872" s="3">
        <v>38.4</v>
      </c>
      <c r="J872" s="4">
        <v>46082</v>
      </c>
      <c r="K872" s="1" t="s">
        <v>2012</v>
      </c>
    </row>
    <row r="873" spans="1:11" x14ac:dyDescent="0.35">
      <c r="A873" s="1" t="s">
        <v>1989</v>
      </c>
      <c r="B873" s="1" t="s">
        <v>2010</v>
      </c>
      <c r="C873" s="1" t="s">
        <v>2014</v>
      </c>
      <c r="D873" s="1" t="str">
        <f t="shared" ref="D873:D878" si="37">"8415"</f>
        <v>8415</v>
      </c>
      <c r="E873" s="1" t="str">
        <f>"015801355"</f>
        <v>015801355</v>
      </c>
      <c r="F873" s="1" t="s">
        <v>761</v>
      </c>
      <c r="G873" s="1" t="s">
        <v>15</v>
      </c>
      <c r="H873" s="1" t="str">
        <f>"3"</f>
        <v>3</v>
      </c>
      <c r="I873" s="3">
        <v>80.94</v>
      </c>
      <c r="J873" s="4">
        <v>46082</v>
      </c>
      <c r="K873" s="1" t="s">
        <v>2015</v>
      </c>
    </row>
    <row r="874" spans="1:11" x14ac:dyDescent="0.35">
      <c r="A874" s="1" t="s">
        <v>1989</v>
      </c>
      <c r="B874" s="1" t="s">
        <v>2010</v>
      </c>
      <c r="C874" s="1" t="s">
        <v>2016</v>
      </c>
      <c r="D874" s="1" t="str">
        <f t="shared" si="37"/>
        <v>8415</v>
      </c>
      <c r="E874" s="1" t="str">
        <f>"015801355"</f>
        <v>015801355</v>
      </c>
      <c r="F874" s="1" t="s">
        <v>761</v>
      </c>
      <c r="G874" s="1" t="s">
        <v>15</v>
      </c>
      <c r="H874" s="1" t="str">
        <f>"1"</f>
        <v>1</v>
      </c>
      <c r="I874" s="3">
        <v>80.94</v>
      </c>
      <c r="J874" s="4">
        <v>46082</v>
      </c>
      <c r="K874" s="1" t="s">
        <v>2015</v>
      </c>
    </row>
    <row r="875" spans="1:11" x14ac:dyDescent="0.35">
      <c r="A875" s="1" t="s">
        <v>1989</v>
      </c>
      <c r="B875" s="1" t="s">
        <v>2010</v>
      </c>
      <c r="C875" s="1" t="s">
        <v>2017</v>
      </c>
      <c r="D875" s="1" t="str">
        <f t="shared" si="37"/>
        <v>8415</v>
      </c>
      <c r="E875" s="1" t="str">
        <f>"015801355"</f>
        <v>015801355</v>
      </c>
      <c r="F875" s="1" t="s">
        <v>761</v>
      </c>
      <c r="G875" s="1" t="s">
        <v>15</v>
      </c>
      <c r="H875" s="1" t="str">
        <f>"3"</f>
        <v>3</v>
      </c>
      <c r="I875" s="3">
        <v>80.94</v>
      </c>
      <c r="J875" s="4">
        <v>46082</v>
      </c>
      <c r="K875" s="1" t="str">
        <f>"8415015801355"</f>
        <v>8415015801355</v>
      </c>
    </row>
    <row r="876" spans="1:11" x14ac:dyDescent="0.35">
      <c r="A876" s="1" t="s">
        <v>1989</v>
      </c>
      <c r="B876" s="1" t="s">
        <v>2010</v>
      </c>
      <c r="C876" s="1" t="s">
        <v>2018</v>
      </c>
      <c r="D876" s="1" t="str">
        <f t="shared" si="37"/>
        <v>8415</v>
      </c>
      <c r="E876" s="1" t="str">
        <f>"015801355"</f>
        <v>015801355</v>
      </c>
      <c r="F876" s="1" t="s">
        <v>761</v>
      </c>
      <c r="G876" s="1" t="s">
        <v>15</v>
      </c>
      <c r="H876" s="1" t="str">
        <f>"5"</f>
        <v>5</v>
      </c>
      <c r="I876" s="3">
        <v>80.94</v>
      </c>
      <c r="J876" s="4">
        <v>46082</v>
      </c>
      <c r="K876" s="1" t="s">
        <v>2019</v>
      </c>
    </row>
    <row r="877" spans="1:11" x14ac:dyDescent="0.35">
      <c r="A877" s="1" t="s">
        <v>1989</v>
      </c>
      <c r="B877" s="1" t="s">
        <v>2010</v>
      </c>
      <c r="C877" s="1" t="s">
        <v>2020</v>
      </c>
      <c r="D877" s="1" t="str">
        <f t="shared" si="37"/>
        <v>8415</v>
      </c>
      <c r="E877" s="1" t="str">
        <f>"015801355"</f>
        <v>015801355</v>
      </c>
      <c r="F877" s="1" t="s">
        <v>761</v>
      </c>
      <c r="G877" s="1" t="s">
        <v>15</v>
      </c>
      <c r="H877" s="1" t="str">
        <f>"2"</f>
        <v>2</v>
      </c>
      <c r="I877" s="3">
        <v>80.94</v>
      </c>
      <c r="J877" s="4">
        <v>46082</v>
      </c>
      <c r="K877" s="1" t="s">
        <v>2021</v>
      </c>
    </row>
    <row r="878" spans="1:11" x14ac:dyDescent="0.35">
      <c r="A878" s="1" t="s">
        <v>1989</v>
      </c>
      <c r="B878" s="1" t="s">
        <v>2010</v>
      </c>
      <c r="C878" s="1" t="s">
        <v>2022</v>
      </c>
      <c r="D878" s="1" t="str">
        <f t="shared" si="37"/>
        <v>8415</v>
      </c>
      <c r="E878" s="1" t="str">
        <f>"015801341"</f>
        <v>015801341</v>
      </c>
      <c r="F878" s="1" t="s">
        <v>761</v>
      </c>
      <c r="G878" s="1" t="s">
        <v>15</v>
      </c>
      <c r="H878" s="1" t="str">
        <f>"7"</f>
        <v>7</v>
      </c>
      <c r="I878" s="3">
        <v>80.94</v>
      </c>
      <c r="J878" s="4">
        <v>46082</v>
      </c>
      <c r="K878" s="1" t="s">
        <v>2023</v>
      </c>
    </row>
    <row r="879" spans="1:11" x14ac:dyDescent="0.35">
      <c r="A879" s="1" t="s">
        <v>1989</v>
      </c>
      <c r="B879" s="1" t="s">
        <v>2010</v>
      </c>
      <c r="C879" s="1" t="s">
        <v>2024</v>
      </c>
      <c r="D879" s="1" t="str">
        <f>"8465"</f>
        <v>8465</v>
      </c>
      <c r="E879" s="1" t="str">
        <f>"016419395"</f>
        <v>016419395</v>
      </c>
      <c r="F879" s="1" t="s">
        <v>1957</v>
      </c>
      <c r="G879" s="1" t="s">
        <v>15</v>
      </c>
      <c r="H879" s="1" t="str">
        <f t="shared" ref="H879:H884" si="38">"1"</f>
        <v>1</v>
      </c>
      <c r="I879" s="3">
        <v>21.07</v>
      </c>
      <c r="J879" s="4">
        <v>46082</v>
      </c>
      <c r="K879" s="1" t="s">
        <v>2025</v>
      </c>
    </row>
    <row r="880" spans="1:11" x14ac:dyDescent="0.35">
      <c r="A880" s="1" t="s">
        <v>1989</v>
      </c>
      <c r="B880" s="1" t="s">
        <v>2171</v>
      </c>
      <c r="C880" s="1" t="s">
        <v>2172</v>
      </c>
      <c r="D880" s="1" t="str">
        <f>"3615"</f>
        <v>3615</v>
      </c>
      <c r="E880" s="1" t="s">
        <v>2173</v>
      </c>
      <c r="F880" s="1" t="s">
        <v>2174</v>
      </c>
      <c r="G880" s="1" t="s">
        <v>15</v>
      </c>
      <c r="H880" s="1" t="str">
        <f t="shared" si="38"/>
        <v>1</v>
      </c>
      <c r="I880" s="3" t="str">
        <f>"2499"</f>
        <v>2499</v>
      </c>
      <c r="J880" s="4">
        <v>46082</v>
      </c>
      <c r="K880" s="1" t="s">
        <v>2175</v>
      </c>
    </row>
    <row r="881" spans="1:11" x14ac:dyDescent="0.35">
      <c r="A881" s="1" t="s">
        <v>1989</v>
      </c>
      <c r="B881" s="1" t="s">
        <v>2171</v>
      </c>
      <c r="C881" s="1" t="s">
        <v>2178</v>
      </c>
      <c r="D881" s="1" t="str">
        <f>"7025"</f>
        <v>7025</v>
      </c>
      <c r="E881" s="1" t="str">
        <f>"015621812"</f>
        <v>015621812</v>
      </c>
      <c r="F881" s="1" t="s">
        <v>2179</v>
      </c>
      <c r="G881" s="1" t="s">
        <v>15</v>
      </c>
      <c r="H881" s="1" t="str">
        <f t="shared" si="38"/>
        <v>1</v>
      </c>
      <c r="I881" s="3">
        <v>383.56</v>
      </c>
      <c r="J881" s="4">
        <v>46082</v>
      </c>
      <c r="K881" s="1" t="s">
        <v>2180</v>
      </c>
    </row>
    <row r="882" spans="1:11" x14ac:dyDescent="0.35">
      <c r="A882" s="1" t="s">
        <v>1989</v>
      </c>
      <c r="B882" s="1" t="s">
        <v>2055</v>
      </c>
      <c r="C882" s="1" t="s">
        <v>2060</v>
      </c>
      <c r="D882" s="1" t="str">
        <f>"2320"</f>
        <v>2320</v>
      </c>
      <c r="E882" s="1" t="str">
        <f>"014476343"</f>
        <v>014476343</v>
      </c>
      <c r="F882" s="1" t="s">
        <v>930</v>
      </c>
      <c r="G882" s="1" t="s">
        <v>15</v>
      </c>
      <c r="H882" s="1" t="str">
        <f t="shared" si="38"/>
        <v>1</v>
      </c>
      <c r="I882" s="3" t="str">
        <f>"176428"</f>
        <v>176428</v>
      </c>
      <c r="J882" s="4">
        <v>46086</v>
      </c>
      <c r="K882" s="1" t="s">
        <v>2061</v>
      </c>
    </row>
    <row r="883" spans="1:11" x14ac:dyDescent="0.35">
      <c r="A883" s="1" t="s">
        <v>1989</v>
      </c>
      <c r="B883" s="1" t="s">
        <v>2055</v>
      </c>
      <c r="C883" s="1" t="s">
        <v>2062</v>
      </c>
      <c r="D883" s="1" t="str">
        <f>"2320"</f>
        <v>2320</v>
      </c>
      <c r="E883" s="1" t="str">
        <f>"014476343"</f>
        <v>014476343</v>
      </c>
      <c r="F883" s="1" t="s">
        <v>930</v>
      </c>
      <c r="G883" s="1" t="s">
        <v>15</v>
      </c>
      <c r="H883" s="1" t="str">
        <f t="shared" si="38"/>
        <v>1</v>
      </c>
      <c r="I883" s="3" t="str">
        <f>"176428"</f>
        <v>176428</v>
      </c>
      <c r="J883" s="4">
        <v>46086</v>
      </c>
      <c r="K883" s="1" t="s">
        <v>2061</v>
      </c>
    </row>
    <row r="884" spans="1:11" x14ac:dyDescent="0.35">
      <c r="A884" s="1" t="s">
        <v>1989</v>
      </c>
      <c r="B884" s="1" t="s">
        <v>2055</v>
      </c>
      <c r="C884" s="1" t="s">
        <v>2063</v>
      </c>
      <c r="D884" s="1" t="str">
        <f>"5820"</f>
        <v>5820</v>
      </c>
      <c r="E884" s="1" t="str">
        <f>"016587536"</f>
        <v>016587536</v>
      </c>
      <c r="F884" s="1" t="s">
        <v>2064</v>
      </c>
      <c r="G884" s="1" t="s">
        <v>15</v>
      </c>
      <c r="H884" s="1" t="str">
        <f t="shared" si="38"/>
        <v>1</v>
      </c>
      <c r="I884" s="3" t="str">
        <f>"1300"</f>
        <v>1300</v>
      </c>
      <c r="J884" s="4">
        <v>46086</v>
      </c>
      <c r="K884" s="1" t="s">
        <v>2065</v>
      </c>
    </row>
    <row r="885" spans="1:11" x14ac:dyDescent="0.35">
      <c r="A885" s="1" t="s">
        <v>1989</v>
      </c>
      <c r="B885" s="1" t="s">
        <v>2081</v>
      </c>
      <c r="C885" s="1" t="s">
        <v>2084</v>
      </c>
      <c r="D885" s="1" t="str">
        <f>"5120"</f>
        <v>5120</v>
      </c>
      <c r="E885" s="1" t="s">
        <v>2085</v>
      </c>
      <c r="F885" s="1" t="s">
        <v>2086</v>
      </c>
      <c r="G885" s="1" t="s">
        <v>15</v>
      </c>
      <c r="H885" s="1" t="str">
        <f>"7"</f>
        <v>7</v>
      </c>
      <c r="I885" s="3" t="str">
        <f>"60"</f>
        <v>60</v>
      </c>
      <c r="J885" s="4">
        <v>46092</v>
      </c>
      <c r="K885" s="1" t="s">
        <v>2087</v>
      </c>
    </row>
    <row r="886" spans="1:11" x14ac:dyDescent="0.35">
      <c r="A886" s="1" t="s">
        <v>1989</v>
      </c>
      <c r="B886" s="1" t="s">
        <v>2081</v>
      </c>
      <c r="C886" s="1" t="s">
        <v>2088</v>
      </c>
      <c r="D886" s="1" t="str">
        <f>"7010"</f>
        <v>7010</v>
      </c>
      <c r="E886" s="1" t="s">
        <v>1203</v>
      </c>
      <c r="F886" s="1" t="s">
        <v>1204</v>
      </c>
      <c r="G886" s="1" t="s">
        <v>15</v>
      </c>
      <c r="H886" s="1" t="str">
        <f>"3"</f>
        <v>3</v>
      </c>
      <c r="I886" s="3" t="str">
        <f>"1000"</f>
        <v>1000</v>
      </c>
      <c r="J886" s="4">
        <v>46094</v>
      </c>
      <c r="K886" s="1" t="s">
        <v>2089</v>
      </c>
    </row>
    <row r="887" spans="1:11" x14ac:dyDescent="0.35">
      <c r="A887" s="1" t="s">
        <v>1989</v>
      </c>
      <c r="B887" s="1" t="s">
        <v>2081</v>
      </c>
      <c r="C887" s="1" t="s">
        <v>2090</v>
      </c>
      <c r="D887" s="1" t="str">
        <f>"7125"</f>
        <v>7125</v>
      </c>
      <c r="E887" s="1" t="s">
        <v>2091</v>
      </c>
      <c r="F887" s="1" t="s">
        <v>2092</v>
      </c>
      <c r="G887" s="1" t="s">
        <v>15</v>
      </c>
      <c r="H887" s="1" t="str">
        <f>"5"</f>
        <v>5</v>
      </c>
      <c r="I887" s="3" t="str">
        <f>"200"</f>
        <v>200</v>
      </c>
      <c r="J887" s="4">
        <v>46094</v>
      </c>
      <c r="K887" s="1" t="s">
        <v>2093</v>
      </c>
    </row>
    <row r="888" spans="1:11" x14ac:dyDescent="0.35">
      <c r="A888" s="1" t="s">
        <v>1989</v>
      </c>
      <c r="B888" s="1" t="s">
        <v>2081</v>
      </c>
      <c r="C888" s="1" t="s">
        <v>2094</v>
      </c>
      <c r="D888" s="1" t="str">
        <f>"8415"</f>
        <v>8415</v>
      </c>
      <c r="E888" s="1" t="str">
        <f>"015801355"</f>
        <v>015801355</v>
      </c>
      <c r="F888" s="1" t="s">
        <v>761</v>
      </c>
      <c r="G888" s="1" t="s">
        <v>15</v>
      </c>
      <c r="H888" s="1" t="str">
        <f>"4"</f>
        <v>4</v>
      </c>
      <c r="I888" s="3">
        <v>80.94</v>
      </c>
      <c r="J888" s="4">
        <v>46094</v>
      </c>
      <c r="K888" s="1" t="s">
        <v>2095</v>
      </c>
    </row>
    <row r="889" spans="1:11" x14ac:dyDescent="0.35">
      <c r="A889" s="1" t="s">
        <v>1989</v>
      </c>
      <c r="B889" s="1" t="s">
        <v>2081</v>
      </c>
      <c r="C889" s="1" t="s">
        <v>2096</v>
      </c>
      <c r="D889" s="1" t="str">
        <f>"8415"</f>
        <v>8415</v>
      </c>
      <c r="E889" s="1" t="str">
        <f>"015386300"</f>
        <v>015386300</v>
      </c>
      <c r="F889" s="1" t="s">
        <v>2097</v>
      </c>
      <c r="G889" s="1" t="s">
        <v>15</v>
      </c>
      <c r="H889" s="1" t="str">
        <f>"2"</f>
        <v>2</v>
      </c>
      <c r="I889" s="3">
        <v>137.97999999999999</v>
      </c>
      <c r="J889" s="4">
        <v>46094</v>
      </c>
      <c r="K889" s="1" t="s">
        <v>2098</v>
      </c>
    </row>
    <row r="890" spans="1:11" x14ac:dyDescent="0.35">
      <c r="A890" s="1" t="s">
        <v>1989</v>
      </c>
      <c r="B890" s="1" t="s">
        <v>2026</v>
      </c>
      <c r="C890" s="1" t="s">
        <v>2029</v>
      </c>
      <c r="D890" s="1" t="str">
        <f>"3439"</f>
        <v>3439</v>
      </c>
      <c r="E890" s="1" t="s">
        <v>2030</v>
      </c>
      <c r="F890" s="1" t="s">
        <v>2031</v>
      </c>
      <c r="G890" s="1" t="s">
        <v>15</v>
      </c>
      <c r="H890" s="1" t="str">
        <f>"1"</f>
        <v>1</v>
      </c>
      <c r="I890" s="3" t="str">
        <f>"400"</f>
        <v>400</v>
      </c>
      <c r="J890" s="4">
        <v>46098</v>
      </c>
      <c r="K890" s="1" t="s">
        <v>2032</v>
      </c>
    </row>
    <row r="891" spans="1:11" x14ac:dyDescent="0.35">
      <c r="A891" s="1" t="s">
        <v>1989</v>
      </c>
      <c r="B891" s="1" t="s">
        <v>2026</v>
      </c>
      <c r="C891" s="1" t="s">
        <v>2033</v>
      </c>
      <c r="D891" s="1" t="str">
        <f>"4240"</f>
        <v>4240</v>
      </c>
      <c r="E891" s="1" t="s">
        <v>372</v>
      </c>
      <c r="F891" s="1" t="s">
        <v>373</v>
      </c>
      <c r="G891" s="1" t="s">
        <v>15</v>
      </c>
      <c r="H891" s="1" t="str">
        <f>"1"</f>
        <v>1</v>
      </c>
      <c r="I891" s="3" t="str">
        <f>"90"</f>
        <v>90</v>
      </c>
      <c r="J891" s="4">
        <v>46098</v>
      </c>
      <c r="K891" s="1" t="s">
        <v>2034</v>
      </c>
    </row>
    <row r="892" spans="1:11" x14ac:dyDescent="0.35">
      <c r="A892" s="1" t="s">
        <v>1989</v>
      </c>
      <c r="B892" s="1" t="s">
        <v>2026</v>
      </c>
      <c r="C892" s="1" t="s">
        <v>2046</v>
      </c>
      <c r="D892" s="1" t="str">
        <f>"7035"</f>
        <v>7035</v>
      </c>
      <c r="E892" s="1" t="s">
        <v>2047</v>
      </c>
      <c r="F892" s="1" t="s">
        <v>2048</v>
      </c>
      <c r="G892" s="1" t="s">
        <v>15</v>
      </c>
      <c r="H892" s="1" t="str">
        <f>"1"</f>
        <v>1</v>
      </c>
      <c r="I892" s="3" t="str">
        <f>"950"</f>
        <v>950</v>
      </c>
      <c r="J892" s="4">
        <v>46098</v>
      </c>
      <c r="K892" s="1" t="s">
        <v>2049</v>
      </c>
    </row>
    <row r="893" spans="1:11" x14ac:dyDescent="0.35">
      <c r="A893" s="1" t="s">
        <v>1989</v>
      </c>
      <c r="B893" s="1" t="s">
        <v>2026</v>
      </c>
      <c r="C893" s="1" t="s">
        <v>2027</v>
      </c>
      <c r="D893" s="1" t="str">
        <f>"1550"</f>
        <v>1550</v>
      </c>
      <c r="E893" s="1" t="str">
        <f>"015389256"</f>
        <v>015389256</v>
      </c>
      <c r="F893" s="1" t="s">
        <v>1287</v>
      </c>
      <c r="G893" s="1" t="s">
        <v>15</v>
      </c>
      <c r="H893" s="1" t="str">
        <f>"1"</f>
        <v>1</v>
      </c>
      <c r="I893" s="3" t="str">
        <f>"100000"</f>
        <v>100000</v>
      </c>
      <c r="J893" s="4">
        <v>46102</v>
      </c>
      <c r="K893" s="1" t="s">
        <v>2028</v>
      </c>
    </row>
    <row r="894" spans="1:11" x14ac:dyDescent="0.35">
      <c r="A894" s="1" t="s">
        <v>1989</v>
      </c>
      <c r="B894" s="1" t="s">
        <v>2026</v>
      </c>
      <c r="C894" s="1" t="s">
        <v>2035</v>
      </c>
      <c r="D894" s="1" t="str">
        <f>"6115"</f>
        <v>6115</v>
      </c>
      <c r="E894" s="1" t="s">
        <v>157</v>
      </c>
      <c r="F894" s="1" t="s">
        <v>158</v>
      </c>
      <c r="G894" s="1" t="s">
        <v>15</v>
      </c>
      <c r="H894" s="1" t="str">
        <f>"1"</f>
        <v>1</v>
      </c>
      <c r="I894" s="3" t="str">
        <f>"300"</f>
        <v>300</v>
      </c>
      <c r="J894" s="4">
        <v>46102</v>
      </c>
      <c r="K894" s="1" t="s">
        <v>2036</v>
      </c>
    </row>
    <row r="895" spans="1:11" x14ac:dyDescent="0.35">
      <c r="A895" s="1" t="s">
        <v>1989</v>
      </c>
      <c r="B895" s="1" t="s">
        <v>2026</v>
      </c>
      <c r="C895" s="1" t="s">
        <v>2037</v>
      </c>
      <c r="D895" s="1" t="str">
        <f>"6545"</f>
        <v>6545</v>
      </c>
      <c r="E895" s="1" t="str">
        <f>"015300929"</f>
        <v>015300929</v>
      </c>
      <c r="F895" s="1" t="s">
        <v>167</v>
      </c>
      <c r="G895" s="1" t="s">
        <v>168</v>
      </c>
      <c r="H895" s="1" t="str">
        <f>"4"</f>
        <v>4</v>
      </c>
      <c r="I895" s="3">
        <v>48.71</v>
      </c>
      <c r="J895" s="4">
        <v>46102</v>
      </c>
      <c r="K895" s="1" t="s">
        <v>2038</v>
      </c>
    </row>
    <row r="896" spans="1:11" x14ac:dyDescent="0.35">
      <c r="A896" s="1" t="s">
        <v>1989</v>
      </c>
      <c r="B896" s="1" t="s">
        <v>2026</v>
      </c>
      <c r="C896" s="1" t="s">
        <v>2039</v>
      </c>
      <c r="D896" s="1" t="str">
        <f>"6545"</f>
        <v>6545</v>
      </c>
      <c r="E896" s="1" t="str">
        <f>"015300929"</f>
        <v>015300929</v>
      </c>
      <c r="F896" s="1" t="s">
        <v>167</v>
      </c>
      <c r="G896" s="1" t="s">
        <v>168</v>
      </c>
      <c r="H896" s="1" t="str">
        <f>"2"</f>
        <v>2</v>
      </c>
      <c r="I896" s="3">
        <v>48.71</v>
      </c>
      <c r="J896" s="4">
        <v>46102</v>
      </c>
      <c r="K896" s="1" t="s">
        <v>2038</v>
      </c>
    </row>
    <row r="897" spans="1:11" x14ac:dyDescent="0.35">
      <c r="A897" s="1" t="s">
        <v>1989</v>
      </c>
      <c r="B897" s="1" t="s">
        <v>2026</v>
      </c>
      <c r="C897" s="1" t="s">
        <v>2040</v>
      </c>
      <c r="D897" s="1" t="str">
        <f>"6545"</f>
        <v>6545</v>
      </c>
      <c r="E897" s="1" t="str">
        <f>"015300929"</f>
        <v>015300929</v>
      </c>
      <c r="F897" s="1" t="s">
        <v>167</v>
      </c>
      <c r="G897" s="1" t="s">
        <v>168</v>
      </c>
      <c r="H897" s="1" t="str">
        <f>"2"</f>
        <v>2</v>
      </c>
      <c r="I897" s="3">
        <v>48.71</v>
      </c>
      <c r="J897" s="4">
        <v>46102</v>
      </c>
      <c r="K897" s="1" t="s">
        <v>2038</v>
      </c>
    </row>
    <row r="898" spans="1:11" x14ac:dyDescent="0.35">
      <c r="A898" s="1" t="s">
        <v>1989</v>
      </c>
      <c r="B898" s="1" t="s">
        <v>2026</v>
      </c>
      <c r="C898" s="1" t="s">
        <v>2044</v>
      </c>
      <c r="D898" s="1" t="str">
        <f>"7010"</f>
        <v>7010</v>
      </c>
      <c r="E898" s="1" t="s">
        <v>1203</v>
      </c>
      <c r="F898" s="1" t="s">
        <v>1204</v>
      </c>
      <c r="G898" s="1" t="s">
        <v>15</v>
      </c>
      <c r="H898" s="1" t="str">
        <f>"4"</f>
        <v>4</v>
      </c>
      <c r="I898" s="3" t="str">
        <f>"1000"</f>
        <v>1000</v>
      </c>
      <c r="J898" s="4">
        <v>46102</v>
      </c>
      <c r="K898" s="1" t="s">
        <v>2045</v>
      </c>
    </row>
    <row r="899" spans="1:11" x14ac:dyDescent="0.35">
      <c r="A899" s="1" t="s">
        <v>1989</v>
      </c>
      <c r="B899" s="1" t="s">
        <v>2026</v>
      </c>
      <c r="C899" s="1" t="s">
        <v>2050</v>
      </c>
      <c r="D899" s="1" t="str">
        <f>"8465"</f>
        <v>8465</v>
      </c>
      <c r="E899" s="1" t="str">
        <f>"015832483"</f>
        <v>015832483</v>
      </c>
      <c r="F899" s="1" t="s">
        <v>2051</v>
      </c>
      <c r="G899" s="1" t="s">
        <v>15</v>
      </c>
      <c r="H899" s="1" t="str">
        <f>"42"</f>
        <v>42</v>
      </c>
      <c r="I899" s="3">
        <v>8.1300000000000008</v>
      </c>
      <c r="J899" s="4">
        <v>46102</v>
      </c>
      <c r="K899" s="1" t="s">
        <v>2052</v>
      </c>
    </row>
    <row r="900" spans="1:11" x14ac:dyDescent="0.35">
      <c r="A900" s="1" t="s">
        <v>1989</v>
      </c>
      <c r="B900" s="1" t="s">
        <v>2026</v>
      </c>
      <c r="C900" s="1" t="s">
        <v>2053</v>
      </c>
      <c r="D900" s="1" t="str">
        <f>"8465"</f>
        <v>8465</v>
      </c>
      <c r="E900" s="1" t="str">
        <f>"015832203"</f>
        <v>015832203</v>
      </c>
      <c r="F900" s="1" t="s">
        <v>2054</v>
      </c>
      <c r="G900" s="1" t="s">
        <v>15</v>
      </c>
      <c r="H900" s="1" t="str">
        <f>"80"</f>
        <v>80</v>
      </c>
      <c r="I900" s="3">
        <v>13.43</v>
      </c>
      <c r="J900" s="4">
        <v>46102</v>
      </c>
      <c r="K900" s="1" t="s">
        <v>2052</v>
      </c>
    </row>
    <row r="901" spans="1:11" x14ac:dyDescent="0.35">
      <c r="A901" s="1" t="s">
        <v>1989</v>
      </c>
      <c r="B901" s="1" t="s">
        <v>2074</v>
      </c>
      <c r="C901" s="1" t="s">
        <v>2075</v>
      </c>
      <c r="D901" s="1" t="str">
        <f>"8115"</f>
        <v>8115</v>
      </c>
      <c r="E901" s="1" t="s">
        <v>412</v>
      </c>
      <c r="F901" s="1" t="s">
        <v>413</v>
      </c>
      <c r="G901" s="1" t="s">
        <v>15</v>
      </c>
      <c r="H901" s="1" t="str">
        <f>"1"</f>
        <v>1</v>
      </c>
      <c r="I901" s="3" t="str">
        <f>"200"</f>
        <v>200</v>
      </c>
      <c r="J901" s="4">
        <v>46102</v>
      </c>
      <c r="K901" s="1" t="s">
        <v>2076</v>
      </c>
    </row>
    <row r="902" spans="1:11" x14ac:dyDescent="0.35">
      <c r="A902" s="1" t="s">
        <v>1989</v>
      </c>
      <c r="B902" s="1" t="s">
        <v>2081</v>
      </c>
      <c r="C902" s="1" t="s">
        <v>2082</v>
      </c>
      <c r="D902" s="1" t="str">
        <f>"2320"</f>
        <v>2320</v>
      </c>
      <c r="E902" s="1" t="str">
        <f>"012157631"</f>
        <v>012157631</v>
      </c>
      <c r="F902" s="1" t="s">
        <v>1093</v>
      </c>
      <c r="G902" s="1" t="s">
        <v>15</v>
      </c>
      <c r="H902" s="1" t="str">
        <f>"1"</f>
        <v>1</v>
      </c>
      <c r="I902" s="3" t="str">
        <f>"33082"</f>
        <v>33082</v>
      </c>
      <c r="J902" s="4">
        <v>46102</v>
      </c>
      <c r="K902" s="1" t="s">
        <v>2083</v>
      </c>
    </row>
    <row r="903" spans="1:11" x14ac:dyDescent="0.35">
      <c r="A903" s="1" t="s">
        <v>1989</v>
      </c>
      <c r="B903" s="1" t="s">
        <v>2171</v>
      </c>
      <c r="C903" s="1" t="s">
        <v>2176</v>
      </c>
      <c r="D903" s="1" t="str">
        <f>"5180"</f>
        <v>5180</v>
      </c>
      <c r="E903" s="1" t="str">
        <f>"016282375"</f>
        <v>016282375</v>
      </c>
      <c r="F903" s="1" t="s">
        <v>322</v>
      </c>
      <c r="G903" s="1" t="s">
        <v>168</v>
      </c>
      <c r="H903" s="1" t="str">
        <f>"3"</f>
        <v>3</v>
      </c>
      <c r="I903" s="3" t="str">
        <f>"3655"</f>
        <v>3655</v>
      </c>
      <c r="J903" s="4">
        <v>46102</v>
      </c>
      <c r="K903" s="1" t="s">
        <v>2177</v>
      </c>
    </row>
    <row r="904" spans="1:11" x14ac:dyDescent="0.35">
      <c r="A904" s="1" t="s">
        <v>1989</v>
      </c>
      <c r="B904" s="1" t="s">
        <v>1990</v>
      </c>
      <c r="C904" s="1" t="s">
        <v>1991</v>
      </c>
      <c r="D904" s="1" t="str">
        <f>"6310"</f>
        <v>6310</v>
      </c>
      <c r="E904" s="1" t="s">
        <v>1713</v>
      </c>
      <c r="F904" s="1" t="s">
        <v>1714</v>
      </c>
      <c r="G904" s="1" t="s">
        <v>15</v>
      </c>
      <c r="H904" s="1" t="str">
        <f>"1"</f>
        <v>1</v>
      </c>
      <c r="I904" s="3" t="str">
        <f>"6857"</f>
        <v>6857</v>
      </c>
      <c r="J904" s="4">
        <v>46108</v>
      </c>
      <c r="K904" s="1" t="s">
        <v>1992</v>
      </c>
    </row>
    <row r="905" spans="1:11" x14ac:dyDescent="0.35">
      <c r="A905" s="1" t="s">
        <v>1989</v>
      </c>
      <c r="B905" s="1" t="s">
        <v>1990</v>
      </c>
      <c r="C905" s="1" t="s">
        <v>1993</v>
      </c>
      <c r="D905" s="1" t="str">
        <f>"6310"</f>
        <v>6310</v>
      </c>
      <c r="E905" s="1" t="s">
        <v>1713</v>
      </c>
      <c r="F905" s="1" t="s">
        <v>1714</v>
      </c>
      <c r="G905" s="1" t="s">
        <v>15</v>
      </c>
      <c r="H905" s="1" t="str">
        <f>"1"</f>
        <v>1</v>
      </c>
      <c r="I905" s="3" t="str">
        <f>"8000"</f>
        <v>8000</v>
      </c>
      <c r="J905" s="4">
        <v>46108</v>
      </c>
      <c r="K905" s="1" t="s">
        <v>1992</v>
      </c>
    </row>
    <row r="906" spans="1:11" x14ac:dyDescent="0.35">
      <c r="A906" s="1" t="s">
        <v>2196</v>
      </c>
      <c r="B906" s="1" t="s">
        <v>2197</v>
      </c>
      <c r="C906" s="1" t="s">
        <v>2200</v>
      </c>
      <c r="D906" s="1" t="str">
        <f>"5855"</f>
        <v>5855</v>
      </c>
      <c r="E906" s="1" t="str">
        <f>"014444859"</f>
        <v>014444859</v>
      </c>
      <c r="F906" s="1" t="s">
        <v>952</v>
      </c>
      <c r="G906" s="1" t="s">
        <v>15</v>
      </c>
      <c r="H906" s="1" t="str">
        <f>"1"</f>
        <v>1</v>
      </c>
      <c r="I906" s="3">
        <v>674.62</v>
      </c>
      <c r="J906" s="4">
        <v>46031</v>
      </c>
      <c r="K906" s="1" t="s">
        <v>2201</v>
      </c>
    </row>
    <row r="907" spans="1:11" x14ac:dyDescent="0.35">
      <c r="A907" s="1" t="s">
        <v>2196</v>
      </c>
      <c r="B907" s="1" t="s">
        <v>2262</v>
      </c>
      <c r="C907" s="1" t="s">
        <v>2263</v>
      </c>
      <c r="D907" s="1" t="str">
        <f>"5855"</f>
        <v>5855</v>
      </c>
      <c r="E907" s="1" t="str">
        <f>"015777174"</f>
        <v>015777174</v>
      </c>
      <c r="F907" s="1" t="s">
        <v>952</v>
      </c>
      <c r="G907" s="1" t="s">
        <v>15</v>
      </c>
      <c r="H907" s="1" t="str">
        <f>"3"</f>
        <v>3</v>
      </c>
      <c r="I907" s="3" t="str">
        <f>"1791"</f>
        <v>1791</v>
      </c>
      <c r="J907" s="4">
        <v>46031</v>
      </c>
      <c r="K907" s="1" t="s">
        <v>2264</v>
      </c>
    </row>
    <row r="908" spans="1:11" x14ac:dyDescent="0.35">
      <c r="A908" s="1" t="s">
        <v>2196</v>
      </c>
      <c r="B908" s="1" t="s">
        <v>2265</v>
      </c>
      <c r="C908" s="1" t="s">
        <v>2326</v>
      </c>
      <c r="D908" s="1" t="str">
        <f>"6720"</f>
        <v>6720</v>
      </c>
      <c r="E908" s="1" t="s">
        <v>1199</v>
      </c>
      <c r="F908" s="1" t="s">
        <v>1200</v>
      </c>
      <c r="G908" s="1" t="s">
        <v>15</v>
      </c>
      <c r="H908" s="1" t="str">
        <f>"1"</f>
        <v>1</v>
      </c>
      <c r="I908" s="3" t="str">
        <f>"1700"</f>
        <v>1700</v>
      </c>
      <c r="J908" s="4">
        <v>46034</v>
      </c>
      <c r="K908" s="1" t="s">
        <v>2327</v>
      </c>
    </row>
    <row r="909" spans="1:11" x14ac:dyDescent="0.35">
      <c r="A909" s="1" t="s">
        <v>2196</v>
      </c>
      <c r="B909" s="1" t="s">
        <v>2265</v>
      </c>
      <c r="C909" s="1" t="s">
        <v>2328</v>
      </c>
      <c r="D909" s="1" t="str">
        <f>"6720"</f>
        <v>6720</v>
      </c>
      <c r="E909" s="1" t="s">
        <v>1199</v>
      </c>
      <c r="F909" s="1" t="s">
        <v>1200</v>
      </c>
      <c r="G909" s="1" t="s">
        <v>15</v>
      </c>
      <c r="H909" s="1" t="str">
        <f>"1"</f>
        <v>1</v>
      </c>
      <c r="I909" s="3">
        <v>1884.99</v>
      </c>
      <c r="J909" s="4">
        <v>46034</v>
      </c>
      <c r="K909" s="1" t="s">
        <v>2327</v>
      </c>
    </row>
    <row r="910" spans="1:11" x14ac:dyDescent="0.35">
      <c r="A910" s="1" t="s">
        <v>2196</v>
      </c>
      <c r="B910" s="1" t="s">
        <v>2265</v>
      </c>
      <c r="C910" s="1" t="s">
        <v>2329</v>
      </c>
      <c r="D910" s="1" t="str">
        <f>"6720"</f>
        <v>6720</v>
      </c>
      <c r="E910" s="1" t="s">
        <v>1199</v>
      </c>
      <c r="F910" s="1" t="s">
        <v>1200</v>
      </c>
      <c r="G910" s="1" t="s">
        <v>15</v>
      </c>
      <c r="H910" s="1" t="str">
        <f>"1"</f>
        <v>1</v>
      </c>
      <c r="I910" s="3" t="str">
        <f>"400"</f>
        <v>400</v>
      </c>
      <c r="J910" s="4">
        <v>46034</v>
      </c>
      <c r="K910" s="1" t="s">
        <v>2327</v>
      </c>
    </row>
    <row r="911" spans="1:11" x14ac:dyDescent="0.35">
      <c r="A911" s="1" t="s">
        <v>2196</v>
      </c>
      <c r="B911" s="1" t="s">
        <v>2265</v>
      </c>
      <c r="C911" s="1" t="s">
        <v>2337</v>
      </c>
      <c r="D911" s="1" t="str">
        <f>"6760"</f>
        <v>6760</v>
      </c>
      <c r="E911" s="1" t="s">
        <v>1735</v>
      </c>
      <c r="F911" s="1" t="s">
        <v>1736</v>
      </c>
      <c r="G911" s="1" t="s">
        <v>15</v>
      </c>
      <c r="H911" s="1" t="str">
        <f>"2"</f>
        <v>2</v>
      </c>
      <c r="I911" s="3">
        <v>1415.4</v>
      </c>
      <c r="J911" s="4">
        <v>46034</v>
      </c>
      <c r="K911" s="1" t="s">
        <v>2327</v>
      </c>
    </row>
    <row r="912" spans="1:11" x14ac:dyDescent="0.35">
      <c r="A912" s="1" t="s">
        <v>2196</v>
      </c>
      <c r="B912" s="1" t="s">
        <v>2265</v>
      </c>
      <c r="C912" s="1" t="s">
        <v>2339</v>
      </c>
      <c r="D912" s="1" t="str">
        <f>"6760"</f>
        <v>6760</v>
      </c>
      <c r="E912" s="1" t="s">
        <v>1735</v>
      </c>
      <c r="F912" s="1" t="s">
        <v>1736</v>
      </c>
      <c r="G912" s="1" t="s">
        <v>15</v>
      </c>
      <c r="H912" s="1" t="str">
        <f>"3"</f>
        <v>3</v>
      </c>
      <c r="I912" s="3" t="str">
        <f>"1625"</f>
        <v>1625</v>
      </c>
      <c r="J912" s="4">
        <v>46034</v>
      </c>
      <c r="K912" s="1" t="s">
        <v>2327</v>
      </c>
    </row>
    <row r="913" spans="1:11" x14ac:dyDescent="0.35">
      <c r="A913" s="1" t="s">
        <v>2196</v>
      </c>
      <c r="B913" s="1" t="s">
        <v>2265</v>
      </c>
      <c r="C913" s="1" t="s">
        <v>2340</v>
      </c>
      <c r="D913" s="1" t="str">
        <f>"6760"</f>
        <v>6760</v>
      </c>
      <c r="E913" s="1" t="s">
        <v>1735</v>
      </c>
      <c r="F913" s="1" t="s">
        <v>1736</v>
      </c>
      <c r="G913" s="1" t="s">
        <v>15</v>
      </c>
      <c r="H913" s="1" t="str">
        <f>"1"</f>
        <v>1</v>
      </c>
      <c r="I913" s="3" t="str">
        <f>"160"</f>
        <v>160</v>
      </c>
      <c r="J913" s="4">
        <v>46034</v>
      </c>
      <c r="K913" s="1" t="s">
        <v>2327</v>
      </c>
    </row>
    <row r="914" spans="1:11" x14ac:dyDescent="0.35">
      <c r="A914" s="1" t="s">
        <v>2196</v>
      </c>
      <c r="B914" s="1" t="s">
        <v>2265</v>
      </c>
      <c r="C914" s="1" t="s">
        <v>2341</v>
      </c>
      <c r="D914" s="1" t="str">
        <f>"6760"</f>
        <v>6760</v>
      </c>
      <c r="E914" s="1" t="s">
        <v>1735</v>
      </c>
      <c r="F914" s="1" t="s">
        <v>1736</v>
      </c>
      <c r="G914" s="1" t="s">
        <v>15</v>
      </c>
      <c r="H914" s="1" t="str">
        <f>"4"</f>
        <v>4</v>
      </c>
      <c r="I914" s="3" t="str">
        <f>"100"</f>
        <v>100</v>
      </c>
      <c r="J914" s="4">
        <v>46034</v>
      </c>
      <c r="K914" s="1" t="s">
        <v>2327</v>
      </c>
    </row>
    <row r="915" spans="1:11" x14ac:dyDescent="0.35">
      <c r="A915" s="1" t="s">
        <v>2196</v>
      </c>
      <c r="B915" s="1" t="s">
        <v>2265</v>
      </c>
      <c r="C915" s="1" t="s">
        <v>2342</v>
      </c>
      <c r="D915" s="1" t="str">
        <f>"6760"</f>
        <v>6760</v>
      </c>
      <c r="E915" s="1" t="s">
        <v>2332</v>
      </c>
      <c r="F915" s="1" t="s">
        <v>2333</v>
      </c>
      <c r="G915" s="1" t="s">
        <v>15</v>
      </c>
      <c r="H915" s="1" t="str">
        <f>"1"</f>
        <v>1</v>
      </c>
      <c r="I915" s="3" t="str">
        <f>"50"</f>
        <v>50</v>
      </c>
      <c r="J915" s="4">
        <v>46034</v>
      </c>
      <c r="K915" s="1" t="s">
        <v>2327</v>
      </c>
    </row>
    <row r="916" spans="1:11" x14ac:dyDescent="0.35">
      <c r="A916" s="1" t="s">
        <v>2196</v>
      </c>
      <c r="B916" s="1" t="s">
        <v>2197</v>
      </c>
      <c r="C916" s="1" t="s">
        <v>2198</v>
      </c>
      <c r="D916" s="1" t="str">
        <f>"2360"</f>
        <v>2360</v>
      </c>
      <c r="E916" s="1" t="str">
        <f>"016631022"</f>
        <v>016631022</v>
      </c>
      <c r="F916" s="1" t="s">
        <v>1275</v>
      </c>
      <c r="G916" s="1" t="s">
        <v>15</v>
      </c>
      <c r="H916" s="1" t="str">
        <f>"1"</f>
        <v>1</v>
      </c>
      <c r="I916" s="3">
        <v>53375.13</v>
      </c>
      <c r="J916" s="4">
        <v>46044</v>
      </c>
      <c r="K916" s="1" t="s">
        <v>2199</v>
      </c>
    </row>
    <row r="917" spans="1:11" x14ac:dyDescent="0.35">
      <c r="A917" s="1" t="s">
        <v>2196</v>
      </c>
      <c r="B917" s="1" t="s">
        <v>2211</v>
      </c>
      <c r="C917" s="1" t="s">
        <v>2220</v>
      </c>
      <c r="D917" s="1" t="str">
        <f>"2510"</f>
        <v>2510</v>
      </c>
      <c r="E917" s="1" t="str">
        <f>"013306174"</f>
        <v>013306174</v>
      </c>
      <c r="F917" s="1" t="s">
        <v>1136</v>
      </c>
      <c r="G917" s="1" t="s">
        <v>15</v>
      </c>
      <c r="H917" s="1" t="str">
        <f>"1"</f>
        <v>1</v>
      </c>
      <c r="I917" s="3">
        <v>183.08</v>
      </c>
      <c r="J917" s="4">
        <v>46044</v>
      </c>
      <c r="K917" s="1" t="s">
        <v>2221</v>
      </c>
    </row>
    <row r="918" spans="1:11" x14ac:dyDescent="0.35">
      <c r="A918" s="1" t="s">
        <v>2196</v>
      </c>
      <c r="B918" s="1" t="s">
        <v>2211</v>
      </c>
      <c r="C918" s="1" t="s">
        <v>2222</v>
      </c>
      <c r="D918" s="1" t="str">
        <f>"2530"</f>
        <v>2530</v>
      </c>
      <c r="E918" s="1" t="str">
        <f>"015188175"</f>
        <v>015188175</v>
      </c>
      <c r="F918" s="1" t="s">
        <v>2223</v>
      </c>
      <c r="G918" s="1" t="s">
        <v>168</v>
      </c>
      <c r="H918" s="1" t="str">
        <f>"1"</f>
        <v>1</v>
      </c>
      <c r="I918" s="3">
        <v>284.89</v>
      </c>
      <c r="J918" s="4">
        <v>46044</v>
      </c>
      <c r="K918" s="1" t="s">
        <v>2224</v>
      </c>
    </row>
    <row r="919" spans="1:11" x14ac:dyDescent="0.35">
      <c r="A919" s="1" t="s">
        <v>2196</v>
      </c>
      <c r="B919" s="1" t="s">
        <v>2211</v>
      </c>
      <c r="C919" s="1" t="s">
        <v>2225</v>
      </c>
      <c r="D919" s="1" t="str">
        <f>"2530"</f>
        <v>2530</v>
      </c>
      <c r="E919" s="1" t="str">
        <f>"014207904"</f>
        <v>014207904</v>
      </c>
      <c r="F919" s="1" t="s">
        <v>2226</v>
      </c>
      <c r="G919" s="1" t="s">
        <v>15</v>
      </c>
      <c r="H919" s="1" t="str">
        <f>"4"</f>
        <v>4</v>
      </c>
      <c r="I919" s="3">
        <v>94.17</v>
      </c>
      <c r="J919" s="4">
        <v>46044</v>
      </c>
      <c r="K919" s="1" t="s">
        <v>2227</v>
      </c>
    </row>
    <row r="920" spans="1:11" x14ac:dyDescent="0.35">
      <c r="A920" s="1" t="s">
        <v>2196</v>
      </c>
      <c r="B920" s="1" t="s">
        <v>2211</v>
      </c>
      <c r="C920" s="1" t="s">
        <v>2228</v>
      </c>
      <c r="D920" s="1" t="str">
        <f>"2540"</f>
        <v>2540</v>
      </c>
      <c r="E920" s="1" t="str">
        <f>"013874036"</f>
        <v>013874036</v>
      </c>
      <c r="F920" s="1" t="s">
        <v>2229</v>
      </c>
      <c r="G920" s="1" t="s">
        <v>15</v>
      </c>
      <c r="H920" s="1" t="str">
        <f>"3"</f>
        <v>3</v>
      </c>
      <c r="I920" s="3" t="str">
        <f>"262"</f>
        <v>262</v>
      </c>
      <c r="J920" s="4">
        <v>46044</v>
      </c>
      <c r="K920" s="1" t="s">
        <v>2230</v>
      </c>
    </row>
    <row r="921" spans="1:11" x14ac:dyDescent="0.35">
      <c r="A921" s="1" t="s">
        <v>2196</v>
      </c>
      <c r="B921" s="1" t="s">
        <v>2211</v>
      </c>
      <c r="C921" s="1" t="s">
        <v>2231</v>
      </c>
      <c r="D921" s="1" t="str">
        <f>"2540"</f>
        <v>2540</v>
      </c>
      <c r="E921" s="1" t="str">
        <f>"010915450"</f>
        <v>010915450</v>
      </c>
      <c r="F921" s="1" t="s">
        <v>2232</v>
      </c>
      <c r="G921" s="1" t="s">
        <v>15</v>
      </c>
      <c r="H921" s="1" t="str">
        <f>"2"</f>
        <v>2</v>
      </c>
      <c r="I921" s="3">
        <v>22.46</v>
      </c>
      <c r="J921" s="4">
        <v>46044</v>
      </c>
      <c r="K921" s="1" t="s">
        <v>2233</v>
      </c>
    </row>
    <row r="922" spans="1:11" x14ac:dyDescent="0.35">
      <c r="A922" s="1" t="s">
        <v>2196</v>
      </c>
      <c r="B922" s="1" t="s">
        <v>2211</v>
      </c>
      <c r="C922" s="1" t="s">
        <v>2234</v>
      </c>
      <c r="D922" s="1" t="str">
        <f>"2540"</f>
        <v>2540</v>
      </c>
      <c r="E922" s="1" t="str">
        <f>"013877147"</f>
        <v>013877147</v>
      </c>
      <c r="F922" s="1" t="s">
        <v>2235</v>
      </c>
      <c r="G922" s="1" t="s">
        <v>15</v>
      </c>
      <c r="H922" s="1" t="str">
        <f>"9"</f>
        <v>9</v>
      </c>
      <c r="I922" s="3">
        <v>15.14</v>
      </c>
      <c r="J922" s="4">
        <v>46044</v>
      </c>
      <c r="K922" s="1" t="s">
        <v>2236</v>
      </c>
    </row>
    <row r="923" spans="1:11" x14ac:dyDescent="0.35">
      <c r="A923" s="1" t="s">
        <v>2196</v>
      </c>
      <c r="B923" s="1" t="s">
        <v>2211</v>
      </c>
      <c r="C923" s="1" t="s">
        <v>2237</v>
      </c>
      <c r="D923" s="1" t="str">
        <f>"2540"</f>
        <v>2540</v>
      </c>
      <c r="E923" s="1" t="str">
        <f>"015702987"</f>
        <v>015702987</v>
      </c>
      <c r="F923" s="1" t="s">
        <v>2238</v>
      </c>
      <c r="G923" s="1" t="s">
        <v>15</v>
      </c>
      <c r="H923" s="1" t="str">
        <f>"1"</f>
        <v>1</v>
      </c>
      <c r="I923" s="3">
        <v>40.85</v>
      </c>
      <c r="J923" s="4">
        <v>46044</v>
      </c>
      <c r="K923" s="1" t="s">
        <v>2239</v>
      </c>
    </row>
    <row r="924" spans="1:11" x14ac:dyDescent="0.35">
      <c r="A924" s="1" t="s">
        <v>2196</v>
      </c>
      <c r="B924" s="1" t="s">
        <v>2211</v>
      </c>
      <c r="C924" s="1" t="s">
        <v>2240</v>
      </c>
      <c r="D924" s="1" t="str">
        <f>"2540"</f>
        <v>2540</v>
      </c>
      <c r="E924" s="1" t="str">
        <f>"014505477"</f>
        <v>014505477</v>
      </c>
      <c r="F924" s="1" t="s">
        <v>2241</v>
      </c>
      <c r="G924" s="1" t="s">
        <v>15</v>
      </c>
      <c r="H924" s="1" t="str">
        <f>"1"</f>
        <v>1</v>
      </c>
      <c r="I924" s="3">
        <v>386.77</v>
      </c>
      <c r="J924" s="4">
        <v>46044</v>
      </c>
      <c r="K924" s="1" t="s">
        <v>2242</v>
      </c>
    </row>
    <row r="925" spans="1:11" x14ac:dyDescent="0.35">
      <c r="A925" s="1" t="s">
        <v>2196</v>
      </c>
      <c r="B925" s="1" t="s">
        <v>2211</v>
      </c>
      <c r="C925" s="1" t="s">
        <v>2243</v>
      </c>
      <c r="D925" s="1" t="str">
        <f>"4240"</f>
        <v>4240</v>
      </c>
      <c r="E925" s="1" t="str">
        <f>"011826406"</f>
        <v>011826406</v>
      </c>
      <c r="F925" s="1" t="s">
        <v>2244</v>
      </c>
      <c r="G925" s="1" t="s">
        <v>15</v>
      </c>
      <c r="H925" s="1" t="str">
        <f>"11"</f>
        <v>11</v>
      </c>
      <c r="I925" s="3">
        <v>34.49</v>
      </c>
      <c r="J925" s="4">
        <v>46044</v>
      </c>
      <c r="K925" s="1" t="s">
        <v>2245</v>
      </c>
    </row>
    <row r="926" spans="1:11" x14ac:dyDescent="0.35">
      <c r="A926" s="1" t="s">
        <v>2196</v>
      </c>
      <c r="B926" s="1" t="s">
        <v>2211</v>
      </c>
      <c r="C926" s="1" t="s">
        <v>2246</v>
      </c>
      <c r="D926" s="1" t="str">
        <f>"5930"</f>
        <v>5930</v>
      </c>
      <c r="E926" s="1" t="str">
        <f>"016189861"</f>
        <v>016189861</v>
      </c>
      <c r="F926" s="1" t="s">
        <v>2247</v>
      </c>
      <c r="G926" s="1" t="s">
        <v>15</v>
      </c>
      <c r="H926" s="1" t="str">
        <f>"4"</f>
        <v>4</v>
      </c>
      <c r="I926" s="3">
        <v>33.590000000000003</v>
      </c>
      <c r="J926" s="4">
        <v>46044</v>
      </c>
      <c r="K926" s="1" t="s">
        <v>2248</v>
      </c>
    </row>
    <row r="927" spans="1:11" x14ac:dyDescent="0.35">
      <c r="A927" s="1" t="s">
        <v>2196</v>
      </c>
      <c r="B927" s="1" t="s">
        <v>2197</v>
      </c>
      <c r="C927" s="1" t="s">
        <v>2203</v>
      </c>
      <c r="D927" s="1" t="str">
        <f>"5855"</f>
        <v>5855</v>
      </c>
      <c r="E927" s="1" t="str">
        <f>"015777174"</f>
        <v>015777174</v>
      </c>
      <c r="F927" s="1" t="s">
        <v>952</v>
      </c>
      <c r="G927" s="1" t="s">
        <v>15</v>
      </c>
      <c r="H927" s="1" t="str">
        <f>"13"</f>
        <v>13</v>
      </c>
      <c r="I927" s="3" t="str">
        <f>"1791"</f>
        <v>1791</v>
      </c>
      <c r="J927" s="4">
        <v>46049</v>
      </c>
      <c r="K927" s="1" t="s">
        <v>2204</v>
      </c>
    </row>
    <row r="928" spans="1:11" x14ac:dyDescent="0.35">
      <c r="A928" s="1" t="s">
        <v>2196</v>
      </c>
      <c r="B928" s="1" t="s">
        <v>2265</v>
      </c>
      <c r="C928" s="1" t="s">
        <v>2280</v>
      </c>
      <c r="D928" s="1" t="str">
        <f>"3830"</f>
        <v>3830</v>
      </c>
      <c r="E928" s="1" t="s">
        <v>1544</v>
      </c>
      <c r="F928" s="1" t="s">
        <v>1545</v>
      </c>
      <c r="G928" s="1" t="s">
        <v>15</v>
      </c>
      <c r="H928" s="1" t="str">
        <f>"1"</f>
        <v>1</v>
      </c>
      <c r="I928" s="3" t="str">
        <f>"2000"</f>
        <v>2000</v>
      </c>
      <c r="J928" s="4">
        <v>46058</v>
      </c>
      <c r="K928" s="1" t="s">
        <v>2281</v>
      </c>
    </row>
    <row r="929" spans="1:11" x14ac:dyDescent="0.35">
      <c r="A929" s="1" t="s">
        <v>2196</v>
      </c>
      <c r="B929" s="1" t="s">
        <v>2265</v>
      </c>
      <c r="C929" s="1" t="s">
        <v>2330</v>
      </c>
      <c r="D929" s="1" t="str">
        <f t="shared" ref="D929:D934" si="39">"6760"</f>
        <v>6760</v>
      </c>
      <c r="E929" s="1" t="s">
        <v>1735</v>
      </c>
      <c r="F929" s="1" t="s">
        <v>1736</v>
      </c>
      <c r="G929" s="1" t="s">
        <v>15</v>
      </c>
      <c r="H929" s="1" t="str">
        <f>"1"</f>
        <v>1</v>
      </c>
      <c r="I929" s="3">
        <v>977.47</v>
      </c>
      <c r="J929" s="4">
        <v>46059</v>
      </c>
      <c r="K929" s="1" t="s">
        <v>2327</v>
      </c>
    </row>
    <row r="930" spans="1:11" x14ac:dyDescent="0.35">
      <c r="A930" s="1" t="s">
        <v>2196</v>
      </c>
      <c r="B930" s="1" t="s">
        <v>2265</v>
      </c>
      <c r="C930" s="1" t="s">
        <v>2331</v>
      </c>
      <c r="D930" s="1" t="str">
        <f t="shared" si="39"/>
        <v>6760</v>
      </c>
      <c r="E930" s="1" t="s">
        <v>2332</v>
      </c>
      <c r="F930" s="1" t="s">
        <v>2333</v>
      </c>
      <c r="G930" s="1" t="s">
        <v>15</v>
      </c>
      <c r="H930" s="1" t="str">
        <f>"4"</f>
        <v>4</v>
      </c>
      <c r="I930" s="3">
        <v>260.64</v>
      </c>
      <c r="J930" s="4">
        <v>46059</v>
      </c>
      <c r="K930" s="1" t="s">
        <v>2327</v>
      </c>
    </row>
    <row r="931" spans="1:11" x14ac:dyDescent="0.35">
      <c r="A931" s="1" t="s">
        <v>2196</v>
      </c>
      <c r="B931" s="1" t="s">
        <v>2265</v>
      </c>
      <c r="C931" s="1" t="s">
        <v>2334</v>
      </c>
      <c r="D931" s="1" t="str">
        <f t="shared" si="39"/>
        <v>6760</v>
      </c>
      <c r="E931" s="1" t="s">
        <v>2332</v>
      </c>
      <c r="F931" s="1" t="s">
        <v>2333</v>
      </c>
      <c r="G931" s="1" t="s">
        <v>15</v>
      </c>
      <c r="H931" s="1" t="str">
        <f>"1"</f>
        <v>1</v>
      </c>
      <c r="I931" s="3" t="str">
        <f>"100"</f>
        <v>100</v>
      </c>
      <c r="J931" s="4">
        <v>46059</v>
      </c>
      <c r="K931" s="1" t="s">
        <v>2327</v>
      </c>
    </row>
    <row r="932" spans="1:11" x14ac:dyDescent="0.35">
      <c r="A932" s="1" t="s">
        <v>2196</v>
      </c>
      <c r="B932" s="1" t="s">
        <v>2265</v>
      </c>
      <c r="C932" s="1" t="s">
        <v>2335</v>
      </c>
      <c r="D932" s="1" t="str">
        <f t="shared" si="39"/>
        <v>6760</v>
      </c>
      <c r="E932" s="1" t="s">
        <v>2332</v>
      </c>
      <c r="F932" s="1" t="s">
        <v>2333</v>
      </c>
      <c r="G932" s="1" t="s">
        <v>15</v>
      </c>
      <c r="H932" s="1" t="str">
        <f>"1"</f>
        <v>1</v>
      </c>
      <c r="I932" s="3" t="str">
        <f>"400"</f>
        <v>400</v>
      </c>
      <c r="J932" s="4">
        <v>46059</v>
      </c>
      <c r="K932" s="1" t="s">
        <v>2327</v>
      </c>
    </row>
    <row r="933" spans="1:11" x14ac:dyDescent="0.35">
      <c r="A933" s="1" t="s">
        <v>2196</v>
      </c>
      <c r="B933" s="1" t="s">
        <v>2265</v>
      </c>
      <c r="C933" s="1" t="s">
        <v>2336</v>
      </c>
      <c r="D933" s="1" t="str">
        <f t="shared" si="39"/>
        <v>6760</v>
      </c>
      <c r="E933" s="1" t="s">
        <v>2332</v>
      </c>
      <c r="F933" s="1" t="s">
        <v>2333</v>
      </c>
      <c r="G933" s="1" t="s">
        <v>15</v>
      </c>
      <c r="H933" s="1" t="str">
        <f>"1"</f>
        <v>1</v>
      </c>
      <c r="I933" s="3">
        <v>1140.22</v>
      </c>
      <c r="J933" s="4">
        <v>46059</v>
      </c>
      <c r="K933" s="1" t="s">
        <v>2327</v>
      </c>
    </row>
    <row r="934" spans="1:11" x14ac:dyDescent="0.35">
      <c r="A934" s="1" t="s">
        <v>2196</v>
      </c>
      <c r="B934" s="1" t="s">
        <v>2265</v>
      </c>
      <c r="C934" s="1" t="s">
        <v>2338</v>
      </c>
      <c r="D934" s="1" t="str">
        <f t="shared" si="39"/>
        <v>6760</v>
      </c>
      <c r="E934" s="1" t="s">
        <v>1735</v>
      </c>
      <c r="F934" s="1" t="s">
        <v>1736</v>
      </c>
      <c r="G934" s="1" t="s">
        <v>15</v>
      </c>
      <c r="H934" s="1" t="str">
        <f>"1"</f>
        <v>1</v>
      </c>
      <c r="I934" s="3" t="str">
        <f>"1649"</f>
        <v>1649</v>
      </c>
      <c r="J934" s="4">
        <v>46059</v>
      </c>
      <c r="K934" s="1" t="s">
        <v>2327</v>
      </c>
    </row>
    <row r="935" spans="1:11" x14ac:dyDescent="0.35">
      <c r="A935" s="1" t="s">
        <v>2196</v>
      </c>
      <c r="B935" s="1" t="s">
        <v>2265</v>
      </c>
      <c r="C935" s="1" t="s">
        <v>2323</v>
      </c>
      <c r="D935" s="1" t="str">
        <f>"6665"</f>
        <v>6665</v>
      </c>
      <c r="E935" s="1" t="str">
        <f>"151952879"</f>
        <v>151952879</v>
      </c>
      <c r="F935" s="1" t="s">
        <v>2324</v>
      </c>
      <c r="G935" s="1" t="s">
        <v>15</v>
      </c>
      <c r="H935" s="1" t="str">
        <f>"2"</f>
        <v>2</v>
      </c>
      <c r="I935" s="3" t="str">
        <f>"3600"</f>
        <v>3600</v>
      </c>
      <c r="J935" s="4">
        <v>46064</v>
      </c>
      <c r="K935" s="1" t="s">
        <v>2325</v>
      </c>
    </row>
    <row r="936" spans="1:11" x14ac:dyDescent="0.35">
      <c r="A936" s="1" t="s">
        <v>2196</v>
      </c>
      <c r="B936" s="1" t="s">
        <v>2197</v>
      </c>
      <c r="C936" s="1" t="s">
        <v>2207</v>
      </c>
      <c r="D936" s="1" t="str">
        <f>"5855"</f>
        <v>5855</v>
      </c>
      <c r="E936" s="1" t="str">
        <f>"015485687"</f>
        <v>015485687</v>
      </c>
      <c r="F936" s="1" t="s">
        <v>798</v>
      </c>
      <c r="G936" s="1" t="s">
        <v>15</v>
      </c>
      <c r="H936" s="1" t="str">
        <f>"10"</f>
        <v>10</v>
      </c>
      <c r="I936" s="3" t="str">
        <f>"10402"</f>
        <v>10402</v>
      </c>
      <c r="J936" s="4">
        <v>46066</v>
      </c>
      <c r="K936" s="1" t="s">
        <v>2208</v>
      </c>
    </row>
    <row r="937" spans="1:11" x14ac:dyDescent="0.35">
      <c r="A937" s="1" t="s">
        <v>2196</v>
      </c>
      <c r="B937" s="1" t="s">
        <v>2211</v>
      </c>
      <c r="C937" s="1" t="s">
        <v>2249</v>
      </c>
      <c r="D937" s="1" t="str">
        <f>"6515"</f>
        <v>6515</v>
      </c>
      <c r="E937" s="1" t="str">
        <f>"015879943"</f>
        <v>015879943</v>
      </c>
      <c r="F937" s="1" t="s">
        <v>2250</v>
      </c>
      <c r="G937" s="1" t="s">
        <v>15</v>
      </c>
      <c r="H937" s="1" t="str">
        <f>"5"</f>
        <v>5</v>
      </c>
      <c r="I937" s="3">
        <v>32.1</v>
      </c>
      <c r="J937" s="4">
        <v>46071</v>
      </c>
      <c r="K937" s="1" t="s">
        <v>2251</v>
      </c>
    </row>
    <row r="938" spans="1:11" x14ac:dyDescent="0.35">
      <c r="A938" s="1" t="s">
        <v>2196</v>
      </c>
      <c r="B938" s="1" t="s">
        <v>2211</v>
      </c>
      <c r="C938" s="1" t="s">
        <v>2255</v>
      </c>
      <c r="D938" s="1" t="str">
        <f>"8415"</f>
        <v>8415</v>
      </c>
      <c r="E938" s="1" t="str">
        <f>"015386315"</f>
        <v>015386315</v>
      </c>
      <c r="F938" s="1" t="s">
        <v>2097</v>
      </c>
      <c r="G938" s="1" t="s">
        <v>15</v>
      </c>
      <c r="H938" s="1" t="str">
        <f>"1"</f>
        <v>1</v>
      </c>
      <c r="I938" s="3">
        <v>137.97999999999999</v>
      </c>
      <c r="J938" s="4">
        <v>46071</v>
      </c>
      <c r="K938" s="1" t="s">
        <v>2256</v>
      </c>
    </row>
    <row r="939" spans="1:11" x14ac:dyDescent="0.35">
      <c r="A939" s="1" t="s">
        <v>2196</v>
      </c>
      <c r="B939" s="1" t="s">
        <v>2211</v>
      </c>
      <c r="C939" s="1" t="s">
        <v>2257</v>
      </c>
      <c r="D939" s="1" t="str">
        <f>"8415"</f>
        <v>8415</v>
      </c>
      <c r="E939" s="1" t="str">
        <f>"015386704"</f>
        <v>015386704</v>
      </c>
      <c r="F939" s="1" t="s">
        <v>771</v>
      </c>
      <c r="G939" s="1" t="s">
        <v>15</v>
      </c>
      <c r="H939" s="1" t="str">
        <f>"3"</f>
        <v>3</v>
      </c>
      <c r="I939" s="3">
        <v>123.35</v>
      </c>
      <c r="J939" s="4">
        <v>46071</v>
      </c>
      <c r="K939" s="1" t="s">
        <v>2258</v>
      </c>
    </row>
    <row r="940" spans="1:11" x14ac:dyDescent="0.35">
      <c r="A940" s="1" t="s">
        <v>2196</v>
      </c>
      <c r="B940" s="1" t="s">
        <v>2197</v>
      </c>
      <c r="C940" s="1" t="s">
        <v>2205</v>
      </c>
      <c r="D940" s="1" t="str">
        <f>"5855"</f>
        <v>5855</v>
      </c>
      <c r="E940" s="1" t="str">
        <f>"015665301"</f>
        <v>015665301</v>
      </c>
      <c r="F940" s="1" t="s">
        <v>1357</v>
      </c>
      <c r="G940" s="1" t="s">
        <v>15</v>
      </c>
      <c r="H940" s="1" t="str">
        <f>"20"</f>
        <v>20</v>
      </c>
      <c r="I940" s="3">
        <v>445.26</v>
      </c>
      <c r="J940" s="4">
        <v>46072</v>
      </c>
      <c r="K940" s="1" t="s">
        <v>2206</v>
      </c>
    </row>
    <row r="941" spans="1:11" x14ac:dyDescent="0.35">
      <c r="A941" s="1" t="s">
        <v>2196</v>
      </c>
      <c r="B941" s="1" t="s">
        <v>2197</v>
      </c>
      <c r="C941" s="5" t="s">
        <v>2202</v>
      </c>
      <c r="D941" s="1" t="str">
        <f>"5855"</f>
        <v>5855</v>
      </c>
      <c r="E941" s="1" t="str">
        <f>"015485687"</f>
        <v>015485687</v>
      </c>
      <c r="F941" s="1" t="s">
        <v>798</v>
      </c>
      <c r="G941" s="1" t="s">
        <v>15</v>
      </c>
      <c r="H941" s="1" t="str">
        <f>"10"</f>
        <v>10</v>
      </c>
      <c r="I941" s="3" t="str">
        <f>"10402"</f>
        <v>10402</v>
      </c>
      <c r="J941" s="4">
        <v>46073</v>
      </c>
      <c r="K941" s="1" t="s">
        <v>4487</v>
      </c>
    </row>
    <row r="942" spans="1:11" x14ac:dyDescent="0.35">
      <c r="A942" s="1" t="s">
        <v>2196</v>
      </c>
      <c r="B942" s="1" t="s">
        <v>2197</v>
      </c>
      <c r="C942" s="1" t="s">
        <v>2209</v>
      </c>
      <c r="D942" s="1" t="str">
        <f>"8415"</f>
        <v>8415</v>
      </c>
      <c r="E942" s="1" t="str">
        <f>"015802854"</f>
        <v>015802854</v>
      </c>
      <c r="F942" s="1" t="s">
        <v>18</v>
      </c>
      <c r="G942" s="1" t="s">
        <v>15</v>
      </c>
      <c r="H942" s="1" t="str">
        <f>"6"</f>
        <v>6</v>
      </c>
      <c r="I942" s="3">
        <v>146.83000000000001</v>
      </c>
      <c r="J942" s="4">
        <v>46073</v>
      </c>
      <c r="K942" s="1" t="s">
        <v>2210</v>
      </c>
    </row>
    <row r="943" spans="1:11" x14ac:dyDescent="0.35">
      <c r="A943" s="1" t="s">
        <v>2196</v>
      </c>
      <c r="B943" s="1" t="s">
        <v>2211</v>
      </c>
      <c r="C943" s="1" t="s">
        <v>2212</v>
      </c>
      <c r="D943" s="1" t="str">
        <f>"1005"</f>
        <v>1005</v>
      </c>
      <c r="E943" s="1" t="s">
        <v>2213</v>
      </c>
      <c r="F943" s="1" t="s">
        <v>2214</v>
      </c>
      <c r="G943" s="1" t="s">
        <v>15</v>
      </c>
      <c r="H943" s="1" t="str">
        <f>"12"</f>
        <v>12</v>
      </c>
      <c r="I943" s="3" t="str">
        <f>"200"</f>
        <v>200</v>
      </c>
      <c r="J943" s="4">
        <v>46076</v>
      </c>
      <c r="K943" s="1" t="s">
        <v>2215</v>
      </c>
    </row>
    <row r="944" spans="1:11" x14ac:dyDescent="0.35">
      <c r="A944" s="1" t="s">
        <v>2196</v>
      </c>
      <c r="B944" s="1" t="s">
        <v>2211</v>
      </c>
      <c r="C944" s="1" t="s">
        <v>2216</v>
      </c>
      <c r="D944" s="1" t="str">
        <f>"1095"</f>
        <v>1095</v>
      </c>
      <c r="E944" s="1" t="s">
        <v>2217</v>
      </c>
      <c r="F944" s="1" t="s">
        <v>2218</v>
      </c>
      <c r="G944" s="1" t="s">
        <v>15</v>
      </c>
      <c r="H944" s="1" t="str">
        <f>"20"</f>
        <v>20</v>
      </c>
      <c r="I944" s="3" t="str">
        <f>"100"</f>
        <v>100</v>
      </c>
      <c r="J944" s="4">
        <v>46076</v>
      </c>
      <c r="K944" s="1" t="s">
        <v>2219</v>
      </c>
    </row>
    <row r="945" spans="1:11" x14ac:dyDescent="0.35">
      <c r="A945" s="1" t="s">
        <v>2196</v>
      </c>
      <c r="B945" s="1" t="s">
        <v>2211</v>
      </c>
      <c r="C945" s="1" t="s">
        <v>2252</v>
      </c>
      <c r="D945" s="1" t="str">
        <f>"6680"</f>
        <v>6680</v>
      </c>
      <c r="E945" s="1" t="str">
        <f>"014106754"</f>
        <v>014106754</v>
      </c>
      <c r="F945" s="1" t="s">
        <v>2253</v>
      </c>
      <c r="G945" s="1" t="s">
        <v>15</v>
      </c>
      <c r="H945" s="1" t="str">
        <f>"4"</f>
        <v>4</v>
      </c>
      <c r="I945" s="3">
        <v>455.55</v>
      </c>
      <c r="J945" s="4">
        <v>46076</v>
      </c>
      <c r="K945" s="1" t="s">
        <v>2254</v>
      </c>
    </row>
    <row r="946" spans="1:11" x14ac:dyDescent="0.35">
      <c r="A946" s="1" t="s">
        <v>2196</v>
      </c>
      <c r="B946" s="1" t="s">
        <v>2211</v>
      </c>
      <c r="C946" s="1" t="s">
        <v>2259</v>
      </c>
      <c r="D946" s="1" t="str">
        <f>"8465"</f>
        <v>8465</v>
      </c>
      <c r="E946" s="1" t="str">
        <f>"000016471"</f>
        <v>000016471</v>
      </c>
      <c r="F946" s="1" t="s">
        <v>2260</v>
      </c>
      <c r="G946" s="1" t="s">
        <v>15</v>
      </c>
      <c r="H946" s="1" t="str">
        <f>"15"</f>
        <v>15</v>
      </c>
      <c r="I946" s="3">
        <v>12.49</v>
      </c>
      <c r="J946" s="4">
        <v>46076</v>
      </c>
      <c r="K946" s="1" t="s">
        <v>2261</v>
      </c>
    </row>
    <row r="947" spans="1:11" x14ac:dyDescent="0.35">
      <c r="A947" s="1" t="s">
        <v>2196</v>
      </c>
      <c r="B947" s="1" t="s">
        <v>2265</v>
      </c>
      <c r="C947" s="1" t="s">
        <v>2266</v>
      </c>
      <c r="D947" s="1" t="str">
        <f>"2340"</f>
        <v>2340</v>
      </c>
      <c r="E947" s="1" t="s">
        <v>1071</v>
      </c>
      <c r="F947" s="1" t="s">
        <v>1072</v>
      </c>
      <c r="G947" s="1" t="s">
        <v>15</v>
      </c>
      <c r="H947" s="1" t="str">
        <f>"1"</f>
        <v>1</v>
      </c>
      <c r="I947" s="3" t="str">
        <f>"6000"</f>
        <v>6000</v>
      </c>
      <c r="J947" s="4">
        <v>46078</v>
      </c>
      <c r="K947" s="1" t="s">
        <v>2267</v>
      </c>
    </row>
    <row r="948" spans="1:11" x14ac:dyDescent="0.35">
      <c r="A948" s="1" t="s">
        <v>2196</v>
      </c>
      <c r="B948" s="1" t="s">
        <v>2265</v>
      </c>
      <c r="C948" s="1" t="s">
        <v>2348</v>
      </c>
      <c r="D948" s="1" t="str">
        <f>"8345"</f>
        <v>8345</v>
      </c>
      <c r="E948" s="1" t="str">
        <f>"016409597"</f>
        <v>016409597</v>
      </c>
      <c r="F948" s="1" t="s">
        <v>2349</v>
      </c>
      <c r="G948" s="1" t="s">
        <v>15</v>
      </c>
      <c r="H948" s="1" t="str">
        <f>"4"</f>
        <v>4</v>
      </c>
      <c r="I948" s="3">
        <v>172.88</v>
      </c>
      <c r="J948" s="4">
        <v>46078</v>
      </c>
      <c r="K948" s="1" t="s">
        <v>2350</v>
      </c>
    </row>
    <row r="949" spans="1:11" x14ac:dyDescent="0.35">
      <c r="A949" s="1" t="s">
        <v>2196</v>
      </c>
      <c r="B949" s="1" t="s">
        <v>2265</v>
      </c>
      <c r="C949" s="1" t="s">
        <v>2343</v>
      </c>
      <c r="D949" s="1" t="str">
        <f>"7220"</f>
        <v>7220</v>
      </c>
      <c r="E949" s="1" t="str">
        <f>"016326720"</f>
        <v>016326720</v>
      </c>
      <c r="F949" s="1" t="s">
        <v>2344</v>
      </c>
      <c r="G949" s="1" t="s">
        <v>15</v>
      </c>
      <c r="H949" s="1" t="str">
        <f>"18"</f>
        <v>18</v>
      </c>
      <c r="I949" s="3">
        <v>705.59</v>
      </c>
      <c r="J949" s="4">
        <v>46079</v>
      </c>
      <c r="K949" s="1" t="s">
        <v>2345</v>
      </c>
    </row>
    <row r="950" spans="1:11" x14ac:dyDescent="0.35">
      <c r="A950" s="1" t="s">
        <v>2196</v>
      </c>
      <c r="B950" s="1" t="s">
        <v>2265</v>
      </c>
      <c r="C950" s="1" t="s">
        <v>2268</v>
      </c>
      <c r="D950" s="1" t="str">
        <f>"3405"</f>
        <v>3405</v>
      </c>
      <c r="E950" s="1" t="s">
        <v>2269</v>
      </c>
      <c r="F950" s="1" t="s">
        <v>2270</v>
      </c>
      <c r="G950" s="1" t="s">
        <v>15</v>
      </c>
      <c r="H950" s="1" t="str">
        <f>"12"</f>
        <v>12</v>
      </c>
      <c r="I950" s="3" t="str">
        <f>"197"</f>
        <v>197</v>
      </c>
      <c r="J950" s="4">
        <v>46082</v>
      </c>
      <c r="K950" s="1" t="s">
        <v>2271</v>
      </c>
    </row>
    <row r="951" spans="1:11" x14ac:dyDescent="0.35">
      <c r="A951" s="1" t="s">
        <v>2196</v>
      </c>
      <c r="B951" s="1" t="s">
        <v>2265</v>
      </c>
      <c r="C951" s="1" t="s">
        <v>2276</v>
      </c>
      <c r="D951" s="1" t="str">
        <f>"3750"</f>
        <v>3750</v>
      </c>
      <c r="E951" s="1" t="s">
        <v>2277</v>
      </c>
      <c r="F951" s="1" t="s">
        <v>2278</v>
      </c>
      <c r="G951" s="1" t="s">
        <v>15</v>
      </c>
      <c r="H951" s="1" t="str">
        <f>"2"</f>
        <v>2</v>
      </c>
      <c r="I951" s="3" t="str">
        <f>"300"</f>
        <v>300</v>
      </c>
      <c r="J951" s="4">
        <v>46082</v>
      </c>
      <c r="K951" s="1" t="s">
        <v>2279</v>
      </c>
    </row>
    <row r="952" spans="1:11" x14ac:dyDescent="0.35">
      <c r="A952" s="1" t="s">
        <v>2196</v>
      </c>
      <c r="B952" s="1" t="s">
        <v>2265</v>
      </c>
      <c r="C952" s="1" t="s">
        <v>2286</v>
      </c>
      <c r="D952" s="1" t="str">
        <f>"4110"</f>
        <v>4110</v>
      </c>
      <c r="E952" s="1" t="s">
        <v>2287</v>
      </c>
      <c r="F952" s="1" t="s">
        <v>2288</v>
      </c>
      <c r="G952" s="1" t="s">
        <v>15</v>
      </c>
      <c r="H952" s="1" t="str">
        <f>"1"</f>
        <v>1</v>
      </c>
      <c r="I952" s="3" t="str">
        <f>"1000"</f>
        <v>1000</v>
      </c>
      <c r="J952" s="4">
        <v>46082</v>
      </c>
      <c r="K952" s="1" t="s">
        <v>2289</v>
      </c>
    </row>
    <row r="953" spans="1:11" x14ac:dyDescent="0.35">
      <c r="A953" s="1" t="s">
        <v>2196</v>
      </c>
      <c r="B953" s="1" t="s">
        <v>2265</v>
      </c>
      <c r="C953" s="1" t="s">
        <v>2296</v>
      </c>
      <c r="D953" s="1" t="str">
        <f>"4940"</f>
        <v>4940</v>
      </c>
      <c r="E953" s="1" t="str">
        <f>"016421455"</f>
        <v>016421455</v>
      </c>
      <c r="F953" s="1" t="s">
        <v>2297</v>
      </c>
      <c r="G953" s="1" t="s">
        <v>15</v>
      </c>
      <c r="H953" s="1" t="str">
        <f>"1"</f>
        <v>1</v>
      </c>
      <c r="I953" s="3">
        <v>9085.26</v>
      </c>
      <c r="J953" s="4">
        <v>46082</v>
      </c>
      <c r="K953" s="1" t="s">
        <v>2298</v>
      </c>
    </row>
    <row r="954" spans="1:11" x14ac:dyDescent="0.35">
      <c r="A954" s="1" t="s">
        <v>2196</v>
      </c>
      <c r="B954" s="1" t="s">
        <v>2265</v>
      </c>
      <c r="C954" s="1" t="s">
        <v>2299</v>
      </c>
      <c r="D954" s="1" t="str">
        <f>"5120"</f>
        <v>5120</v>
      </c>
      <c r="E954" s="1" t="s">
        <v>2085</v>
      </c>
      <c r="F954" s="1" t="s">
        <v>2086</v>
      </c>
      <c r="G954" s="1" t="s">
        <v>15</v>
      </c>
      <c r="H954" s="1" t="str">
        <f>"1"</f>
        <v>1</v>
      </c>
      <c r="I954" s="3" t="str">
        <f>"20"</f>
        <v>20</v>
      </c>
      <c r="J954" s="4">
        <v>46082</v>
      </c>
      <c r="K954" s="1" t="s">
        <v>2300</v>
      </c>
    </row>
    <row r="955" spans="1:11" x14ac:dyDescent="0.35">
      <c r="A955" s="1" t="s">
        <v>2196</v>
      </c>
      <c r="B955" s="1" t="s">
        <v>2265</v>
      </c>
      <c r="C955" s="1" t="s">
        <v>2301</v>
      </c>
      <c r="D955" s="1" t="str">
        <f>"6515"</f>
        <v>6515</v>
      </c>
      <c r="E955" s="1" t="str">
        <f>"014398571"</f>
        <v>014398571</v>
      </c>
      <c r="F955" s="1" t="s">
        <v>2302</v>
      </c>
      <c r="G955" s="1" t="s">
        <v>293</v>
      </c>
      <c r="H955" s="1" t="str">
        <f>"10"</f>
        <v>10</v>
      </c>
      <c r="I955" s="3">
        <v>171.87</v>
      </c>
      <c r="J955" s="4">
        <v>46082</v>
      </c>
      <c r="K955" s="1" t="s">
        <v>2303</v>
      </c>
    </row>
    <row r="956" spans="1:11" x14ac:dyDescent="0.35">
      <c r="A956" s="1" t="s">
        <v>2196</v>
      </c>
      <c r="B956" s="1" t="s">
        <v>2265</v>
      </c>
      <c r="C956" s="1" t="s">
        <v>2304</v>
      </c>
      <c r="D956" s="1" t="str">
        <f t="shared" ref="D956:D964" si="40">"6530"</f>
        <v>6530</v>
      </c>
      <c r="E956" s="1" t="str">
        <f>"016316261"</f>
        <v>016316261</v>
      </c>
      <c r="F956" s="1" t="s">
        <v>2305</v>
      </c>
      <c r="G956" s="1" t="s">
        <v>15</v>
      </c>
      <c r="H956" s="1" t="str">
        <f t="shared" ref="H956:H965" si="41">"1"</f>
        <v>1</v>
      </c>
      <c r="I956" s="3">
        <v>2994.75</v>
      </c>
      <c r="J956" s="4">
        <v>46082</v>
      </c>
      <c r="K956" s="1" t="s">
        <v>2306</v>
      </c>
    </row>
    <row r="957" spans="1:11" x14ac:dyDescent="0.35">
      <c r="A957" s="1" t="s">
        <v>2196</v>
      </c>
      <c r="B957" s="1" t="s">
        <v>2265</v>
      </c>
      <c r="C957" s="1" t="s">
        <v>2307</v>
      </c>
      <c r="D957" s="1" t="str">
        <f t="shared" si="40"/>
        <v>6530</v>
      </c>
      <c r="E957" s="1" t="str">
        <f>"016316261"</f>
        <v>016316261</v>
      </c>
      <c r="F957" s="1" t="s">
        <v>2305</v>
      </c>
      <c r="G957" s="1" t="s">
        <v>15</v>
      </c>
      <c r="H957" s="1" t="str">
        <f t="shared" si="41"/>
        <v>1</v>
      </c>
      <c r="I957" s="3">
        <v>2994.75</v>
      </c>
      <c r="J957" s="4">
        <v>46082</v>
      </c>
      <c r="K957" s="1" t="s">
        <v>2306</v>
      </c>
    </row>
    <row r="958" spans="1:11" x14ac:dyDescent="0.35">
      <c r="A958" s="1" t="s">
        <v>2196</v>
      </c>
      <c r="B958" s="1" t="s">
        <v>2265</v>
      </c>
      <c r="C958" s="1" t="s">
        <v>2308</v>
      </c>
      <c r="D958" s="1" t="str">
        <f t="shared" si="40"/>
        <v>6530</v>
      </c>
      <c r="E958" s="1" t="str">
        <f>"016316261"</f>
        <v>016316261</v>
      </c>
      <c r="F958" s="1" t="s">
        <v>2305</v>
      </c>
      <c r="G958" s="1" t="s">
        <v>15</v>
      </c>
      <c r="H958" s="1" t="str">
        <f t="shared" si="41"/>
        <v>1</v>
      </c>
      <c r="I958" s="3">
        <v>2994.75</v>
      </c>
      <c r="J958" s="4">
        <v>46082</v>
      </c>
      <c r="K958" s="1" t="s">
        <v>2306</v>
      </c>
    </row>
    <row r="959" spans="1:11" x14ac:dyDescent="0.35">
      <c r="A959" s="1" t="s">
        <v>2196</v>
      </c>
      <c r="B959" s="1" t="s">
        <v>2265</v>
      </c>
      <c r="C959" s="1" t="s">
        <v>2309</v>
      </c>
      <c r="D959" s="1" t="str">
        <f t="shared" si="40"/>
        <v>6530</v>
      </c>
      <c r="E959" s="1" t="str">
        <f>"016316261"</f>
        <v>016316261</v>
      </c>
      <c r="F959" s="1" t="s">
        <v>2305</v>
      </c>
      <c r="G959" s="1" t="s">
        <v>15</v>
      </c>
      <c r="H959" s="1" t="str">
        <f t="shared" si="41"/>
        <v>1</v>
      </c>
      <c r="I959" s="3">
        <v>2994.75</v>
      </c>
      <c r="J959" s="4">
        <v>46082</v>
      </c>
      <c r="K959" s="1" t="s">
        <v>2306</v>
      </c>
    </row>
    <row r="960" spans="1:11" x14ac:dyDescent="0.35">
      <c r="A960" s="1" t="s">
        <v>2196</v>
      </c>
      <c r="B960" s="1" t="s">
        <v>2265</v>
      </c>
      <c r="C960" s="1" t="s">
        <v>2310</v>
      </c>
      <c r="D960" s="1" t="str">
        <f t="shared" si="40"/>
        <v>6530</v>
      </c>
      <c r="E960" s="1" t="str">
        <f>"013806463"</f>
        <v>013806463</v>
      </c>
      <c r="F960" s="1" t="s">
        <v>2311</v>
      </c>
      <c r="G960" s="1" t="s">
        <v>293</v>
      </c>
      <c r="H960" s="1" t="str">
        <f t="shared" si="41"/>
        <v>1</v>
      </c>
      <c r="I960" s="3">
        <v>104.36</v>
      </c>
      <c r="J960" s="4">
        <v>46082</v>
      </c>
      <c r="K960" s="1" t="s">
        <v>2312</v>
      </c>
    </row>
    <row r="961" spans="1:11" x14ac:dyDescent="0.35">
      <c r="A961" s="1" t="s">
        <v>2196</v>
      </c>
      <c r="B961" s="1" t="s">
        <v>2265</v>
      </c>
      <c r="C961" s="1" t="s">
        <v>2313</v>
      </c>
      <c r="D961" s="1" t="str">
        <f t="shared" si="40"/>
        <v>6530</v>
      </c>
      <c r="E961" s="1" t="str">
        <f>"016316261"</f>
        <v>016316261</v>
      </c>
      <c r="F961" s="1" t="s">
        <v>2305</v>
      </c>
      <c r="G961" s="1" t="s">
        <v>15</v>
      </c>
      <c r="H961" s="1" t="str">
        <f t="shared" si="41"/>
        <v>1</v>
      </c>
      <c r="I961" s="3">
        <v>2994.75</v>
      </c>
      <c r="J961" s="4">
        <v>46082</v>
      </c>
      <c r="K961" s="1" t="s">
        <v>2306</v>
      </c>
    </row>
    <row r="962" spans="1:11" x14ac:dyDescent="0.35">
      <c r="A962" s="1" t="s">
        <v>2196</v>
      </c>
      <c r="B962" s="1" t="s">
        <v>2265</v>
      </c>
      <c r="C962" s="1" t="s">
        <v>2314</v>
      </c>
      <c r="D962" s="1" t="str">
        <f t="shared" si="40"/>
        <v>6530</v>
      </c>
      <c r="E962" s="1" t="str">
        <f>"016316261"</f>
        <v>016316261</v>
      </c>
      <c r="F962" s="1" t="s">
        <v>2305</v>
      </c>
      <c r="G962" s="1" t="s">
        <v>15</v>
      </c>
      <c r="H962" s="1" t="str">
        <f t="shared" si="41"/>
        <v>1</v>
      </c>
      <c r="I962" s="3">
        <v>2994.75</v>
      </c>
      <c r="J962" s="4">
        <v>46082</v>
      </c>
      <c r="K962" s="1" t="s">
        <v>2315</v>
      </c>
    </row>
    <row r="963" spans="1:11" x14ac:dyDescent="0.35">
      <c r="A963" s="1" t="s">
        <v>2196</v>
      </c>
      <c r="B963" s="1" t="s">
        <v>2265</v>
      </c>
      <c r="C963" s="1" t="s">
        <v>2316</v>
      </c>
      <c r="D963" s="1" t="str">
        <f t="shared" si="40"/>
        <v>6530</v>
      </c>
      <c r="E963" s="1" t="str">
        <f>"016316261"</f>
        <v>016316261</v>
      </c>
      <c r="F963" s="1" t="s">
        <v>2305</v>
      </c>
      <c r="G963" s="1" t="s">
        <v>15</v>
      </c>
      <c r="H963" s="1" t="str">
        <f t="shared" si="41"/>
        <v>1</v>
      </c>
      <c r="I963" s="3">
        <v>2994.75</v>
      </c>
      <c r="J963" s="4">
        <v>46082</v>
      </c>
      <c r="K963" s="1" t="s">
        <v>2317</v>
      </c>
    </row>
    <row r="964" spans="1:11" x14ac:dyDescent="0.35">
      <c r="A964" s="1" t="s">
        <v>2196</v>
      </c>
      <c r="B964" s="1" t="s">
        <v>2265</v>
      </c>
      <c r="C964" s="1" t="s">
        <v>2318</v>
      </c>
      <c r="D964" s="1" t="str">
        <f t="shared" si="40"/>
        <v>6530</v>
      </c>
      <c r="E964" s="1" t="str">
        <f>"016316261"</f>
        <v>016316261</v>
      </c>
      <c r="F964" s="1" t="s">
        <v>2305</v>
      </c>
      <c r="G964" s="1" t="s">
        <v>15</v>
      </c>
      <c r="H964" s="1" t="str">
        <f t="shared" si="41"/>
        <v>1</v>
      </c>
      <c r="I964" s="3">
        <v>2994.75</v>
      </c>
      <c r="J964" s="4">
        <v>46082</v>
      </c>
      <c r="K964" s="1" t="s">
        <v>2306</v>
      </c>
    </row>
    <row r="965" spans="1:11" x14ac:dyDescent="0.35">
      <c r="A965" s="1" t="s">
        <v>2196</v>
      </c>
      <c r="B965" s="1" t="s">
        <v>2265</v>
      </c>
      <c r="C965" s="1" t="s">
        <v>2319</v>
      </c>
      <c r="D965" s="1" t="str">
        <f>"6545"</f>
        <v>6545</v>
      </c>
      <c r="E965" s="1" t="str">
        <f>"016092699"</f>
        <v>016092699</v>
      </c>
      <c r="F965" s="1" t="s">
        <v>1350</v>
      </c>
      <c r="G965" s="1" t="s">
        <v>257</v>
      </c>
      <c r="H965" s="1" t="str">
        <f t="shared" si="41"/>
        <v>1</v>
      </c>
      <c r="I965" s="3">
        <v>8495.23</v>
      </c>
      <c r="J965" s="4">
        <v>46082</v>
      </c>
      <c r="K965" s="1" t="s">
        <v>2320</v>
      </c>
    </row>
    <row r="966" spans="1:11" x14ac:dyDescent="0.35">
      <c r="A966" s="1" t="s">
        <v>2196</v>
      </c>
      <c r="B966" s="1" t="s">
        <v>2265</v>
      </c>
      <c r="C966" s="1" t="s">
        <v>2346</v>
      </c>
      <c r="D966" s="1" t="str">
        <f>"7920"</f>
        <v>7920</v>
      </c>
      <c r="E966" s="1" t="s">
        <v>749</v>
      </c>
      <c r="F966" s="1" t="s">
        <v>750</v>
      </c>
      <c r="G966" s="1" t="s">
        <v>15</v>
      </c>
      <c r="H966" s="1" t="str">
        <f>"2"</f>
        <v>2</v>
      </c>
      <c r="I966" s="3" t="str">
        <f>"200"</f>
        <v>200</v>
      </c>
      <c r="J966" s="4">
        <v>46082</v>
      </c>
      <c r="K966" s="1" t="s">
        <v>2347</v>
      </c>
    </row>
    <row r="967" spans="1:11" x14ac:dyDescent="0.35">
      <c r="A967" s="1" t="s">
        <v>2196</v>
      </c>
      <c r="B967" s="1" t="s">
        <v>2265</v>
      </c>
      <c r="C967" s="1" t="s">
        <v>2351</v>
      </c>
      <c r="D967" s="1" t="str">
        <f t="shared" ref="D967:D973" si="42">"8415"</f>
        <v>8415</v>
      </c>
      <c r="E967" s="1" t="s">
        <v>1944</v>
      </c>
      <c r="F967" s="1" t="s">
        <v>1945</v>
      </c>
      <c r="G967" s="1" t="s">
        <v>15</v>
      </c>
      <c r="H967" s="1" t="str">
        <f>"6"</f>
        <v>6</v>
      </c>
      <c r="I967" s="3" t="str">
        <f>"1115"</f>
        <v>1115</v>
      </c>
      <c r="J967" s="4">
        <v>46082</v>
      </c>
      <c r="K967" s="1" t="s">
        <v>2352</v>
      </c>
    </row>
    <row r="968" spans="1:11" x14ac:dyDescent="0.35">
      <c r="A968" s="1" t="s">
        <v>2196</v>
      </c>
      <c r="B968" s="1" t="s">
        <v>2265</v>
      </c>
      <c r="C968" s="1" t="s">
        <v>2353</v>
      </c>
      <c r="D968" s="1" t="str">
        <f t="shared" si="42"/>
        <v>8415</v>
      </c>
      <c r="E968" s="1" t="str">
        <f>"015386300"</f>
        <v>015386300</v>
      </c>
      <c r="F968" s="1" t="s">
        <v>2097</v>
      </c>
      <c r="G968" s="1" t="s">
        <v>15</v>
      </c>
      <c r="H968" s="1" t="str">
        <f>"2"</f>
        <v>2</v>
      </c>
      <c r="I968" s="3">
        <v>137.97999999999999</v>
      </c>
      <c r="J968" s="4">
        <v>46082</v>
      </c>
      <c r="K968" s="1" t="s">
        <v>2354</v>
      </c>
    </row>
    <row r="969" spans="1:11" x14ac:dyDescent="0.35">
      <c r="A969" s="1" t="s">
        <v>2196</v>
      </c>
      <c r="B969" s="1" t="s">
        <v>2265</v>
      </c>
      <c r="C969" s="1" t="s">
        <v>2355</v>
      </c>
      <c r="D969" s="1" t="str">
        <f t="shared" si="42"/>
        <v>8415</v>
      </c>
      <c r="E969" s="1" t="str">
        <f>"015386704"</f>
        <v>015386704</v>
      </c>
      <c r="F969" s="1" t="s">
        <v>771</v>
      </c>
      <c r="G969" s="1" t="s">
        <v>15</v>
      </c>
      <c r="H969" s="1" t="str">
        <f>"2"</f>
        <v>2</v>
      </c>
      <c r="I969" s="3">
        <v>123.35</v>
      </c>
      <c r="J969" s="4">
        <v>46082</v>
      </c>
      <c r="K969" s="1" t="s">
        <v>2356</v>
      </c>
    </row>
    <row r="970" spans="1:11" x14ac:dyDescent="0.35">
      <c r="A970" s="1" t="s">
        <v>2196</v>
      </c>
      <c r="B970" s="1" t="s">
        <v>2265</v>
      </c>
      <c r="C970" s="1" t="s">
        <v>2357</v>
      </c>
      <c r="D970" s="1" t="str">
        <f t="shared" si="42"/>
        <v>8415</v>
      </c>
      <c r="E970" s="1" t="str">
        <f>"015386308"</f>
        <v>015386308</v>
      </c>
      <c r="F970" s="1" t="s">
        <v>2097</v>
      </c>
      <c r="G970" s="1" t="s">
        <v>15</v>
      </c>
      <c r="H970" s="1" t="str">
        <f>"1"</f>
        <v>1</v>
      </c>
      <c r="I970" s="3">
        <v>137.97999999999999</v>
      </c>
      <c r="J970" s="4">
        <v>46082</v>
      </c>
      <c r="K970" s="1" t="s">
        <v>2354</v>
      </c>
    </row>
    <row r="971" spans="1:11" x14ac:dyDescent="0.35">
      <c r="A971" s="1" t="s">
        <v>2196</v>
      </c>
      <c r="B971" s="1" t="s">
        <v>2265</v>
      </c>
      <c r="C971" s="1" t="s">
        <v>2358</v>
      </c>
      <c r="D971" s="1" t="str">
        <f t="shared" si="42"/>
        <v>8415</v>
      </c>
      <c r="E971" s="1" t="str">
        <f>"015386300"</f>
        <v>015386300</v>
      </c>
      <c r="F971" s="1" t="s">
        <v>2097</v>
      </c>
      <c r="G971" s="1" t="s">
        <v>15</v>
      </c>
      <c r="H971" s="1" t="str">
        <f>"2"</f>
        <v>2</v>
      </c>
      <c r="I971" s="3">
        <v>137.97999999999999</v>
      </c>
      <c r="J971" s="4">
        <v>46082</v>
      </c>
      <c r="K971" s="1" t="s">
        <v>2354</v>
      </c>
    </row>
    <row r="972" spans="1:11" x14ac:dyDescent="0.35">
      <c r="A972" s="1" t="s">
        <v>2196</v>
      </c>
      <c r="B972" s="1" t="s">
        <v>2265</v>
      </c>
      <c r="C972" s="1" t="s">
        <v>2359</v>
      </c>
      <c r="D972" s="1" t="str">
        <f t="shared" si="42"/>
        <v>8415</v>
      </c>
      <c r="E972" s="1" t="str">
        <f>"015386289"</f>
        <v>015386289</v>
      </c>
      <c r="F972" s="1" t="s">
        <v>2097</v>
      </c>
      <c r="G972" s="1" t="s">
        <v>15</v>
      </c>
      <c r="H972" s="1" t="str">
        <f>"5"</f>
        <v>5</v>
      </c>
      <c r="I972" s="3">
        <v>137.97999999999999</v>
      </c>
      <c r="J972" s="4">
        <v>46082</v>
      </c>
      <c r="K972" s="1" t="s">
        <v>2354</v>
      </c>
    </row>
    <row r="973" spans="1:11" x14ac:dyDescent="0.35">
      <c r="A973" s="1" t="s">
        <v>2196</v>
      </c>
      <c r="B973" s="1" t="s">
        <v>2265</v>
      </c>
      <c r="C973" s="1" t="s">
        <v>2360</v>
      </c>
      <c r="D973" s="1" t="str">
        <f t="shared" si="42"/>
        <v>8415</v>
      </c>
      <c r="E973" s="1" t="str">
        <f>"015458724"</f>
        <v>015458724</v>
      </c>
      <c r="F973" s="1" t="s">
        <v>2097</v>
      </c>
      <c r="G973" s="1" t="s">
        <v>15</v>
      </c>
      <c r="H973" s="1" t="str">
        <f>"6"</f>
        <v>6</v>
      </c>
      <c r="I973" s="3">
        <v>137.97999999999999</v>
      </c>
      <c r="J973" s="4">
        <v>46082</v>
      </c>
      <c r="K973" s="1" t="s">
        <v>2354</v>
      </c>
    </row>
    <row r="974" spans="1:11" x14ac:dyDescent="0.35">
      <c r="A974" s="1" t="s">
        <v>2196</v>
      </c>
      <c r="B974" s="1" t="s">
        <v>2265</v>
      </c>
      <c r="C974" s="1" t="s">
        <v>2365</v>
      </c>
      <c r="D974" s="1" t="str">
        <f>"8430"</f>
        <v>8430</v>
      </c>
      <c r="E974" s="1" t="str">
        <f>"016944921"</f>
        <v>016944921</v>
      </c>
      <c r="F974" s="1" t="s">
        <v>2366</v>
      </c>
      <c r="G974" s="1" t="s">
        <v>47</v>
      </c>
      <c r="H974" s="1" t="str">
        <f>"1"</f>
        <v>1</v>
      </c>
      <c r="I974" s="3">
        <v>159.96</v>
      </c>
      <c r="J974" s="4">
        <v>46082</v>
      </c>
      <c r="K974" s="1" t="s">
        <v>2367</v>
      </c>
    </row>
    <row r="975" spans="1:11" x14ac:dyDescent="0.35">
      <c r="A975" s="1" t="s">
        <v>2196</v>
      </c>
      <c r="B975" s="1" t="s">
        <v>2265</v>
      </c>
      <c r="C975" s="1" t="s">
        <v>2282</v>
      </c>
      <c r="D975" s="1" t="str">
        <f>"3990"</f>
        <v>3990</v>
      </c>
      <c r="E975" s="1" t="s">
        <v>2283</v>
      </c>
      <c r="F975" s="1" t="s">
        <v>2284</v>
      </c>
      <c r="G975" s="1" t="s">
        <v>15</v>
      </c>
      <c r="H975" s="1" t="str">
        <f>"1"</f>
        <v>1</v>
      </c>
      <c r="I975" s="3" t="str">
        <f>"5000"</f>
        <v>5000</v>
      </c>
      <c r="J975" s="4">
        <v>46084</v>
      </c>
      <c r="K975" s="1" t="s">
        <v>2285</v>
      </c>
    </row>
    <row r="976" spans="1:11" x14ac:dyDescent="0.35">
      <c r="A976" s="1" t="s">
        <v>2196</v>
      </c>
      <c r="B976" s="1" t="s">
        <v>2265</v>
      </c>
      <c r="C976" s="1" t="s">
        <v>2272</v>
      </c>
      <c r="D976" s="1" t="str">
        <f>"3610"</f>
        <v>3610</v>
      </c>
      <c r="E976" s="1" t="s">
        <v>2273</v>
      </c>
      <c r="F976" s="1" t="s">
        <v>2274</v>
      </c>
      <c r="G976" s="1" t="s">
        <v>15</v>
      </c>
      <c r="H976" s="1" t="str">
        <f>"1"</f>
        <v>1</v>
      </c>
      <c r="I976" s="3">
        <v>99968.68</v>
      </c>
      <c r="J976" s="4">
        <v>46087</v>
      </c>
      <c r="K976" s="1" t="s">
        <v>2275</v>
      </c>
    </row>
    <row r="977" spans="1:11" x14ac:dyDescent="0.35">
      <c r="A977" s="1" t="s">
        <v>2196</v>
      </c>
      <c r="B977" s="1" t="s">
        <v>2265</v>
      </c>
      <c r="C977" s="1" t="s">
        <v>2290</v>
      </c>
      <c r="D977" s="1" t="str">
        <f>"4240"</f>
        <v>4240</v>
      </c>
      <c r="E977" s="1" t="s">
        <v>2291</v>
      </c>
      <c r="F977" s="1" t="s">
        <v>2292</v>
      </c>
      <c r="G977" s="1" t="s">
        <v>15</v>
      </c>
      <c r="H977" s="1" t="str">
        <f>"517"</f>
        <v>517</v>
      </c>
      <c r="I977" s="3">
        <v>29.06</v>
      </c>
      <c r="J977" s="4">
        <v>46093</v>
      </c>
      <c r="K977" s="1" t="s">
        <v>2293</v>
      </c>
    </row>
    <row r="978" spans="1:11" x14ac:dyDescent="0.35">
      <c r="A978" s="1" t="s">
        <v>2196</v>
      </c>
      <c r="B978" s="1" t="s">
        <v>2265</v>
      </c>
      <c r="C978" s="1" t="s">
        <v>2294</v>
      </c>
      <c r="D978" s="1" t="str">
        <f>"4240"</f>
        <v>4240</v>
      </c>
      <c r="E978" s="1" t="s">
        <v>2291</v>
      </c>
      <c r="F978" s="1" t="s">
        <v>2292</v>
      </c>
      <c r="G978" s="1" t="s">
        <v>15</v>
      </c>
      <c r="H978" s="1" t="str">
        <f>"1087"</f>
        <v>1087</v>
      </c>
      <c r="I978" s="3">
        <v>22.06</v>
      </c>
      <c r="J978" s="4">
        <v>46093</v>
      </c>
      <c r="K978" s="1" t="s">
        <v>2295</v>
      </c>
    </row>
    <row r="979" spans="1:11" x14ac:dyDescent="0.35">
      <c r="A979" s="1" t="s">
        <v>2196</v>
      </c>
      <c r="B979" s="1" t="s">
        <v>2265</v>
      </c>
      <c r="C979" s="1" t="s">
        <v>2361</v>
      </c>
      <c r="D979" s="1" t="str">
        <f>"8415"</f>
        <v>8415</v>
      </c>
      <c r="E979" s="1" t="str">
        <f>"015274614"</f>
        <v>015274614</v>
      </c>
      <c r="F979" s="1" t="s">
        <v>42</v>
      </c>
      <c r="G979" s="1" t="s">
        <v>15</v>
      </c>
      <c r="H979" s="1" t="str">
        <f>"15"</f>
        <v>15</v>
      </c>
      <c r="I979" s="3" t="str">
        <f>"77"</f>
        <v>77</v>
      </c>
      <c r="J979" s="4">
        <v>46093</v>
      </c>
      <c r="K979" s="1" t="s">
        <v>2362</v>
      </c>
    </row>
    <row r="980" spans="1:11" x14ac:dyDescent="0.35">
      <c r="A980" s="1" t="s">
        <v>2196</v>
      </c>
      <c r="B980" s="1" t="s">
        <v>2265</v>
      </c>
      <c r="C980" s="1" t="s">
        <v>2363</v>
      </c>
      <c r="D980" s="1" t="str">
        <f>"8415"</f>
        <v>8415</v>
      </c>
      <c r="E980" s="1" t="s">
        <v>1944</v>
      </c>
      <c r="F980" s="1" t="s">
        <v>1945</v>
      </c>
      <c r="G980" s="1" t="s">
        <v>15</v>
      </c>
      <c r="H980" s="1" t="str">
        <f>"875"</f>
        <v>875</v>
      </c>
      <c r="I980" s="3">
        <v>12.5</v>
      </c>
      <c r="J980" s="4">
        <v>46093</v>
      </c>
      <c r="K980" s="1" t="s">
        <v>2364</v>
      </c>
    </row>
    <row r="981" spans="1:11" x14ac:dyDescent="0.35">
      <c r="A981" s="1" t="s">
        <v>2196</v>
      </c>
      <c r="B981" s="1" t="s">
        <v>2265</v>
      </c>
      <c r="C981" s="1" t="s">
        <v>2321</v>
      </c>
      <c r="D981" s="1" t="str">
        <f>"6650"</f>
        <v>6650</v>
      </c>
      <c r="E981" s="1" t="s">
        <v>1576</v>
      </c>
      <c r="F981" s="1" t="s">
        <v>1577</v>
      </c>
      <c r="G981" s="1" t="s">
        <v>15</v>
      </c>
      <c r="H981" s="1" t="str">
        <f>"1"</f>
        <v>1</v>
      </c>
      <c r="I981" s="3">
        <v>208.47</v>
      </c>
      <c r="J981" s="4">
        <v>46098</v>
      </c>
      <c r="K981" s="1" t="s">
        <v>2322</v>
      </c>
    </row>
    <row r="982" spans="1:11" x14ac:dyDescent="0.35">
      <c r="A982" s="1" t="s">
        <v>2368</v>
      </c>
      <c r="B982" s="1" t="s">
        <v>2500</v>
      </c>
      <c r="C982" s="1" t="s">
        <v>2504</v>
      </c>
      <c r="D982" s="1" t="str">
        <f>"1240"</f>
        <v>1240</v>
      </c>
      <c r="E982" s="1" t="str">
        <f>"013160055"</f>
        <v>013160055</v>
      </c>
      <c r="F982" s="1" t="s">
        <v>2505</v>
      </c>
      <c r="G982" s="1" t="s">
        <v>15</v>
      </c>
      <c r="H982" s="1" t="str">
        <f>"9"</f>
        <v>9</v>
      </c>
      <c r="I982" s="3" t="str">
        <f>"324"</f>
        <v>324</v>
      </c>
      <c r="J982" s="4">
        <v>46029</v>
      </c>
      <c r="K982" s="1" t="s">
        <v>2506</v>
      </c>
    </row>
    <row r="983" spans="1:11" x14ac:dyDescent="0.35">
      <c r="A983" s="1" t="s">
        <v>2368</v>
      </c>
      <c r="B983" s="1" t="s">
        <v>2500</v>
      </c>
      <c r="C983" s="1" t="s">
        <v>2513</v>
      </c>
      <c r="D983" s="1" t="str">
        <f>"8465"</f>
        <v>8465</v>
      </c>
      <c r="E983" s="1" t="str">
        <f>"015851512"</f>
        <v>015851512</v>
      </c>
      <c r="F983" s="1" t="s">
        <v>1645</v>
      </c>
      <c r="G983" s="1" t="s">
        <v>257</v>
      </c>
      <c r="H983" s="1" t="str">
        <f>"2"</f>
        <v>2</v>
      </c>
      <c r="I983" s="3">
        <v>115.92</v>
      </c>
      <c r="J983" s="4">
        <v>46029</v>
      </c>
      <c r="K983" s="1" t="s">
        <v>2514</v>
      </c>
    </row>
    <row r="984" spans="1:11" x14ac:dyDescent="0.35">
      <c r="A984" s="1" t="s">
        <v>2368</v>
      </c>
      <c r="B984" s="1" t="s">
        <v>2500</v>
      </c>
      <c r="C984" s="1" t="s">
        <v>2515</v>
      </c>
      <c r="D984" s="1" t="str">
        <f>"8465"</f>
        <v>8465</v>
      </c>
      <c r="E984" s="1" t="str">
        <f>"015800481"</f>
        <v>015800481</v>
      </c>
      <c r="F984" s="1" t="s">
        <v>2516</v>
      </c>
      <c r="G984" s="1" t="s">
        <v>257</v>
      </c>
      <c r="H984" s="1" t="str">
        <f>"2"</f>
        <v>2</v>
      </c>
      <c r="I984" s="3">
        <v>295.23</v>
      </c>
      <c r="J984" s="4">
        <v>46029</v>
      </c>
      <c r="K984" s="1" t="s">
        <v>2514</v>
      </c>
    </row>
    <row r="985" spans="1:11" x14ac:dyDescent="0.35">
      <c r="A985" s="1" t="s">
        <v>2368</v>
      </c>
      <c r="B985" s="1" t="s">
        <v>2500</v>
      </c>
      <c r="C985" s="1" t="s">
        <v>2517</v>
      </c>
      <c r="D985" s="1" t="str">
        <f>"8465"</f>
        <v>8465</v>
      </c>
      <c r="E985" s="1" t="str">
        <f>"016416353"</f>
        <v>016416353</v>
      </c>
      <c r="F985" s="1" t="s">
        <v>2518</v>
      </c>
      <c r="G985" s="1" t="s">
        <v>257</v>
      </c>
      <c r="H985" s="1" t="str">
        <f>"1"</f>
        <v>1</v>
      </c>
      <c r="I985" s="3">
        <v>236.32</v>
      </c>
      <c r="J985" s="4">
        <v>46029</v>
      </c>
      <c r="K985" s="1" t="s">
        <v>2514</v>
      </c>
    </row>
    <row r="986" spans="1:11" x14ac:dyDescent="0.35">
      <c r="A986" s="1" t="s">
        <v>2368</v>
      </c>
      <c r="B986" s="1" t="s">
        <v>2500</v>
      </c>
      <c r="C986" s="1" t="s">
        <v>2519</v>
      </c>
      <c r="D986" s="1" t="str">
        <f>"8465"</f>
        <v>8465</v>
      </c>
      <c r="E986" s="1" t="str">
        <f>"015851512"</f>
        <v>015851512</v>
      </c>
      <c r="F986" s="1" t="s">
        <v>1645</v>
      </c>
      <c r="G986" s="1" t="s">
        <v>257</v>
      </c>
      <c r="H986" s="1" t="str">
        <f>"4"</f>
        <v>4</v>
      </c>
      <c r="I986" s="3">
        <v>115.92</v>
      </c>
      <c r="J986" s="4">
        <v>46029</v>
      </c>
      <c r="K986" s="1" t="s">
        <v>2514</v>
      </c>
    </row>
    <row r="987" spans="1:11" x14ac:dyDescent="0.35">
      <c r="A987" s="1" t="s">
        <v>2368</v>
      </c>
      <c r="B987" s="1" t="s">
        <v>2533</v>
      </c>
      <c r="C987" s="1" t="s">
        <v>2534</v>
      </c>
      <c r="D987" s="1" t="str">
        <f>"2320"</f>
        <v>2320</v>
      </c>
      <c r="E987" s="1" t="s">
        <v>100</v>
      </c>
      <c r="F987" s="1" t="s">
        <v>101</v>
      </c>
      <c r="G987" s="1" t="s">
        <v>15</v>
      </c>
      <c r="H987" s="1" t="str">
        <f>"1"</f>
        <v>1</v>
      </c>
      <c r="I987" s="3" t="str">
        <f>"195440"</f>
        <v>195440</v>
      </c>
      <c r="J987" s="4">
        <v>46029</v>
      </c>
      <c r="K987" s="1" t="s">
        <v>2535</v>
      </c>
    </row>
    <row r="988" spans="1:11" x14ac:dyDescent="0.35">
      <c r="A988" s="1" t="s">
        <v>2368</v>
      </c>
      <c r="B988" s="1" t="s">
        <v>2533</v>
      </c>
      <c r="C988" s="1" t="s">
        <v>2542</v>
      </c>
      <c r="D988" s="1" t="str">
        <f>"3825"</f>
        <v>3825</v>
      </c>
      <c r="E988" s="1" t="str">
        <f>"011362920"</f>
        <v>011362920</v>
      </c>
      <c r="F988" s="1" t="s">
        <v>2543</v>
      </c>
      <c r="G988" s="1" t="s">
        <v>15</v>
      </c>
      <c r="H988" s="1" t="str">
        <f>"1"</f>
        <v>1</v>
      </c>
      <c r="I988" s="3">
        <v>70182.59</v>
      </c>
      <c r="J988" s="4">
        <v>46029</v>
      </c>
      <c r="K988" s="1" t="s">
        <v>2544</v>
      </c>
    </row>
    <row r="989" spans="1:11" x14ac:dyDescent="0.35">
      <c r="A989" s="1" t="s">
        <v>2368</v>
      </c>
      <c r="B989" s="1" t="s">
        <v>2533</v>
      </c>
      <c r="C989" s="1" t="s">
        <v>2547</v>
      </c>
      <c r="D989" s="1" t="str">
        <f>"3930"</f>
        <v>3930</v>
      </c>
      <c r="E989" s="1" t="s">
        <v>2548</v>
      </c>
      <c r="F989" s="1" t="s">
        <v>2549</v>
      </c>
      <c r="G989" s="1" t="s">
        <v>15</v>
      </c>
      <c r="H989" s="1" t="str">
        <f>"1"</f>
        <v>1</v>
      </c>
      <c r="I989" s="3" t="str">
        <f>"33750"</f>
        <v>33750</v>
      </c>
      <c r="J989" s="4">
        <v>46029</v>
      </c>
      <c r="K989" s="1" t="s">
        <v>2550</v>
      </c>
    </row>
    <row r="990" spans="1:11" x14ac:dyDescent="0.35">
      <c r="A990" s="1" t="s">
        <v>2368</v>
      </c>
      <c r="B990" s="1" t="s">
        <v>2533</v>
      </c>
      <c r="C990" s="1" t="s">
        <v>2560</v>
      </c>
      <c r="D990" s="1" t="str">
        <f>"5140"</f>
        <v>5140</v>
      </c>
      <c r="E990" s="1" t="s">
        <v>364</v>
      </c>
      <c r="F990" s="1" t="s">
        <v>365</v>
      </c>
      <c r="G990" s="1" t="s">
        <v>15</v>
      </c>
      <c r="H990" s="1" t="str">
        <f>"4"</f>
        <v>4</v>
      </c>
      <c r="I990" s="3">
        <v>11877.74</v>
      </c>
      <c r="J990" s="4">
        <v>46029</v>
      </c>
      <c r="K990" s="1" t="s">
        <v>2561</v>
      </c>
    </row>
    <row r="991" spans="1:11" x14ac:dyDescent="0.35">
      <c r="A991" s="1" t="s">
        <v>2368</v>
      </c>
      <c r="B991" s="1" t="s">
        <v>2533</v>
      </c>
      <c r="C991" s="1" t="s">
        <v>2562</v>
      </c>
      <c r="D991" s="1" t="str">
        <f>"7110"</f>
        <v>7110</v>
      </c>
      <c r="E991" s="1" t="s">
        <v>1331</v>
      </c>
      <c r="F991" s="1" t="s">
        <v>1332</v>
      </c>
      <c r="G991" s="1" t="s">
        <v>15</v>
      </c>
      <c r="H991" s="1" t="str">
        <f>"20"</f>
        <v>20</v>
      </c>
      <c r="I991" s="3" t="str">
        <f>"50"</f>
        <v>50</v>
      </c>
      <c r="J991" s="4">
        <v>46029</v>
      </c>
      <c r="K991" s="1" t="s">
        <v>2563</v>
      </c>
    </row>
    <row r="992" spans="1:11" x14ac:dyDescent="0.35">
      <c r="A992" s="1" t="s">
        <v>2368</v>
      </c>
      <c r="B992" s="1" t="s">
        <v>2568</v>
      </c>
      <c r="C992" s="1" t="s">
        <v>2569</v>
      </c>
      <c r="D992" s="1" t="str">
        <f>"2320"</f>
        <v>2320</v>
      </c>
      <c r="E992" s="1" t="str">
        <f>"014436878"</f>
        <v>014436878</v>
      </c>
      <c r="F992" s="1" t="s">
        <v>2570</v>
      </c>
      <c r="G992" s="1" t="s">
        <v>15</v>
      </c>
      <c r="H992" s="1" t="str">
        <f>"1"</f>
        <v>1</v>
      </c>
      <c r="I992" s="3" t="str">
        <f>"24447"</f>
        <v>24447</v>
      </c>
      <c r="J992" s="4">
        <v>46029</v>
      </c>
      <c r="K992" s="1" t="s">
        <v>2571</v>
      </c>
    </row>
    <row r="993" spans="1:11" x14ac:dyDescent="0.35">
      <c r="A993" s="1" t="s">
        <v>2368</v>
      </c>
      <c r="B993" s="1" t="s">
        <v>2369</v>
      </c>
      <c r="C993" s="1" t="s">
        <v>2370</v>
      </c>
      <c r="D993" s="1" t="str">
        <f t="shared" ref="D993:D1030" si="43">"8415"</f>
        <v>8415</v>
      </c>
      <c r="E993" s="1" t="str">
        <f>"012281320"</f>
        <v>012281320</v>
      </c>
      <c r="F993" s="1" t="s">
        <v>781</v>
      </c>
      <c r="G993" s="1" t="s">
        <v>15</v>
      </c>
      <c r="H993" s="1" t="str">
        <f>"1"</f>
        <v>1</v>
      </c>
      <c r="I993" s="3">
        <v>155.33000000000001</v>
      </c>
      <c r="J993" s="4">
        <v>46030</v>
      </c>
      <c r="K993" s="1" t="s">
        <v>2371</v>
      </c>
    </row>
    <row r="994" spans="1:11" x14ac:dyDescent="0.35">
      <c r="A994" s="1" t="s">
        <v>2368</v>
      </c>
      <c r="B994" s="1" t="s">
        <v>2369</v>
      </c>
      <c r="C994" s="1" t="s">
        <v>2372</v>
      </c>
      <c r="D994" s="1" t="str">
        <f t="shared" si="43"/>
        <v>8415</v>
      </c>
      <c r="E994" s="1" t="str">
        <f>"007822888"</f>
        <v>007822888</v>
      </c>
      <c r="F994" s="1" t="s">
        <v>2373</v>
      </c>
      <c r="G994" s="1" t="s">
        <v>15</v>
      </c>
      <c r="H994" s="1" t="str">
        <f>"1"</f>
        <v>1</v>
      </c>
      <c r="I994" s="3">
        <v>20.87</v>
      </c>
      <c r="J994" s="4">
        <v>46030</v>
      </c>
      <c r="K994" s="1" t="s">
        <v>2371</v>
      </c>
    </row>
    <row r="995" spans="1:11" x14ac:dyDescent="0.35">
      <c r="A995" s="1" t="s">
        <v>2368</v>
      </c>
      <c r="B995" s="1" t="s">
        <v>2369</v>
      </c>
      <c r="C995" s="1" t="s">
        <v>2374</v>
      </c>
      <c r="D995" s="1" t="str">
        <f t="shared" si="43"/>
        <v>8415</v>
      </c>
      <c r="E995" s="1" t="s">
        <v>2375</v>
      </c>
      <c r="F995" s="1" t="s">
        <v>2376</v>
      </c>
      <c r="G995" s="1" t="s">
        <v>15</v>
      </c>
      <c r="H995" s="1" t="str">
        <f>"1"</f>
        <v>1</v>
      </c>
      <c r="I995" s="3">
        <v>27.41</v>
      </c>
      <c r="J995" s="4">
        <v>46030</v>
      </c>
      <c r="K995" s="1" t="s">
        <v>2371</v>
      </c>
    </row>
    <row r="996" spans="1:11" x14ac:dyDescent="0.35">
      <c r="A996" s="1" t="s">
        <v>2368</v>
      </c>
      <c r="B996" s="1" t="s">
        <v>2369</v>
      </c>
      <c r="C996" s="1" t="s">
        <v>2377</v>
      </c>
      <c r="D996" s="1" t="str">
        <f t="shared" si="43"/>
        <v>8415</v>
      </c>
      <c r="E996" s="1" t="s">
        <v>2378</v>
      </c>
      <c r="F996" s="1" t="s">
        <v>2376</v>
      </c>
      <c r="G996" s="1" t="s">
        <v>47</v>
      </c>
      <c r="H996" s="1" t="str">
        <f>"2"</f>
        <v>2</v>
      </c>
      <c r="I996" s="3" t="str">
        <f>"16"</f>
        <v>16</v>
      </c>
      <c r="J996" s="4">
        <v>46030</v>
      </c>
      <c r="K996" s="1" t="s">
        <v>2371</v>
      </c>
    </row>
    <row r="997" spans="1:11" x14ac:dyDescent="0.35">
      <c r="A997" s="1" t="s">
        <v>2368</v>
      </c>
      <c r="B997" s="1" t="s">
        <v>2369</v>
      </c>
      <c r="C997" s="1" t="s">
        <v>2379</v>
      </c>
      <c r="D997" s="1" t="str">
        <f t="shared" si="43"/>
        <v>8415</v>
      </c>
      <c r="E997" s="1" t="s">
        <v>2378</v>
      </c>
      <c r="F997" s="1" t="s">
        <v>2376</v>
      </c>
      <c r="G997" s="1" t="s">
        <v>47</v>
      </c>
      <c r="H997" s="1" t="str">
        <f>"2"</f>
        <v>2</v>
      </c>
      <c r="I997" s="3">
        <v>166.17</v>
      </c>
      <c r="J997" s="4">
        <v>46030</v>
      </c>
      <c r="K997" s="1" t="s">
        <v>2371</v>
      </c>
    </row>
    <row r="998" spans="1:11" x14ac:dyDescent="0.35">
      <c r="A998" s="1" t="s">
        <v>2368</v>
      </c>
      <c r="B998" s="1" t="s">
        <v>2369</v>
      </c>
      <c r="C998" s="1" t="s">
        <v>2380</v>
      </c>
      <c r="D998" s="1" t="str">
        <f t="shared" si="43"/>
        <v>8415</v>
      </c>
      <c r="E998" s="1" t="str">
        <f>"015386752"</f>
        <v>015386752</v>
      </c>
      <c r="F998" s="1" t="s">
        <v>761</v>
      </c>
      <c r="G998" s="1" t="s">
        <v>15</v>
      </c>
      <c r="H998" s="1" t="str">
        <f>"1"</f>
        <v>1</v>
      </c>
      <c r="I998" s="3">
        <v>63.88</v>
      </c>
      <c r="J998" s="4">
        <v>46030</v>
      </c>
      <c r="K998" s="1" t="s">
        <v>2371</v>
      </c>
    </row>
    <row r="999" spans="1:11" x14ac:dyDescent="0.35">
      <c r="A999" s="1" t="s">
        <v>2368</v>
      </c>
      <c r="B999" s="1" t="s">
        <v>2369</v>
      </c>
      <c r="C999" s="1" t="s">
        <v>2381</v>
      </c>
      <c r="D999" s="1" t="str">
        <f t="shared" si="43"/>
        <v>8415</v>
      </c>
      <c r="E999" s="1" t="str">
        <f>"015466721"</f>
        <v>015466721</v>
      </c>
      <c r="F999" s="1" t="s">
        <v>761</v>
      </c>
      <c r="G999" s="1" t="s">
        <v>15</v>
      </c>
      <c r="H999" s="1" t="str">
        <f>"1"</f>
        <v>1</v>
      </c>
      <c r="I999" s="3">
        <v>63.88</v>
      </c>
      <c r="J999" s="4">
        <v>46030</v>
      </c>
      <c r="K999" s="1" t="s">
        <v>2371</v>
      </c>
    </row>
    <row r="1000" spans="1:11" x14ac:dyDescent="0.35">
      <c r="A1000" s="1" t="s">
        <v>2368</v>
      </c>
      <c r="B1000" s="1" t="s">
        <v>2369</v>
      </c>
      <c r="C1000" s="1" t="s">
        <v>2382</v>
      </c>
      <c r="D1000" s="1" t="str">
        <f t="shared" si="43"/>
        <v>8415</v>
      </c>
      <c r="E1000" s="1" t="str">
        <f>"015386768"</f>
        <v>015386768</v>
      </c>
      <c r="F1000" s="1" t="s">
        <v>761</v>
      </c>
      <c r="G1000" s="1" t="s">
        <v>15</v>
      </c>
      <c r="H1000" s="1" t="str">
        <f>"1"</f>
        <v>1</v>
      </c>
      <c r="I1000" s="3">
        <v>63.88</v>
      </c>
      <c r="J1000" s="4">
        <v>46030</v>
      </c>
      <c r="K1000" s="1" t="s">
        <v>2371</v>
      </c>
    </row>
    <row r="1001" spans="1:11" x14ac:dyDescent="0.35">
      <c r="A1001" s="1" t="s">
        <v>2368</v>
      </c>
      <c r="B1001" s="1" t="s">
        <v>2369</v>
      </c>
      <c r="C1001" s="1" t="s">
        <v>2383</v>
      </c>
      <c r="D1001" s="1" t="str">
        <f t="shared" si="43"/>
        <v>8415</v>
      </c>
      <c r="E1001" s="1" t="str">
        <f>"015386747"</f>
        <v>015386747</v>
      </c>
      <c r="F1001" s="1" t="s">
        <v>761</v>
      </c>
      <c r="G1001" s="1" t="s">
        <v>15</v>
      </c>
      <c r="H1001" s="1" t="str">
        <f>"5"</f>
        <v>5</v>
      </c>
      <c r="I1001" s="3">
        <v>63.88</v>
      </c>
      <c r="J1001" s="4">
        <v>46030</v>
      </c>
      <c r="K1001" s="1" t="s">
        <v>2371</v>
      </c>
    </row>
    <row r="1002" spans="1:11" x14ac:dyDescent="0.35">
      <c r="A1002" s="1" t="s">
        <v>2368</v>
      </c>
      <c r="B1002" s="1" t="s">
        <v>2369</v>
      </c>
      <c r="C1002" s="1" t="s">
        <v>2384</v>
      </c>
      <c r="D1002" s="1" t="str">
        <f t="shared" si="43"/>
        <v>8415</v>
      </c>
      <c r="E1002" s="1" t="str">
        <f>"015386739"</f>
        <v>015386739</v>
      </c>
      <c r="F1002" s="1" t="s">
        <v>761</v>
      </c>
      <c r="G1002" s="1" t="s">
        <v>15</v>
      </c>
      <c r="H1002" s="1" t="str">
        <f>"4"</f>
        <v>4</v>
      </c>
      <c r="I1002" s="3">
        <v>70.05</v>
      </c>
      <c r="J1002" s="4">
        <v>46030</v>
      </c>
      <c r="K1002" s="1" t="s">
        <v>2371</v>
      </c>
    </row>
    <row r="1003" spans="1:11" x14ac:dyDescent="0.35">
      <c r="A1003" s="1" t="s">
        <v>2368</v>
      </c>
      <c r="B1003" s="1" t="s">
        <v>2369</v>
      </c>
      <c r="C1003" s="1" t="s">
        <v>2385</v>
      </c>
      <c r="D1003" s="1" t="str">
        <f t="shared" si="43"/>
        <v>8415</v>
      </c>
      <c r="E1003" s="1" t="str">
        <f>"015386739"</f>
        <v>015386739</v>
      </c>
      <c r="F1003" s="1" t="s">
        <v>761</v>
      </c>
      <c r="G1003" s="1" t="s">
        <v>15</v>
      </c>
      <c r="H1003" s="1" t="str">
        <f t="shared" ref="H1003:H1018" si="44">"1"</f>
        <v>1</v>
      </c>
      <c r="I1003" s="3">
        <v>70.05</v>
      </c>
      <c r="J1003" s="4">
        <v>46030</v>
      </c>
      <c r="K1003" s="1" t="s">
        <v>2371</v>
      </c>
    </row>
    <row r="1004" spans="1:11" x14ac:dyDescent="0.35">
      <c r="A1004" s="1" t="s">
        <v>2368</v>
      </c>
      <c r="B1004" s="1" t="s">
        <v>2369</v>
      </c>
      <c r="C1004" s="1" t="s">
        <v>2386</v>
      </c>
      <c r="D1004" s="1" t="str">
        <f t="shared" si="43"/>
        <v>8415</v>
      </c>
      <c r="E1004" s="1" t="str">
        <f>"015386754"</f>
        <v>015386754</v>
      </c>
      <c r="F1004" s="1" t="s">
        <v>761</v>
      </c>
      <c r="G1004" s="1" t="s">
        <v>15</v>
      </c>
      <c r="H1004" s="1" t="str">
        <f t="shared" si="44"/>
        <v>1</v>
      </c>
      <c r="I1004" s="3">
        <v>63.88</v>
      </c>
      <c r="J1004" s="4">
        <v>46030</v>
      </c>
      <c r="K1004" s="1" t="s">
        <v>2371</v>
      </c>
    </row>
    <row r="1005" spans="1:11" x14ac:dyDescent="0.35">
      <c r="A1005" s="1" t="s">
        <v>2368</v>
      </c>
      <c r="B1005" s="1" t="s">
        <v>2369</v>
      </c>
      <c r="C1005" s="1" t="s">
        <v>2387</v>
      </c>
      <c r="D1005" s="1" t="str">
        <f t="shared" si="43"/>
        <v>8415</v>
      </c>
      <c r="E1005" s="1" t="str">
        <f>"016423704"</f>
        <v>016423704</v>
      </c>
      <c r="F1005" s="1" t="s">
        <v>822</v>
      </c>
      <c r="G1005" s="1" t="s">
        <v>15</v>
      </c>
      <c r="H1005" s="1" t="str">
        <f t="shared" si="44"/>
        <v>1</v>
      </c>
      <c r="I1005" s="3">
        <v>228.78</v>
      </c>
      <c r="J1005" s="4">
        <v>46030</v>
      </c>
      <c r="K1005" s="1" t="s">
        <v>2371</v>
      </c>
    </row>
    <row r="1006" spans="1:11" x14ac:dyDescent="0.35">
      <c r="A1006" s="1" t="s">
        <v>2368</v>
      </c>
      <c r="B1006" s="1" t="s">
        <v>2369</v>
      </c>
      <c r="C1006" s="1" t="s">
        <v>2388</v>
      </c>
      <c r="D1006" s="1" t="str">
        <f t="shared" si="43"/>
        <v>8415</v>
      </c>
      <c r="E1006" s="1" t="str">
        <f>"016423720"</f>
        <v>016423720</v>
      </c>
      <c r="F1006" s="1" t="s">
        <v>822</v>
      </c>
      <c r="G1006" s="1" t="s">
        <v>15</v>
      </c>
      <c r="H1006" s="1" t="str">
        <f t="shared" si="44"/>
        <v>1</v>
      </c>
      <c r="I1006" s="3">
        <v>228.78</v>
      </c>
      <c r="J1006" s="4">
        <v>46030</v>
      </c>
      <c r="K1006" s="1" t="s">
        <v>2371</v>
      </c>
    </row>
    <row r="1007" spans="1:11" x14ac:dyDescent="0.35">
      <c r="A1007" s="1" t="s">
        <v>2368</v>
      </c>
      <c r="B1007" s="1" t="s">
        <v>2369</v>
      </c>
      <c r="C1007" s="1" t="s">
        <v>2389</v>
      </c>
      <c r="D1007" s="1" t="str">
        <f t="shared" si="43"/>
        <v>8415</v>
      </c>
      <c r="E1007" s="1" t="str">
        <f>"014618337"</f>
        <v>014618337</v>
      </c>
      <c r="F1007" s="1" t="s">
        <v>822</v>
      </c>
      <c r="G1007" s="1" t="s">
        <v>15</v>
      </c>
      <c r="H1007" s="1" t="str">
        <f t="shared" si="44"/>
        <v>1</v>
      </c>
      <c r="I1007" s="3">
        <v>58.54</v>
      </c>
      <c r="J1007" s="4">
        <v>46030</v>
      </c>
      <c r="K1007" s="1" t="s">
        <v>2371</v>
      </c>
    </row>
    <row r="1008" spans="1:11" x14ac:dyDescent="0.35">
      <c r="A1008" s="1" t="s">
        <v>2368</v>
      </c>
      <c r="B1008" s="1" t="s">
        <v>2369</v>
      </c>
      <c r="C1008" s="1" t="s">
        <v>2390</v>
      </c>
      <c r="D1008" s="1" t="str">
        <f t="shared" si="43"/>
        <v>8415</v>
      </c>
      <c r="E1008" s="1" t="str">
        <f>"014618341"</f>
        <v>014618341</v>
      </c>
      <c r="F1008" s="1" t="s">
        <v>822</v>
      </c>
      <c r="G1008" s="1" t="s">
        <v>15</v>
      </c>
      <c r="H1008" s="1" t="str">
        <f t="shared" si="44"/>
        <v>1</v>
      </c>
      <c r="I1008" s="3">
        <v>58.54</v>
      </c>
      <c r="J1008" s="4">
        <v>46030</v>
      </c>
      <c r="K1008" s="1" t="s">
        <v>2371</v>
      </c>
    </row>
    <row r="1009" spans="1:11" x14ac:dyDescent="0.35">
      <c r="A1009" s="1" t="s">
        <v>2368</v>
      </c>
      <c r="B1009" s="1" t="s">
        <v>2369</v>
      </c>
      <c r="C1009" s="1" t="s">
        <v>2391</v>
      </c>
      <c r="D1009" s="1" t="str">
        <f t="shared" si="43"/>
        <v>8415</v>
      </c>
      <c r="E1009" s="1" t="str">
        <f>"015801341"</f>
        <v>015801341</v>
      </c>
      <c r="F1009" s="1" t="s">
        <v>761</v>
      </c>
      <c r="G1009" s="1" t="s">
        <v>15</v>
      </c>
      <c r="H1009" s="1" t="str">
        <f t="shared" si="44"/>
        <v>1</v>
      </c>
      <c r="I1009" s="3">
        <v>80.94</v>
      </c>
      <c r="J1009" s="4">
        <v>46030</v>
      </c>
      <c r="K1009" s="1" t="s">
        <v>2371</v>
      </c>
    </row>
    <row r="1010" spans="1:11" x14ac:dyDescent="0.35">
      <c r="A1010" s="1" t="s">
        <v>2368</v>
      </c>
      <c r="B1010" s="1" t="s">
        <v>2369</v>
      </c>
      <c r="C1010" s="1" t="s">
        <v>2392</v>
      </c>
      <c r="D1010" s="1" t="str">
        <f t="shared" si="43"/>
        <v>8415</v>
      </c>
      <c r="E1010" s="1" t="str">
        <f>"014618356"</f>
        <v>014618356</v>
      </c>
      <c r="F1010" s="1" t="s">
        <v>822</v>
      </c>
      <c r="G1010" s="1" t="s">
        <v>15</v>
      </c>
      <c r="H1010" s="1" t="str">
        <f t="shared" si="44"/>
        <v>1</v>
      </c>
      <c r="I1010" s="3">
        <v>60.2</v>
      </c>
      <c r="J1010" s="4">
        <v>46030</v>
      </c>
      <c r="K1010" s="1" t="s">
        <v>2371</v>
      </c>
    </row>
    <row r="1011" spans="1:11" x14ac:dyDescent="0.35">
      <c r="A1011" s="1" t="s">
        <v>2368</v>
      </c>
      <c r="B1011" s="1" t="s">
        <v>2369</v>
      </c>
      <c r="C1011" s="1" t="s">
        <v>2393</v>
      </c>
      <c r="D1011" s="1" t="str">
        <f t="shared" si="43"/>
        <v>8415</v>
      </c>
      <c r="E1011" s="1" t="str">
        <f>"015269185"</f>
        <v>015269185</v>
      </c>
      <c r="F1011" s="1" t="s">
        <v>781</v>
      </c>
      <c r="G1011" s="1" t="s">
        <v>15</v>
      </c>
      <c r="H1011" s="1" t="str">
        <f t="shared" si="44"/>
        <v>1</v>
      </c>
      <c r="I1011" s="3">
        <v>171.72</v>
      </c>
      <c r="J1011" s="4">
        <v>46030</v>
      </c>
      <c r="K1011" s="1" t="s">
        <v>2371</v>
      </c>
    </row>
    <row r="1012" spans="1:11" x14ac:dyDescent="0.35">
      <c r="A1012" s="1" t="s">
        <v>2368</v>
      </c>
      <c r="B1012" s="1" t="s">
        <v>2369</v>
      </c>
      <c r="C1012" s="1" t="s">
        <v>2394</v>
      </c>
      <c r="D1012" s="1" t="str">
        <f t="shared" si="43"/>
        <v>8415</v>
      </c>
      <c r="E1012" s="1" t="str">
        <f>"015269187"</f>
        <v>015269187</v>
      </c>
      <c r="F1012" s="1" t="s">
        <v>781</v>
      </c>
      <c r="G1012" s="1" t="s">
        <v>15</v>
      </c>
      <c r="H1012" s="1" t="str">
        <f t="shared" si="44"/>
        <v>1</v>
      </c>
      <c r="I1012" s="3">
        <v>171.72</v>
      </c>
      <c r="J1012" s="4">
        <v>46030</v>
      </c>
      <c r="K1012" s="1" t="s">
        <v>2371</v>
      </c>
    </row>
    <row r="1013" spans="1:11" x14ac:dyDescent="0.35">
      <c r="A1013" s="1" t="s">
        <v>2368</v>
      </c>
      <c r="B1013" s="1" t="s">
        <v>2369</v>
      </c>
      <c r="C1013" s="1" t="s">
        <v>2395</v>
      </c>
      <c r="D1013" s="1" t="str">
        <f t="shared" si="43"/>
        <v>8415</v>
      </c>
      <c r="E1013" s="1" t="str">
        <f>"015269176"</f>
        <v>015269176</v>
      </c>
      <c r="F1013" s="1" t="s">
        <v>781</v>
      </c>
      <c r="G1013" s="1" t="s">
        <v>15</v>
      </c>
      <c r="H1013" s="1" t="str">
        <f t="shared" si="44"/>
        <v>1</v>
      </c>
      <c r="I1013" s="3">
        <v>171.72</v>
      </c>
      <c r="J1013" s="4">
        <v>46030</v>
      </c>
      <c r="K1013" s="1" t="s">
        <v>2371</v>
      </c>
    </row>
    <row r="1014" spans="1:11" x14ac:dyDescent="0.35">
      <c r="A1014" s="1" t="s">
        <v>2368</v>
      </c>
      <c r="B1014" s="1" t="s">
        <v>2369</v>
      </c>
      <c r="C1014" s="1" t="s">
        <v>2396</v>
      </c>
      <c r="D1014" s="1" t="str">
        <f t="shared" si="43"/>
        <v>8415</v>
      </c>
      <c r="E1014" s="1" t="str">
        <f>"015269181"</f>
        <v>015269181</v>
      </c>
      <c r="F1014" s="1" t="s">
        <v>781</v>
      </c>
      <c r="G1014" s="1" t="s">
        <v>15</v>
      </c>
      <c r="H1014" s="1" t="str">
        <f t="shared" si="44"/>
        <v>1</v>
      </c>
      <c r="I1014" s="3">
        <v>171.72</v>
      </c>
      <c r="J1014" s="4">
        <v>46030</v>
      </c>
      <c r="K1014" s="1" t="s">
        <v>2371</v>
      </c>
    </row>
    <row r="1015" spans="1:11" x14ac:dyDescent="0.35">
      <c r="A1015" s="1" t="s">
        <v>2368</v>
      </c>
      <c r="B1015" s="1" t="s">
        <v>2369</v>
      </c>
      <c r="C1015" s="1" t="s">
        <v>2397</v>
      </c>
      <c r="D1015" s="1" t="str">
        <f t="shared" si="43"/>
        <v>8415</v>
      </c>
      <c r="E1015" s="1" t="str">
        <f>"015269176"</f>
        <v>015269176</v>
      </c>
      <c r="F1015" s="1" t="s">
        <v>781</v>
      </c>
      <c r="G1015" s="1" t="s">
        <v>15</v>
      </c>
      <c r="H1015" s="1" t="str">
        <f t="shared" si="44"/>
        <v>1</v>
      </c>
      <c r="I1015" s="3">
        <v>171.72</v>
      </c>
      <c r="J1015" s="4">
        <v>46030</v>
      </c>
      <c r="K1015" s="1" t="s">
        <v>2371</v>
      </c>
    </row>
    <row r="1016" spans="1:11" x14ac:dyDescent="0.35">
      <c r="A1016" s="1" t="s">
        <v>2368</v>
      </c>
      <c r="B1016" s="1" t="s">
        <v>2369</v>
      </c>
      <c r="C1016" s="1" t="s">
        <v>2398</v>
      </c>
      <c r="D1016" s="1" t="str">
        <f t="shared" si="43"/>
        <v>8415</v>
      </c>
      <c r="E1016" s="1" t="str">
        <f>"015269185"</f>
        <v>015269185</v>
      </c>
      <c r="F1016" s="1" t="s">
        <v>781</v>
      </c>
      <c r="G1016" s="1" t="s">
        <v>15</v>
      </c>
      <c r="H1016" s="1" t="str">
        <f t="shared" si="44"/>
        <v>1</v>
      </c>
      <c r="I1016" s="3">
        <v>171.72</v>
      </c>
      <c r="J1016" s="4">
        <v>46030</v>
      </c>
      <c r="K1016" s="1" t="s">
        <v>2371</v>
      </c>
    </row>
    <row r="1017" spans="1:11" x14ac:dyDescent="0.35">
      <c r="A1017" s="1" t="s">
        <v>2368</v>
      </c>
      <c r="B1017" s="1" t="s">
        <v>2369</v>
      </c>
      <c r="C1017" s="1" t="s">
        <v>2399</v>
      </c>
      <c r="D1017" s="1" t="str">
        <f t="shared" si="43"/>
        <v>8415</v>
      </c>
      <c r="E1017" s="1" t="str">
        <f>"015269176"</f>
        <v>015269176</v>
      </c>
      <c r="F1017" s="1" t="s">
        <v>781</v>
      </c>
      <c r="G1017" s="1" t="s">
        <v>15</v>
      </c>
      <c r="H1017" s="1" t="str">
        <f t="shared" si="44"/>
        <v>1</v>
      </c>
      <c r="I1017" s="3">
        <v>171.72</v>
      </c>
      <c r="J1017" s="4">
        <v>46030</v>
      </c>
      <c r="K1017" s="1" t="s">
        <v>2371</v>
      </c>
    </row>
    <row r="1018" spans="1:11" x14ac:dyDescent="0.35">
      <c r="A1018" s="1" t="s">
        <v>2368</v>
      </c>
      <c r="B1018" s="1" t="s">
        <v>2369</v>
      </c>
      <c r="C1018" s="1" t="s">
        <v>2400</v>
      </c>
      <c r="D1018" s="1" t="str">
        <f t="shared" si="43"/>
        <v>8415</v>
      </c>
      <c r="E1018" s="1" t="str">
        <f>"015386289"</f>
        <v>015386289</v>
      </c>
      <c r="F1018" s="1" t="s">
        <v>2097</v>
      </c>
      <c r="G1018" s="1" t="s">
        <v>15</v>
      </c>
      <c r="H1018" s="1" t="str">
        <f t="shared" si="44"/>
        <v>1</v>
      </c>
      <c r="I1018" s="3">
        <v>137.97999999999999</v>
      </c>
      <c r="J1018" s="4">
        <v>46030</v>
      </c>
      <c r="K1018" s="1" t="s">
        <v>2371</v>
      </c>
    </row>
    <row r="1019" spans="1:11" x14ac:dyDescent="0.35">
      <c r="A1019" s="1" t="s">
        <v>2368</v>
      </c>
      <c r="B1019" s="1" t="s">
        <v>2369</v>
      </c>
      <c r="C1019" s="1" t="s">
        <v>2401</v>
      </c>
      <c r="D1019" s="1" t="str">
        <f t="shared" si="43"/>
        <v>8415</v>
      </c>
      <c r="E1019" s="1" t="str">
        <f>"015274616"</f>
        <v>015274616</v>
      </c>
      <c r="F1019" s="1" t="s">
        <v>42</v>
      </c>
      <c r="G1019" s="1" t="s">
        <v>15</v>
      </c>
      <c r="H1019" s="1" t="str">
        <f>"40"</f>
        <v>40</v>
      </c>
      <c r="I1019" s="3" t="str">
        <f>"77"</f>
        <v>77</v>
      </c>
      <c r="J1019" s="4">
        <v>46030</v>
      </c>
      <c r="K1019" s="1" t="s">
        <v>2402</v>
      </c>
    </row>
    <row r="1020" spans="1:11" x14ac:dyDescent="0.35">
      <c r="A1020" s="1" t="s">
        <v>2368</v>
      </c>
      <c r="B1020" s="1" t="s">
        <v>2369</v>
      </c>
      <c r="C1020" s="1" t="s">
        <v>2403</v>
      </c>
      <c r="D1020" s="1" t="str">
        <f t="shared" si="43"/>
        <v>8415</v>
      </c>
      <c r="E1020" s="1" t="str">
        <f>"015274616"</f>
        <v>015274616</v>
      </c>
      <c r="F1020" s="1" t="s">
        <v>42</v>
      </c>
      <c r="G1020" s="1" t="s">
        <v>15</v>
      </c>
      <c r="H1020" s="1" t="str">
        <f>"5"</f>
        <v>5</v>
      </c>
      <c r="I1020" s="3" t="str">
        <f>"77"</f>
        <v>77</v>
      </c>
      <c r="J1020" s="4">
        <v>46030</v>
      </c>
      <c r="K1020" s="1" t="s">
        <v>2402</v>
      </c>
    </row>
    <row r="1021" spans="1:11" x14ac:dyDescent="0.35">
      <c r="A1021" s="1" t="s">
        <v>2368</v>
      </c>
      <c r="B1021" s="1" t="s">
        <v>2369</v>
      </c>
      <c r="C1021" s="1" t="s">
        <v>2404</v>
      </c>
      <c r="D1021" s="1" t="str">
        <f t="shared" si="43"/>
        <v>8415</v>
      </c>
      <c r="E1021" s="1" t="str">
        <f>"015734967"</f>
        <v>015734967</v>
      </c>
      <c r="F1021" s="1" t="s">
        <v>2405</v>
      </c>
      <c r="G1021" s="1" t="s">
        <v>15</v>
      </c>
      <c r="H1021" s="1" t="str">
        <f>"1"</f>
        <v>1</v>
      </c>
      <c r="I1021" s="3">
        <v>207.17</v>
      </c>
      <c r="J1021" s="4">
        <v>46030</v>
      </c>
      <c r="K1021" s="1" t="s">
        <v>2371</v>
      </c>
    </row>
    <row r="1022" spans="1:11" x14ac:dyDescent="0.35">
      <c r="A1022" s="1" t="s">
        <v>2368</v>
      </c>
      <c r="B1022" s="1" t="s">
        <v>2369</v>
      </c>
      <c r="C1022" s="1" t="s">
        <v>2406</v>
      </c>
      <c r="D1022" s="1" t="str">
        <f t="shared" si="43"/>
        <v>8415</v>
      </c>
      <c r="E1022" s="1" t="str">
        <f>"015734974"</f>
        <v>015734974</v>
      </c>
      <c r="F1022" s="1" t="s">
        <v>2405</v>
      </c>
      <c r="G1022" s="1" t="s">
        <v>15</v>
      </c>
      <c r="H1022" s="1" t="str">
        <f>"1"</f>
        <v>1</v>
      </c>
      <c r="I1022" s="3">
        <v>207.17</v>
      </c>
      <c r="J1022" s="4">
        <v>46030</v>
      </c>
      <c r="K1022" s="1" t="s">
        <v>2371</v>
      </c>
    </row>
    <row r="1023" spans="1:11" x14ac:dyDescent="0.35">
      <c r="A1023" s="1" t="s">
        <v>2368</v>
      </c>
      <c r="B1023" s="1" t="s">
        <v>2369</v>
      </c>
      <c r="C1023" s="1" t="s">
        <v>2407</v>
      </c>
      <c r="D1023" s="1" t="str">
        <f t="shared" si="43"/>
        <v>8415</v>
      </c>
      <c r="E1023" s="1" t="str">
        <f>"015386752"</f>
        <v>015386752</v>
      </c>
      <c r="F1023" s="1" t="s">
        <v>761</v>
      </c>
      <c r="G1023" s="1" t="s">
        <v>15</v>
      </c>
      <c r="H1023" s="1" t="str">
        <f>"2"</f>
        <v>2</v>
      </c>
      <c r="I1023" s="3">
        <v>63.88</v>
      </c>
      <c r="J1023" s="4">
        <v>46030</v>
      </c>
      <c r="K1023" s="1" t="s">
        <v>2371</v>
      </c>
    </row>
    <row r="1024" spans="1:11" x14ac:dyDescent="0.35">
      <c r="A1024" s="1" t="s">
        <v>2368</v>
      </c>
      <c r="B1024" s="1" t="s">
        <v>2369</v>
      </c>
      <c r="C1024" s="1" t="s">
        <v>2408</v>
      </c>
      <c r="D1024" s="1" t="str">
        <f t="shared" si="43"/>
        <v>8415</v>
      </c>
      <c r="E1024" s="1" t="str">
        <f>"015801341"</f>
        <v>015801341</v>
      </c>
      <c r="F1024" s="1" t="s">
        <v>761</v>
      </c>
      <c r="G1024" s="1" t="s">
        <v>15</v>
      </c>
      <c r="H1024" s="1" t="str">
        <f>"1"</f>
        <v>1</v>
      </c>
      <c r="I1024" s="3">
        <v>80.94</v>
      </c>
      <c r="J1024" s="4">
        <v>46030</v>
      </c>
      <c r="K1024" s="1" t="s">
        <v>2371</v>
      </c>
    </row>
    <row r="1025" spans="1:11" x14ac:dyDescent="0.35">
      <c r="A1025" s="1" t="s">
        <v>2368</v>
      </c>
      <c r="B1025" s="1" t="s">
        <v>2369</v>
      </c>
      <c r="C1025" s="1" t="s">
        <v>2409</v>
      </c>
      <c r="D1025" s="1" t="str">
        <f t="shared" si="43"/>
        <v>8415</v>
      </c>
      <c r="E1025" s="1" t="str">
        <f>"015386742"</f>
        <v>015386742</v>
      </c>
      <c r="F1025" s="1" t="s">
        <v>761</v>
      </c>
      <c r="G1025" s="1" t="s">
        <v>15</v>
      </c>
      <c r="H1025" s="1" t="str">
        <f>"5"</f>
        <v>5</v>
      </c>
      <c r="I1025" s="3">
        <v>63.88</v>
      </c>
      <c r="J1025" s="4">
        <v>46030</v>
      </c>
      <c r="K1025" s="1" t="s">
        <v>2371</v>
      </c>
    </row>
    <row r="1026" spans="1:11" x14ac:dyDescent="0.35">
      <c r="A1026" s="1" t="s">
        <v>2368</v>
      </c>
      <c r="B1026" s="1" t="s">
        <v>2369</v>
      </c>
      <c r="C1026" s="1" t="s">
        <v>2410</v>
      </c>
      <c r="D1026" s="1" t="str">
        <f t="shared" si="43"/>
        <v>8415</v>
      </c>
      <c r="E1026" s="1" t="str">
        <f>"015467444"</f>
        <v>015467444</v>
      </c>
      <c r="F1026" s="1" t="s">
        <v>761</v>
      </c>
      <c r="G1026" s="1" t="s">
        <v>15</v>
      </c>
      <c r="H1026" s="1" t="str">
        <f>"2"</f>
        <v>2</v>
      </c>
      <c r="I1026" s="3">
        <v>65.03</v>
      </c>
      <c r="J1026" s="4">
        <v>46030</v>
      </c>
      <c r="K1026" s="1" t="s">
        <v>2371</v>
      </c>
    </row>
    <row r="1027" spans="1:11" x14ac:dyDescent="0.35">
      <c r="A1027" s="1" t="s">
        <v>2368</v>
      </c>
      <c r="B1027" s="1" t="s">
        <v>2369</v>
      </c>
      <c r="C1027" s="1" t="s">
        <v>2411</v>
      </c>
      <c r="D1027" s="1" t="str">
        <f t="shared" si="43"/>
        <v>8415</v>
      </c>
      <c r="E1027" s="1" t="str">
        <f>"015386747"</f>
        <v>015386747</v>
      </c>
      <c r="F1027" s="1" t="s">
        <v>761</v>
      </c>
      <c r="G1027" s="1" t="s">
        <v>15</v>
      </c>
      <c r="H1027" s="1" t="str">
        <f>"1"</f>
        <v>1</v>
      </c>
      <c r="I1027" s="3">
        <v>63.88</v>
      </c>
      <c r="J1027" s="4">
        <v>46030</v>
      </c>
      <c r="K1027" s="1" t="s">
        <v>2371</v>
      </c>
    </row>
    <row r="1028" spans="1:11" x14ac:dyDescent="0.35">
      <c r="A1028" s="1" t="s">
        <v>2368</v>
      </c>
      <c r="B1028" s="1" t="s">
        <v>2369</v>
      </c>
      <c r="C1028" s="1" t="s">
        <v>2412</v>
      </c>
      <c r="D1028" s="1" t="str">
        <f t="shared" si="43"/>
        <v>8415</v>
      </c>
      <c r="E1028" s="1" t="str">
        <f>"015466712"</f>
        <v>015466712</v>
      </c>
      <c r="F1028" s="1" t="s">
        <v>761</v>
      </c>
      <c r="G1028" s="1" t="s">
        <v>15</v>
      </c>
      <c r="H1028" s="1" t="str">
        <f>"1"</f>
        <v>1</v>
      </c>
      <c r="I1028" s="3">
        <v>63.88</v>
      </c>
      <c r="J1028" s="4">
        <v>46030</v>
      </c>
      <c r="K1028" s="1" t="s">
        <v>2371</v>
      </c>
    </row>
    <row r="1029" spans="1:11" x14ac:dyDescent="0.35">
      <c r="A1029" s="1" t="s">
        <v>2368</v>
      </c>
      <c r="B1029" s="1" t="s">
        <v>2369</v>
      </c>
      <c r="C1029" s="1" t="s">
        <v>2413</v>
      </c>
      <c r="D1029" s="1" t="str">
        <f t="shared" si="43"/>
        <v>8415</v>
      </c>
      <c r="E1029" s="1" t="str">
        <f>"007822887"</f>
        <v>007822887</v>
      </c>
      <c r="F1029" s="1" t="s">
        <v>2373</v>
      </c>
      <c r="G1029" s="1" t="s">
        <v>15</v>
      </c>
      <c r="H1029" s="1" t="str">
        <f>"1"</f>
        <v>1</v>
      </c>
      <c r="I1029" s="3">
        <v>20.87</v>
      </c>
      <c r="J1029" s="4">
        <v>46030</v>
      </c>
      <c r="K1029" s="1" t="s">
        <v>2371</v>
      </c>
    </row>
    <row r="1030" spans="1:11" x14ac:dyDescent="0.35">
      <c r="A1030" s="1" t="s">
        <v>2368</v>
      </c>
      <c r="B1030" s="1" t="s">
        <v>2369</v>
      </c>
      <c r="C1030" s="1" t="s">
        <v>2414</v>
      </c>
      <c r="D1030" s="1" t="str">
        <f t="shared" si="43"/>
        <v>8415</v>
      </c>
      <c r="E1030" s="1" t="s">
        <v>2378</v>
      </c>
      <c r="F1030" s="1" t="s">
        <v>2376</v>
      </c>
      <c r="G1030" s="1" t="s">
        <v>47</v>
      </c>
      <c r="H1030" s="1" t="str">
        <f>"5"</f>
        <v>5</v>
      </c>
      <c r="I1030" s="3">
        <v>166.71</v>
      </c>
      <c r="J1030" s="4">
        <v>46030</v>
      </c>
      <c r="K1030" s="1" t="s">
        <v>2371</v>
      </c>
    </row>
    <row r="1031" spans="1:11" x14ac:dyDescent="0.35">
      <c r="A1031" s="1" t="s">
        <v>2368</v>
      </c>
      <c r="B1031" s="1" t="s">
        <v>2520</v>
      </c>
      <c r="C1031" s="1" t="s">
        <v>2521</v>
      </c>
      <c r="D1031" s="1" t="str">
        <f>"7025"</f>
        <v>7025</v>
      </c>
      <c r="E1031" s="1" t="s">
        <v>2522</v>
      </c>
      <c r="F1031" s="1" t="s">
        <v>2523</v>
      </c>
      <c r="G1031" s="1" t="s">
        <v>15</v>
      </c>
      <c r="H1031" s="1" t="str">
        <f>"1"</f>
        <v>1</v>
      </c>
      <c r="I1031" s="3" t="str">
        <f>"2261"</f>
        <v>2261</v>
      </c>
      <c r="J1031" s="4">
        <v>46037</v>
      </c>
      <c r="K1031" s="1" t="s">
        <v>2524</v>
      </c>
    </row>
    <row r="1032" spans="1:11" x14ac:dyDescent="0.35">
      <c r="A1032" s="1" t="s">
        <v>2368</v>
      </c>
      <c r="B1032" s="1" t="s">
        <v>2520</v>
      </c>
      <c r="C1032" s="1" t="s">
        <v>2525</v>
      </c>
      <c r="D1032" s="1" t="str">
        <f>"8415"</f>
        <v>8415</v>
      </c>
      <c r="E1032" s="1" t="s">
        <v>1952</v>
      </c>
      <c r="F1032" s="1" t="s">
        <v>1953</v>
      </c>
      <c r="G1032" s="1" t="s">
        <v>47</v>
      </c>
      <c r="H1032" s="1" t="str">
        <f>"1"</f>
        <v>1</v>
      </c>
      <c r="I1032" s="3">
        <v>172.15</v>
      </c>
      <c r="J1032" s="4">
        <v>46037</v>
      </c>
      <c r="K1032" s="1" t="s">
        <v>2526</v>
      </c>
    </row>
    <row r="1033" spans="1:11" x14ac:dyDescent="0.35">
      <c r="A1033" s="1" t="s">
        <v>2368</v>
      </c>
      <c r="B1033" s="1" t="s">
        <v>2520</v>
      </c>
      <c r="C1033" s="1" t="s">
        <v>2527</v>
      </c>
      <c r="D1033" s="1" t="str">
        <f>"8415"</f>
        <v>8415</v>
      </c>
      <c r="E1033" s="1" t="s">
        <v>2378</v>
      </c>
      <c r="F1033" s="1" t="s">
        <v>2376</v>
      </c>
      <c r="G1033" s="1" t="s">
        <v>47</v>
      </c>
      <c r="H1033" s="1" t="str">
        <f>"1"</f>
        <v>1</v>
      </c>
      <c r="I1033" s="3">
        <v>166.71</v>
      </c>
      <c r="J1033" s="4">
        <v>46037</v>
      </c>
      <c r="K1033" s="1" t="s">
        <v>2528</v>
      </c>
    </row>
    <row r="1034" spans="1:11" x14ac:dyDescent="0.35">
      <c r="A1034" s="1" t="s">
        <v>2368</v>
      </c>
      <c r="B1034" s="1" t="s">
        <v>2520</v>
      </c>
      <c r="C1034" s="1" t="s">
        <v>2529</v>
      </c>
      <c r="D1034" s="1" t="str">
        <f>"8415"</f>
        <v>8415</v>
      </c>
      <c r="E1034" s="1" t="s">
        <v>1944</v>
      </c>
      <c r="F1034" s="1" t="s">
        <v>1945</v>
      </c>
      <c r="G1034" s="1" t="s">
        <v>15</v>
      </c>
      <c r="H1034" s="1" t="str">
        <f>"1"</f>
        <v>1</v>
      </c>
      <c r="I1034" s="3" t="str">
        <f>"63"</f>
        <v>63</v>
      </c>
      <c r="J1034" s="4">
        <v>46037</v>
      </c>
      <c r="K1034" s="1" t="s">
        <v>2530</v>
      </c>
    </row>
    <row r="1035" spans="1:11" x14ac:dyDescent="0.35">
      <c r="A1035" s="1" t="s">
        <v>2368</v>
      </c>
      <c r="B1035" s="1" t="s">
        <v>2520</v>
      </c>
      <c r="C1035" s="1" t="s">
        <v>2531</v>
      </c>
      <c r="D1035" s="1" t="str">
        <f>"8460"</f>
        <v>8460</v>
      </c>
      <c r="E1035" s="1" t="str">
        <f>"006068366"</f>
        <v>006068366</v>
      </c>
      <c r="F1035" s="1" t="s">
        <v>853</v>
      </c>
      <c r="G1035" s="1" t="s">
        <v>15</v>
      </c>
      <c r="H1035" s="1" t="str">
        <f>"15"</f>
        <v>15</v>
      </c>
      <c r="I1035" s="3">
        <v>41.55</v>
      </c>
      <c r="J1035" s="4">
        <v>46037</v>
      </c>
      <c r="K1035" s="1" t="s">
        <v>2532</v>
      </c>
    </row>
    <row r="1036" spans="1:11" x14ac:dyDescent="0.35">
      <c r="A1036" s="1" t="s">
        <v>2368</v>
      </c>
      <c r="B1036" s="1" t="s">
        <v>2568</v>
      </c>
      <c r="C1036" s="1" t="s">
        <v>2572</v>
      </c>
      <c r="D1036" s="1" t="str">
        <f>"2340"</f>
        <v>2340</v>
      </c>
      <c r="E1036" s="1" t="s">
        <v>1071</v>
      </c>
      <c r="F1036" s="1" t="s">
        <v>1072</v>
      </c>
      <c r="G1036" s="1" t="s">
        <v>15</v>
      </c>
      <c r="H1036" s="1" t="str">
        <f>"3"</f>
        <v>3</v>
      </c>
      <c r="I1036" s="3">
        <v>14813.19</v>
      </c>
      <c r="J1036" s="4">
        <v>46043</v>
      </c>
      <c r="K1036" s="1" t="s">
        <v>2573</v>
      </c>
    </row>
    <row r="1037" spans="1:11" x14ac:dyDescent="0.35">
      <c r="A1037" s="1" t="s">
        <v>2368</v>
      </c>
      <c r="B1037" s="1" t="s">
        <v>2568</v>
      </c>
      <c r="C1037" s="1" t="s">
        <v>2574</v>
      </c>
      <c r="D1037" s="1" t="str">
        <f>"2340"</f>
        <v>2340</v>
      </c>
      <c r="E1037" s="1" t="s">
        <v>1071</v>
      </c>
      <c r="F1037" s="1" t="s">
        <v>1072</v>
      </c>
      <c r="G1037" s="1" t="s">
        <v>15</v>
      </c>
      <c r="H1037" s="1" t="str">
        <f>"2"</f>
        <v>2</v>
      </c>
      <c r="I1037" s="3">
        <v>14813.19</v>
      </c>
      <c r="J1037" s="4">
        <v>46043</v>
      </c>
      <c r="K1037" s="1" t="s">
        <v>2573</v>
      </c>
    </row>
    <row r="1038" spans="1:11" x14ac:dyDescent="0.35">
      <c r="A1038" s="1" t="s">
        <v>2368</v>
      </c>
      <c r="B1038" s="1" t="s">
        <v>2575</v>
      </c>
      <c r="C1038" s="1" t="s">
        <v>2576</v>
      </c>
      <c r="D1038" s="1" t="str">
        <f>"1240"</f>
        <v>1240</v>
      </c>
      <c r="E1038" s="1" t="str">
        <f>"014111265"</f>
        <v>014111265</v>
      </c>
      <c r="F1038" s="1" t="s">
        <v>71</v>
      </c>
      <c r="G1038" s="1" t="s">
        <v>15</v>
      </c>
      <c r="H1038" s="1" t="str">
        <f>"2"</f>
        <v>2</v>
      </c>
      <c r="I1038" s="3" t="str">
        <f>"339"</f>
        <v>339</v>
      </c>
      <c r="J1038" s="4">
        <v>46044</v>
      </c>
      <c r="K1038" s="1" t="s">
        <v>2577</v>
      </c>
    </row>
    <row r="1039" spans="1:11" x14ac:dyDescent="0.35">
      <c r="A1039" s="1" t="s">
        <v>2368</v>
      </c>
      <c r="B1039" s="1" t="s">
        <v>2575</v>
      </c>
      <c r="C1039" s="1" t="s">
        <v>2578</v>
      </c>
      <c r="D1039" s="1" t="str">
        <f>"1240"</f>
        <v>1240</v>
      </c>
      <c r="E1039" s="1" t="str">
        <f>"014111265"</f>
        <v>014111265</v>
      </c>
      <c r="F1039" s="1" t="s">
        <v>71</v>
      </c>
      <c r="G1039" s="1" t="s">
        <v>15</v>
      </c>
      <c r="H1039" s="1" t="str">
        <f>"3"</f>
        <v>3</v>
      </c>
      <c r="I1039" s="3" t="str">
        <f>"339"</f>
        <v>339</v>
      </c>
      <c r="J1039" s="4">
        <v>46044</v>
      </c>
      <c r="K1039" s="1" t="s">
        <v>2577</v>
      </c>
    </row>
    <row r="1040" spans="1:11" x14ac:dyDescent="0.35">
      <c r="A1040" s="1" t="s">
        <v>2368</v>
      </c>
      <c r="B1040" s="1" t="s">
        <v>2575</v>
      </c>
      <c r="C1040" s="1" t="s">
        <v>2598</v>
      </c>
      <c r="D1040" s="1" t="str">
        <f t="shared" ref="D1040:D1052" si="45">"8415"</f>
        <v>8415</v>
      </c>
      <c r="E1040" s="1" t="str">
        <f>"015269184"</f>
        <v>015269184</v>
      </c>
      <c r="F1040" s="1" t="s">
        <v>781</v>
      </c>
      <c r="G1040" s="1" t="s">
        <v>15</v>
      </c>
      <c r="H1040" s="1" t="str">
        <f>"1"</f>
        <v>1</v>
      </c>
      <c r="I1040" s="3">
        <v>171.72</v>
      </c>
      <c r="J1040" s="4">
        <v>46044</v>
      </c>
      <c r="K1040" s="1" t="s">
        <v>2599</v>
      </c>
    </row>
    <row r="1041" spans="1:11" x14ac:dyDescent="0.35">
      <c r="A1041" s="1" t="s">
        <v>2368</v>
      </c>
      <c r="B1041" s="1" t="s">
        <v>2575</v>
      </c>
      <c r="C1041" s="1" t="s">
        <v>2600</v>
      </c>
      <c r="D1041" s="1" t="str">
        <f t="shared" si="45"/>
        <v>8415</v>
      </c>
      <c r="E1041" s="1" t="str">
        <f>"015269184"</f>
        <v>015269184</v>
      </c>
      <c r="F1041" s="1" t="s">
        <v>781</v>
      </c>
      <c r="G1041" s="1" t="s">
        <v>15</v>
      </c>
      <c r="H1041" s="1" t="str">
        <f>"1"</f>
        <v>1</v>
      </c>
      <c r="I1041" s="3">
        <v>171.72</v>
      </c>
      <c r="J1041" s="4">
        <v>46044</v>
      </c>
      <c r="K1041" s="1" t="s">
        <v>2599</v>
      </c>
    </row>
    <row r="1042" spans="1:11" x14ac:dyDescent="0.35">
      <c r="A1042" s="1" t="s">
        <v>2368</v>
      </c>
      <c r="B1042" s="1" t="s">
        <v>2575</v>
      </c>
      <c r="C1042" s="1" t="s">
        <v>2601</v>
      </c>
      <c r="D1042" s="1" t="str">
        <f t="shared" si="45"/>
        <v>8415</v>
      </c>
      <c r="E1042" s="1" t="str">
        <f>"015274616"</f>
        <v>015274616</v>
      </c>
      <c r="F1042" s="1" t="s">
        <v>42</v>
      </c>
      <c r="G1042" s="1" t="s">
        <v>15</v>
      </c>
      <c r="H1042" s="1" t="str">
        <f>"3"</f>
        <v>3</v>
      </c>
      <c r="I1042" s="3" t="str">
        <f>"77"</f>
        <v>77</v>
      </c>
      <c r="J1042" s="4">
        <v>46044</v>
      </c>
      <c r="K1042" s="1" t="s">
        <v>2599</v>
      </c>
    </row>
    <row r="1043" spans="1:11" x14ac:dyDescent="0.35">
      <c r="A1043" s="1" t="s">
        <v>2368</v>
      </c>
      <c r="B1043" s="1" t="s">
        <v>2575</v>
      </c>
      <c r="C1043" s="1" t="s">
        <v>2602</v>
      </c>
      <c r="D1043" s="1" t="str">
        <f t="shared" si="45"/>
        <v>8415</v>
      </c>
      <c r="E1043" s="1" t="str">
        <f>"015274616"</f>
        <v>015274616</v>
      </c>
      <c r="F1043" s="1" t="s">
        <v>42</v>
      </c>
      <c r="G1043" s="1" t="s">
        <v>15</v>
      </c>
      <c r="H1043" s="1" t="str">
        <f>"1"</f>
        <v>1</v>
      </c>
      <c r="I1043" s="3" t="str">
        <f>"77"</f>
        <v>77</v>
      </c>
      <c r="J1043" s="4">
        <v>46044</v>
      </c>
      <c r="K1043" s="1" t="s">
        <v>2599</v>
      </c>
    </row>
    <row r="1044" spans="1:11" x14ac:dyDescent="0.35">
      <c r="A1044" s="1" t="s">
        <v>2368</v>
      </c>
      <c r="B1044" s="1" t="s">
        <v>2575</v>
      </c>
      <c r="C1044" s="1" t="s">
        <v>2603</v>
      </c>
      <c r="D1044" s="1" t="str">
        <f t="shared" si="45"/>
        <v>8415</v>
      </c>
      <c r="E1044" s="1" t="str">
        <f>"015274617"</f>
        <v>015274617</v>
      </c>
      <c r="F1044" s="1" t="s">
        <v>42</v>
      </c>
      <c r="G1044" s="1" t="s">
        <v>15</v>
      </c>
      <c r="H1044" s="1" t="str">
        <f>"1"</f>
        <v>1</v>
      </c>
      <c r="I1044" s="3" t="str">
        <f>"77"</f>
        <v>77</v>
      </c>
      <c r="J1044" s="4">
        <v>46044</v>
      </c>
      <c r="K1044" s="1" t="s">
        <v>2599</v>
      </c>
    </row>
    <row r="1045" spans="1:11" x14ac:dyDescent="0.35">
      <c r="A1045" s="1" t="s">
        <v>2368</v>
      </c>
      <c r="B1045" s="1" t="s">
        <v>2575</v>
      </c>
      <c r="C1045" s="1" t="s">
        <v>2604</v>
      </c>
      <c r="D1045" s="1" t="str">
        <f t="shared" si="45"/>
        <v>8415</v>
      </c>
      <c r="E1045" s="1" t="str">
        <f>"015386677"</f>
        <v>015386677</v>
      </c>
      <c r="F1045" s="1" t="s">
        <v>22</v>
      </c>
      <c r="G1045" s="1" t="s">
        <v>15</v>
      </c>
      <c r="H1045" s="1" t="str">
        <f>"2"</f>
        <v>2</v>
      </c>
      <c r="I1045" s="3">
        <v>93.46</v>
      </c>
      <c r="J1045" s="4">
        <v>46044</v>
      </c>
      <c r="K1045" s="1" t="s">
        <v>2599</v>
      </c>
    </row>
    <row r="1046" spans="1:11" x14ac:dyDescent="0.35">
      <c r="A1046" s="1" t="s">
        <v>2368</v>
      </c>
      <c r="B1046" s="1" t="s">
        <v>2575</v>
      </c>
      <c r="C1046" s="1" t="s">
        <v>2605</v>
      </c>
      <c r="D1046" s="1" t="str">
        <f t="shared" si="45"/>
        <v>8415</v>
      </c>
      <c r="E1046" s="1" t="str">
        <f>"015386677"</f>
        <v>015386677</v>
      </c>
      <c r="F1046" s="1" t="s">
        <v>22</v>
      </c>
      <c r="G1046" s="1" t="s">
        <v>15</v>
      </c>
      <c r="H1046" s="1" t="str">
        <f>"2"</f>
        <v>2</v>
      </c>
      <c r="I1046" s="3">
        <v>93.46</v>
      </c>
      <c r="J1046" s="4">
        <v>46044</v>
      </c>
      <c r="K1046" s="1" t="s">
        <v>2599</v>
      </c>
    </row>
    <row r="1047" spans="1:11" x14ac:dyDescent="0.35">
      <c r="A1047" s="1" t="s">
        <v>2368</v>
      </c>
      <c r="B1047" s="1" t="s">
        <v>2575</v>
      </c>
      <c r="C1047" s="1" t="s">
        <v>2606</v>
      </c>
      <c r="D1047" s="1" t="str">
        <f t="shared" si="45"/>
        <v>8415</v>
      </c>
      <c r="E1047" s="1" t="str">
        <f>"015386680"</f>
        <v>015386680</v>
      </c>
      <c r="F1047" s="1" t="s">
        <v>22</v>
      </c>
      <c r="G1047" s="1" t="s">
        <v>15</v>
      </c>
      <c r="H1047" s="1" t="str">
        <f>"1"</f>
        <v>1</v>
      </c>
      <c r="I1047" s="3">
        <v>93.46</v>
      </c>
      <c r="J1047" s="4">
        <v>46044</v>
      </c>
      <c r="K1047" s="1" t="s">
        <v>2599</v>
      </c>
    </row>
    <row r="1048" spans="1:11" x14ac:dyDescent="0.35">
      <c r="A1048" s="1" t="s">
        <v>2368</v>
      </c>
      <c r="B1048" s="1" t="s">
        <v>2575</v>
      </c>
      <c r="C1048" s="1" t="s">
        <v>2607</v>
      </c>
      <c r="D1048" s="1" t="str">
        <f t="shared" si="45"/>
        <v>8415</v>
      </c>
      <c r="E1048" s="1" t="str">
        <f>"015386680"</f>
        <v>015386680</v>
      </c>
      <c r="F1048" s="1" t="s">
        <v>22</v>
      </c>
      <c r="G1048" s="1" t="s">
        <v>15</v>
      </c>
      <c r="H1048" s="1" t="str">
        <f>"1"</f>
        <v>1</v>
      </c>
      <c r="I1048" s="3">
        <v>93.46</v>
      </c>
      <c r="J1048" s="4">
        <v>46044</v>
      </c>
      <c r="K1048" s="1" t="s">
        <v>2599</v>
      </c>
    </row>
    <row r="1049" spans="1:11" x14ac:dyDescent="0.35">
      <c r="A1049" s="1" t="s">
        <v>2368</v>
      </c>
      <c r="B1049" s="1" t="s">
        <v>2575</v>
      </c>
      <c r="C1049" s="1" t="s">
        <v>2608</v>
      </c>
      <c r="D1049" s="1" t="str">
        <f t="shared" si="45"/>
        <v>8415</v>
      </c>
      <c r="E1049" s="1" t="str">
        <f>"007822889"</f>
        <v>007822889</v>
      </c>
      <c r="F1049" s="1" t="s">
        <v>2373</v>
      </c>
      <c r="G1049" s="1" t="s">
        <v>15</v>
      </c>
      <c r="H1049" s="1" t="str">
        <f>"5"</f>
        <v>5</v>
      </c>
      <c r="I1049" s="3">
        <v>20.87</v>
      </c>
      <c r="J1049" s="4">
        <v>46044</v>
      </c>
      <c r="K1049" s="1" t="s">
        <v>2599</v>
      </c>
    </row>
    <row r="1050" spans="1:11" x14ac:dyDescent="0.35">
      <c r="A1050" s="1" t="s">
        <v>2368</v>
      </c>
      <c r="B1050" s="1" t="s">
        <v>2575</v>
      </c>
      <c r="C1050" s="1" t="s">
        <v>2611</v>
      </c>
      <c r="D1050" s="1" t="str">
        <f t="shared" si="45"/>
        <v>8415</v>
      </c>
      <c r="E1050" s="1" t="str">
        <f>"015269184"</f>
        <v>015269184</v>
      </c>
      <c r="F1050" s="1" t="s">
        <v>781</v>
      </c>
      <c r="G1050" s="1" t="s">
        <v>15</v>
      </c>
      <c r="H1050" s="1" t="str">
        <f>"1"</f>
        <v>1</v>
      </c>
      <c r="I1050" s="3">
        <v>171.72</v>
      </c>
      <c r="J1050" s="4">
        <v>46044</v>
      </c>
      <c r="K1050" s="1" t="s">
        <v>2599</v>
      </c>
    </row>
    <row r="1051" spans="1:11" x14ac:dyDescent="0.35">
      <c r="A1051" s="1" t="s">
        <v>2368</v>
      </c>
      <c r="B1051" s="1" t="s">
        <v>2575</v>
      </c>
      <c r="C1051" s="1" t="s">
        <v>2612</v>
      </c>
      <c r="D1051" s="1" t="str">
        <f t="shared" si="45"/>
        <v>8415</v>
      </c>
      <c r="E1051" s="1" t="str">
        <f>"015269184"</f>
        <v>015269184</v>
      </c>
      <c r="F1051" s="1" t="s">
        <v>781</v>
      </c>
      <c r="G1051" s="1" t="s">
        <v>15</v>
      </c>
      <c r="H1051" s="1" t="str">
        <f>"1"</f>
        <v>1</v>
      </c>
      <c r="I1051" s="3">
        <v>171.72</v>
      </c>
      <c r="J1051" s="4">
        <v>46044</v>
      </c>
      <c r="K1051" s="1" t="s">
        <v>2599</v>
      </c>
    </row>
    <row r="1052" spans="1:11" x14ac:dyDescent="0.35">
      <c r="A1052" s="1" t="s">
        <v>2368</v>
      </c>
      <c r="B1052" s="1" t="s">
        <v>2575</v>
      </c>
      <c r="C1052" s="1" t="s">
        <v>2613</v>
      </c>
      <c r="D1052" s="1" t="str">
        <f t="shared" si="45"/>
        <v>8415</v>
      </c>
      <c r="E1052" s="1" t="str">
        <f>"015386771"</f>
        <v>015386771</v>
      </c>
      <c r="F1052" s="1" t="s">
        <v>758</v>
      </c>
      <c r="G1052" s="1" t="s">
        <v>15</v>
      </c>
      <c r="H1052" s="1" t="str">
        <f>"10"</f>
        <v>10</v>
      </c>
      <c r="I1052" s="3">
        <v>93.33</v>
      </c>
      <c r="J1052" s="4">
        <v>46044</v>
      </c>
      <c r="K1052" s="1" t="s">
        <v>2599</v>
      </c>
    </row>
    <row r="1053" spans="1:11" x14ac:dyDescent="0.35">
      <c r="A1053" s="1" t="s">
        <v>2368</v>
      </c>
      <c r="B1053" s="1" t="s">
        <v>2533</v>
      </c>
      <c r="C1053" s="1" t="s">
        <v>2564</v>
      </c>
      <c r="D1053" s="1" t="str">
        <f>"8105"</f>
        <v>8105</v>
      </c>
      <c r="E1053" s="1" t="s">
        <v>2565</v>
      </c>
      <c r="F1053" s="1" t="s">
        <v>2566</v>
      </c>
      <c r="G1053" s="1" t="s">
        <v>15</v>
      </c>
      <c r="H1053" s="1" t="str">
        <f>"2"</f>
        <v>2</v>
      </c>
      <c r="I1053" s="3">
        <v>224.98</v>
      </c>
      <c r="J1053" s="4">
        <v>46058</v>
      </c>
      <c r="K1053" s="1" t="s">
        <v>2567</v>
      </c>
    </row>
    <row r="1054" spans="1:11" x14ac:dyDescent="0.35">
      <c r="A1054" s="1" t="s">
        <v>2368</v>
      </c>
      <c r="B1054" s="1" t="s">
        <v>2575</v>
      </c>
      <c r="C1054" s="1" t="s">
        <v>2579</v>
      </c>
      <c r="D1054" s="1" t="str">
        <f>"4240"</f>
        <v>4240</v>
      </c>
      <c r="E1054" s="1" t="str">
        <f>"015257555"</f>
        <v>015257555</v>
      </c>
      <c r="F1054" s="1" t="s">
        <v>1370</v>
      </c>
      <c r="G1054" s="1" t="s">
        <v>15</v>
      </c>
      <c r="H1054" s="1" t="str">
        <f>"25"</f>
        <v>25</v>
      </c>
      <c r="I1054" s="3">
        <v>33.770000000000003</v>
      </c>
      <c r="J1054" s="4">
        <v>46066</v>
      </c>
      <c r="K1054" s="1" t="s">
        <v>2580</v>
      </c>
    </row>
    <row r="1055" spans="1:11" x14ac:dyDescent="0.35">
      <c r="A1055" s="1" t="s">
        <v>2368</v>
      </c>
      <c r="B1055" s="1" t="s">
        <v>2575</v>
      </c>
      <c r="C1055" s="1" t="s">
        <v>2581</v>
      </c>
      <c r="D1055" s="1" t="str">
        <f>"4240"</f>
        <v>4240</v>
      </c>
      <c r="E1055" s="1" t="str">
        <f>"015786103"</f>
        <v>015786103</v>
      </c>
      <c r="F1055" s="1" t="s">
        <v>2425</v>
      </c>
      <c r="G1055" s="1" t="s">
        <v>15</v>
      </c>
      <c r="H1055" s="1" t="str">
        <f>"25"</f>
        <v>25</v>
      </c>
      <c r="I1055" s="3">
        <v>150.07</v>
      </c>
      <c r="J1055" s="4">
        <v>46066</v>
      </c>
      <c r="K1055" s="1" t="s">
        <v>2582</v>
      </c>
    </row>
    <row r="1056" spans="1:11" x14ac:dyDescent="0.35">
      <c r="A1056" s="1" t="s">
        <v>2368</v>
      </c>
      <c r="B1056" s="1" t="s">
        <v>2575</v>
      </c>
      <c r="C1056" s="1" t="s">
        <v>2588</v>
      </c>
      <c r="D1056" s="1" t="str">
        <f>"7830"</f>
        <v>7830</v>
      </c>
      <c r="E1056" s="1" t="str">
        <f>"015727342"</f>
        <v>015727342</v>
      </c>
      <c r="F1056" s="1" t="s">
        <v>2589</v>
      </c>
      <c r="G1056" s="1" t="s">
        <v>15</v>
      </c>
      <c r="H1056" s="1" t="str">
        <f>"1"</f>
        <v>1</v>
      </c>
      <c r="I1056" s="3" t="str">
        <f>"3000"</f>
        <v>3000</v>
      </c>
      <c r="J1056" s="4">
        <v>46066</v>
      </c>
      <c r="K1056" s="1" t="s">
        <v>2590</v>
      </c>
    </row>
    <row r="1057" spans="1:11" x14ac:dyDescent="0.35">
      <c r="A1057" s="1" t="s">
        <v>2368</v>
      </c>
      <c r="B1057" s="1" t="s">
        <v>2575</v>
      </c>
      <c r="C1057" s="1" t="s">
        <v>2616</v>
      </c>
      <c r="D1057" s="1" t="str">
        <f>"8415"</f>
        <v>8415</v>
      </c>
      <c r="E1057" s="1" t="str">
        <f>"015386289"</f>
        <v>015386289</v>
      </c>
      <c r="F1057" s="1" t="s">
        <v>2097</v>
      </c>
      <c r="G1057" s="1" t="s">
        <v>15</v>
      </c>
      <c r="H1057" s="1" t="str">
        <f>"11"</f>
        <v>11</v>
      </c>
      <c r="I1057" s="3">
        <v>137.97999999999999</v>
      </c>
      <c r="J1057" s="4">
        <v>46066</v>
      </c>
      <c r="K1057" s="1" t="s">
        <v>2617</v>
      </c>
    </row>
    <row r="1058" spans="1:11" x14ac:dyDescent="0.35">
      <c r="A1058" s="1" t="s">
        <v>2368</v>
      </c>
      <c r="B1058" s="1" t="s">
        <v>2575</v>
      </c>
      <c r="C1058" s="1" t="s">
        <v>2625</v>
      </c>
      <c r="D1058" s="1" t="str">
        <f>"8460"</f>
        <v>8460</v>
      </c>
      <c r="E1058" s="1" t="s">
        <v>1006</v>
      </c>
      <c r="F1058" s="1" t="s">
        <v>1007</v>
      </c>
      <c r="G1058" s="1" t="s">
        <v>15</v>
      </c>
      <c r="H1058" s="1" t="str">
        <f>"1"</f>
        <v>1</v>
      </c>
      <c r="I1058" s="3">
        <v>28.3</v>
      </c>
      <c r="J1058" s="4">
        <v>46066</v>
      </c>
      <c r="K1058" s="1" t="s">
        <v>2626</v>
      </c>
    </row>
    <row r="1059" spans="1:11" x14ac:dyDescent="0.35">
      <c r="A1059" s="1" t="s">
        <v>2368</v>
      </c>
      <c r="B1059" s="1" t="s">
        <v>2575</v>
      </c>
      <c r="C1059" s="1" t="s">
        <v>2627</v>
      </c>
      <c r="D1059" s="1" t="str">
        <f>"8465"</f>
        <v>8465</v>
      </c>
      <c r="E1059" s="1" t="str">
        <f>"015801560"</f>
        <v>015801560</v>
      </c>
      <c r="F1059" s="1" t="s">
        <v>2628</v>
      </c>
      <c r="G1059" s="1" t="s">
        <v>15</v>
      </c>
      <c r="H1059" s="1" t="str">
        <f>"9"</f>
        <v>9</v>
      </c>
      <c r="I1059" s="3">
        <v>77.33</v>
      </c>
      <c r="J1059" s="4">
        <v>46066</v>
      </c>
      <c r="K1059" s="1" t="s">
        <v>2629</v>
      </c>
    </row>
    <row r="1060" spans="1:11" x14ac:dyDescent="0.35">
      <c r="A1060" s="1" t="s">
        <v>2368</v>
      </c>
      <c r="B1060" s="1" t="s">
        <v>2442</v>
      </c>
      <c r="C1060" s="1" t="s">
        <v>2445</v>
      </c>
      <c r="D1060" s="1" t="str">
        <f>"4240"</f>
        <v>4240</v>
      </c>
      <c r="E1060" s="1" t="str">
        <f>"015641174"</f>
        <v>015641174</v>
      </c>
      <c r="F1060" s="1" t="s">
        <v>2422</v>
      </c>
      <c r="G1060" s="1" t="s">
        <v>15</v>
      </c>
      <c r="H1060" s="1" t="str">
        <f>"25"</f>
        <v>25</v>
      </c>
      <c r="I1060" s="3">
        <v>26.59</v>
      </c>
      <c r="J1060" s="4">
        <v>46072</v>
      </c>
      <c r="K1060" s="1" t="s">
        <v>2446</v>
      </c>
    </row>
    <row r="1061" spans="1:11" x14ac:dyDescent="0.35">
      <c r="A1061" s="1" t="s">
        <v>2368</v>
      </c>
      <c r="B1061" s="1" t="s">
        <v>2442</v>
      </c>
      <c r="C1061" s="1" t="s">
        <v>2447</v>
      </c>
      <c r="D1061" s="1" t="str">
        <f>"4240"</f>
        <v>4240</v>
      </c>
      <c r="E1061" s="1" t="str">
        <f>"015641173"</f>
        <v>015641173</v>
      </c>
      <c r="F1061" s="1" t="s">
        <v>2448</v>
      </c>
      <c r="G1061" s="1" t="s">
        <v>15</v>
      </c>
      <c r="H1061" s="1" t="str">
        <f>"30"</f>
        <v>30</v>
      </c>
      <c r="I1061" s="3">
        <v>26.59</v>
      </c>
      <c r="J1061" s="4">
        <v>46072</v>
      </c>
      <c r="K1061" s="1" t="s">
        <v>2446</v>
      </c>
    </row>
    <row r="1062" spans="1:11" x14ac:dyDescent="0.35">
      <c r="A1062" s="1" t="s">
        <v>2368</v>
      </c>
      <c r="B1062" s="1" t="s">
        <v>2442</v>
      </c>
      <c r="C1062" s="1" t="s">
        <v>2449</v>
      </c>
      <c r="D1062" s="1" t="str">
        <f>"4240"</f>
        <v>4240</v>
      </c>
      <c r="E1062" s="1" t="str">
        <f>"015257555"</f>
        <v>015257555</v>
      </c>
      <c r="F1062" s="1" t="s">
        <v>1370</v>
      </c>
      <c r="G1062" s="1" t="s">
        <v>15</v>
      </c>
      <c r="H1062" s="1" t="str">
        <f>"30"</f>
        <v>30</v>
      </c>
      <c r="I1062" s="3">
        <v>33.770000000000003</v>
      </c>
      <c r="J1062" s="4">
        <v>46072</v>
      </c>
      <c r="K1062" s="1" t="s">
        <v>2446</v>
      </c>
    </row>
    <row r="1063" spans="1:11" x14ac:dyDescent="0.35">
      <c r="A1063" s="1" t="s">
        <v>2368</v>
      </c>
      <c r="B1063" s="1" t="s">
        <v>2442</v>
      </c>
      <c r="C1063" s="1" t="s">
        <v>2450</v>
      </c>
      <c r="D1063" s="1" t="str">
        <f>"5120"</f>
        <v>5120</v>
      </c>
      <c r="E1063" s="1" t="str">
        <f>"008785932"</f>
        <v>008785932</v>
      </c>
      <c r="F1063" s="1" t="s">
        <v>76</v>
      </c>
      <c r="G1063" s="1" t="s">
        <v>15</v>
      </c>
      <c r="H1063" s="1" t="str">
        <f>"20"</f>
        <v>20</v>
      </c>
      <c r="I1063" s="3">
        <v>97.1</v>
      </c>
      <c r="J1063" s="4">
        <v>46072</v>
      </c>
      <c r="K1063" s="1" t="s">
        <v>2451</v>
      </c>
    </row>
    <row r="1064" spans="1:11" x14ac:dyDescent="0.35">
      <c r="A1064" s="1" t="s">
        <v>2368</v>
      </c>
      <c r="B1064" s="1" t="s">
        <v>2442</v>
      </c>
      <c r="C1064" s="1" t="s">
        <v>2452</v>
      </c>
      <c r="D1064" s="1" t="str">
        <f>"8145"</f>
        <v>8145</v>
      </c>
      <c r="E1064" s="1" t="s">
        <v>2453</v>
      </c>
      <c r="F1064" s="1" t="s">
        <v>2454</v>
      </c>
      <c r="G1064" s="1" t="s">
        <v>15</v>
      </c>
      <c r="H1064" s="1" t="str">
        <f>"1"</f>
        <v>1</v>
      </c>
      <c r="I1064" s="3" t="str">
        <f>"100"</f>
        <v>100</v>
      </c>
      <c r="J1064" s="4">
        <v>46072</v>
      </c>
      <c r="K1064" s="1" t="s">
        <v>2455</v>
      </c>
    </row>
    <row r="1065" spans="1:11" x14ac:dyDescent="0.35">
      <c r="A1065" s="1" t="s">
        <v>2368</v>
      </c>
      <c r="B1065" s="1" t="s">
        <v>2442</v>
      </c>
      <c r="C1065" s="1" t="s">
        <v>2456</v>
      </c>
      <c r="D1065" s="1" t="str">
        <f>"8465"</f>
        <v>8465</v>
      </c>
      <c r="E1065" s="1" t="str">
        <f>"016416358"</f>
        <v>016416358</v>
      </c>
      <c r="F1065" s="1" t="s">
        <v>856</v>
      </c>
      <c r="G1065" s="1" t="s">
        <v>15</v>
      </c>
      <c r="H1065" s="1" t="str">
        <f>"25"</f>
        <v>25</v>
      </c>
      <c r="I1065" s="3">
        <v>116.7</v>
      </c>
      <c r="J1065" s="4">
        <v>46072</v>
      </c>
      <c r="K1065" s="1" t="s">
        <v>2457</v>
      </c>
    </row>
    <row r="1066" spans="1:11" x14ac:dyDescent="0.35">
      <c r="A1066" s="1" t="s">
        <v>2368</v>
      </c>
      <c r="B1066" s="1" t="s">
        <v>2465</v>
      </c>
      <c r="C1066" s="1" t="s">
        <v>2473</v>
      </c>
      <c r="D1066" s="1" t="str">
        <f>"3695"</f>
        <v>3695</v>
      </c>
      <c r="E1066" s="1" t="str">
        <f>"013781453"</f>
        <v>013781453</v>
      </c>
      <c r="F1066" s="1" t="s">
        <v>2474</v>
      </c>
      <c r="G1066" s="1" t="s">
        <v>15</v>
      </c>
      <c r="H1066" s="1" t="str">
        <f>"2"</f>
        <v>2</v>
      </c>
      <c r="I1066" s="3">
        <v>554.24</v>
      </c>
      <c r="J1066" s="4">
        <v>46072</v>
      </c>
      <c r="K1066" s="1" t="s">
        <v>2475</v>
      </c>
    </row>
    <row r="1067" spans="1:11" x14ac:dyDescent="0.35">
      <c r="A1067" s="1" t="s">
        <v>2368</v>
      </c>
      <c r="B1067" s="1" t="s">
        <v>2465</v>
      </c>
      <c r="C1067" s="1" t="s">
        <v>2486</v>
      </c>
      <c r="D1067" s="1" t="str">
        <f>"5130"</f>
        <v>5130</v>
      </c>
      <c r="E1067" s="1" t="str">
        <f>"015221379"</f>
        <v>015221379</v>
      </c>
      <c r="F1067" s="1" t="s">
        <v>2487</v>
      </c>
      <c r="G1067" s="1" t="s">
        <v>15</v>
      </c>
      <c r="H1067" s="1" t="str">
        <f>"1"</f>
        <v>1</v>
      </c>
      <c r="I1067" s="3" t="str">
        <f>"2800"</f>
        <v>2800</v>
      </c>
      <c r="J1067" s="4">
        <v>46072</v>
      </c>
      <c r="K1067" s="1" t="s">
        <v>2488</v>
      </c>
    </row>
    <row r="1068" spans="1:11" x14ac:dyDescent="0.35">
      <c r="A1068" s="1" t="s">
        <v>2368</v>
      </c>
      <c r="B1068" s="1" t="s">
        <v>2465</v>
      </c>
      <c r="C1068" s="1" t="s">
        <v>2489</v>
      </c>
      <c r="D1068" s="1" t="str">
        <f>"5180"</f>
        <v>5180</v>
      </c>
      <c r="E1068" s="1" t="str">
        <f>"006108177"</f>
        <v>006108177</v>
      </c>
      <c r="F1068" s="1" t="s">
        <v>2490</v>
      </c>
      <c r="G1068" s="1" t="s">
        <v>15</v>
      </c>
      <c r="H1068" s="1" t="str">
        <f>"1"</f>
        <v>1</v>
      </c>
      <c r="I1068" s="3" t="str">
        <f>"2180"</f>
        <v>2180</v>
      </c>
      <c r="J1068" s="4">
        <v>46072</v>
      </c>
      <c r="K1068" s="1" t="s">
        <v>2491</v>
      </c>
    </row>
    <row r="1069" spans="1:11" x14ac:dyDescent="0.35">
      <c r="A1069" s="1" t="s">
        <v>2368</v>
      </c>
      <c r="B1069" s="1" t="s">
        <v>2420</v>
      </c>
      <c r="C1069" s="1" t="s">
        <v>2421</v>
      </c>
      <c r="D1069" s="1" t="str">
        <f>"4240"</f>
        <v>4240</v>
      </c>
      <c r="E1069" s="1" t="str">
        <f>"015641174"</f>
        <v>015641174</v>
      </c>
      <c r="F1069" s="1" t="s">
        <v>2422</v>
      </c>
      <c r="G1069" s="1" t="s">
        <v>15</v>
      </c>
      <c r="H1069" s="1" t="str">
        <f>"20"</f>
        <v>20</v>
      </c>
      <c r="I1069" s="3">
        <v>26.59</v>
      </c>
      <c r="J1069" s="4">
        <v>46079</v>
      </c>
      <c r="K1069" s="1" t="s">
        <v>2423</v>
      </c>
    </row>
    <row r="1070" spans="1:11" x14ac:dyDescent="0.35">
      <c r="A1070" s="1" t="s">
        <v>2368</v>
      </c>
      <c r="B1070" s="1" t="s">
        <v>2420</v>
      </c>
      <c r="C1070" s="1" t="s">
        <v>2424</v>
      </c>
      <c r="D1070" s="1" t="str">
        <f>"4240"</f>
        <v>4240</v>
      </c>
      <c r="E1070" s="1" t="str">
        <f>"015641175"</f>
        <v>015641175</v>
      </c>
      <c r="F1070" s="1" t="s">
        <v>2425</v>
      </c>
      <c r="G1070" s="1" t="s">
        <v>168</v>
      </c>
      <c r="H1070" s="1" t="str">
        <f>"20"</f>
        <v>20</v>
      </c>
      <c r="I1070" s="3" t="str">
        <f>"15"</f>
        <v>15</v>
      </c>
      <c r="J1070" s="4">
        <v>46079</v>
      </c>
      <c r="K1070" s="1" t="s">
        <v>2426</v>
      </c>
    </row>
    <row r="1071" spans="1:11" x14ac:dyDescent="0.35">
      <c r="A1071" s="1" t="s">
        <v>2368</v>
      </c>
      <c r="B1071" s="1" t="s">
        <v>2465</v>
      </c>
      <c r="C1071" s="1" t="s">
        <v>2476</v>
      </c>
      <c r="D1071" s="1" t="str">
        <f>"3920"</f>
        <v>3920</v>
      </c>
      <c r="E1071" s="1" t="s">
        <v>493</v>
      </c>
      <c r="F1071" s="1" t="s">
        <v>494</v>
      </c>
      <c r="G1071" s="1" t="s">
        <v>15</v>
      </c>
      <c r="H1071" s="1" t="str">
        <f>"1"</f>
        <v>1</v>
      </c>
      <c r="I1071" s="3" t="str">
        <f>"150"</f>
        <v>150</v>
      </c>
      <c r="J1071" s="4">
        <v>46079</v>
      </c>
      <c r="K1071" s="1" t="s">
        <v>2477</v>
      </c>
    </row>
    <row r="1072" spans="1:11" x14ac:dyDescent="0.35">
      <c r="A1072" s="1" t="s">
        <v>2368</v>
      </c>
      <c r="B1072" s="1" t="s">
        <v>2465</v>
      </c>
      <c r="C1072" s="1" t="s">
        <v>2478</v>
      </c>
      <c r="D1072" s="1" t="str">
        <f>"4940"</f>
        <v>4940</v>
      </c>
      <c r="E1072" s="1" t="s">
        <v>2479</v>
      </c>
      <c r="F1072" s="1" t="s">
        <v>2480</v>
      </c>
      <c r="G1072" s="1" t="s">
        <v>15</v>
      </c>
      <c r="H1072" s="1" t="str">
        <f>"1"</f>
        <v>1</v>
      </c>
      <c r="I1072" s="3" t="str">
        <f>"15000"</f>
        <v>15000</v>
      </c>
      <c r="J1072" s="4">
        <v>46079</v>
      </c>
      <c r="K1072" s="1" t="s">
        <v>2481</v>
      </c>
    </row>
    <row r="1073" spans="1:11" x14ac:dyDescent="0.35">
      <c r="A1073" s="1" t="s">
        <v>2368</v>
      </c>
      <c r="B1073" s="1" t="s">
        <v>2465</v>
      </c>
      <c r="C1073" s="1" t="s">
        <v>2482</v>
      </c>
      <c r="D1073" s="1" t="str">
        <f>"5120"</f>
        <v>5120</v>
      </c>
      <c r="E1073" s="1" t="s">
        <v>2483</v>
      </c>
      <c r="F1073" s="1" t="s">
        <v>2484</v>
      </c>
      <c r="G1073" s="1" t="s">
        <v>15</v>
      </c>
      <c r="H1073" s="1" t="str">
        <f>"1"</f>
        <v>1</v>
      </c>
      <c r="I1073" s="3" t="str">
        <f>"333"</f>
        <v>333</v>
      </c>
      <c r="J1073" s="4">
        <v>46079</v>
      </c>
      <c r="K1073" s="1" t="s">
        <v>2485</v>
      </c>
    </row>
    <row r="1074" spans="1:11" x14ac:dyDescent="0.35">
      <c r="A1074" s="1" t="s">
        <v>2368</v>
      </c>
      <c r="B1074" s="1" t="s">
        <v>2465</v>
      </c>
      <c r="C1074" s="1" t="s">
        <v>2492</v>
      </c>
      <c r="D1074" s="1" t="str">
        <f>"5180"</f>
        <v>5180</v>
      </c>
      <c r="E1074" s="1" t="s">
        <v>268</v>
      </c>
      <c r="F1074" s="1" t="s">
        <v>269</v>
      </c>
      <c r="G1074" s="1" t="s">
        <v>15</v>
      </c>
      <c r="H1074" s="1" t="str">
        <f>"1"</f>
        <v>1</v>
      </c>
      <c r="I1074" s="3" t="str">
        <f>"150"</f>
        <v>150</v>
      </c>
      <c r="J1074" s="4">
        <v>46079</v>
      </c>
      <c r="K1074" s="1" t="s">
        <v>2493</v>
      </c>
    </row>
    <row r="1075" spans="1:11" x14ac:dyDescent="0.35">
      <c r="A1075" s="1" t="s">
        <v>2368</v>
      </c>
      <c r="B1075" s="1" t="s">
        <v>2465</v>
      </c>
      <c r="C1075" s="1" t="s">
        <v>2494</v>
      </c>
      <c r="D1075" s="1" t="str">
        <f>"6515"</f>
        <v>6515</v>
      </c>
      <c r="E1075" s="1" t="str">
        <f>"016040418"</f>
        <v>016040418</v>
      </c>
      <c r="F1075" s="1" t="s">
        <v>2495</v>
      </c>
      <c r="G1075" s="1" t="s">
        <v>15</v>
      </c>
      <c r="H1075" s="1" t="str">
        <f>"6"</f>
        <v>6</v>
      </c>
      <c r="I1075" s="3">
        <v>137.94</v>
      </c>
      <c r="J1075" s="4">
        <v>46079</v>
      </c>
      <c r="K1075" s="1" t="s">
        <v>2496</v>
      </c>
    </row>
    <row r="1076" spans="1:11" x14ac:dyDescent="0.35">
      <c r="A1076" s="1" t="s">
        <v>2368</v>
      </c>
      <c r="B1076" s="1" t="s">
        <v>2465</v>
      </c>
      <c r="C1076" s="1" t="s">
        <v>2497</v>
      </c>
      <c r="D1076" s="1" t="str">
        <f>"7110"</f>
        <v>7110</v>
      </c>
      <c r="E1076" s="1" t="str">
        <f>"014762954"</f>
        <v>014762954</v>
      </c>
      <c r="F1076" s="1" t="s">
        <v>2498</v>
      </c>
      <c r="G1076" s="1" t="s">
        <v>15</v>
      </c>
      <c r="H1076" s="1" t="str">
        <f>"1"</f>
        <v>1</v>
      </c>
      <c r="I1076" s="3">
        <v>8356.2099999999991</v>
      </c>
      <c r="J1076" s="4">
        <v>46079</v>
      </c>
      <c r="K1076" s="1" t="s">
        <v>2499</v>
      </c>
    </row>
    <row r="1077" spans="1:11" x14ac:dyDescent="0.35">
      <c r="A1077" s="1" t="s">
        <v>2368</v>
      </c>
      <c r="B1077" s="1" t="s">
        <v>2458</v>
      </c>
      <c r="C1077" s="1" t="s">
        <v>2459</v>
      </c>
      <c r="D1077" s="1" t="str">
        <f>"2360"</f>
        <v>2360</v>
      </c>
      <c r="E1077" s="1" t="str">
        <f>"016631082"</f>
        <v>016631082</v>
      </c>
      <c r="F1077" s="1" t="s">
        <v>1275</v>
      </c>
      <c r="G1077" s="1" t="s">
        <v>15</v>
      </c>
      <c r="H1077" s="1" t="str">
        <f>"1"</f>
        <v>1</v>
      </c>
      <c r="I1077" s="3" t="str">
        <f>"77060"</f>
        <v>77060</v>
      </c>
      <c r="J1077" s="4">
        <v>46084</v>
      </c>
      <c r="K1077" s="1" t="s">
        <v>2460</v>
      </c>
    </row>
    <row r="1078" spans="1:11" x14ac:dyDescent="0.35">
      <c r="A1078" s="1" t="s">
        <v>2368</v>
      </c>
      <c r="B1078" s="1" t="s">
        <v>2533</v>
      </c>
      <c r="C1078" s="1" t="s">
        <v>2545</v>
      </c>
      <c r="D1078" s="1" t="str">
        <f>"3830"</f>
        <v>3830</v>
      </c>
      <c r="E1078" s="1" t="s">
        <v>1544</v>
      </c>
      <c r="F1078" s="1" t="s">
        <v>1545</v>
      </c>
      <c r="G1078" s="1" t="s">
        <v>15</v>
      </c>
      <c r="H1078" s="1" t="str">
        <f>"3"</f>
        <v>3</v>
      </c>
      <c r="I1078" s="3" t="str">
        <f>"500"</f>
        <v>500</v>
      </c>
      <c r="J1078" s="4">
        <v>46084</v>
      </c>
      <c r="K1078" s="1" t="s">
        <v>2546</v>
      </c>
    </row>
    <row r="1079" spans="1:11" x14ac:dyDescent="0.35">
      <c r="A1079" s="1" t="s">
        <v>2368</v>
      </c>
      <c r="B1079" s="1" t="s">
        <v>2533</v>
      </c>
      <c r="C1079" s="1" t="s">
        <v>2551</v>
      </c>
      <c r="D1079" s="1" t="str">
        <f>"3990"</f>
        <v>3990</v>
      </c>
      <c r="E1079" s="1" t="s">
        <v>2283</v>
      </c>
      <c r="F1079" s="1" t="s">
        <v>2284</v>
      </c>
      <c r="G1079" s="1" t="s">
        <v>15</v>
      </c>
      <c r="H1079" s="1" t="str">
        <f>"1"</f>
        <v>1</v>
      </c>
      <c r="I1079" s="3" t="str">
        <f>"5780"</f>
        <v>5780</v>
      </c>
      <c r="J1079" s="4">
        <v>46084</v>
      </c>
      <c r="K1079" s="1" t="s">
        <v>2552</v>
      </c>
    </row>
    <row r="1080" spans="1:11" x14ac:dyDescent="0.35">
      <c r="A1080" s="1" t="s">
        <v>2368</v>
      </c>
      <c r="B1080" s="1" t="s">
        <v>2533</v>
      </c>
      <c r="C1080" s="1" t="s">
        <v>2553</v>
      </c>
      <c r="D1080" s="1" t="str">
        <f>"4910"</f>
        <v>4910</v>
      </c>
      <c r="E1080" s="1" t="str">
        <f>"002897233"</f>
        <v>002897233</v>
      </c>
      <c r="F1080" s="1" t="s">
        <v>2554</v>
      </c>
      <c r="G1080" s="1" t="s">
        <v>15</v>
      </c>
      <c r="H1080" s="1" t="str">
        <f>"4"</f>
        <v>4</v>
      </c>
      <c r="I1080" s="3" t="str">
        <f>"4759"</f>
        <v>4759</v>
      </c>
      <c r="J1080" s="4">
        <v>46084</v>
      </c>
      <c r="K1080" s="1" t="s">
        <v>2555</v>
      </c>
    </row>
    <row r="1081" spans="1:11" x14ac:dyDescent="0.35">
      <c r="A1081" s="1" t="s">
        <v>2368</v>
      </c>
      <c r="B1081" s="1" t="s">
        <v>2533</v>
      </c>
      <c r="C1081" s="1" t="s">
        <v>2556</v>
      </c>
      <c r="D1081" s="1" t="str">
        <f>"5130"</f>
        <v>5130</v>
      </c>
      <c r="E1081" s="1" t="s">
        <v>2557</v>
      </c>
      <c r="F1081" s="1" t="s">
        <v>2558</v>
      </c>
      <c r="G1081" s="1" t="s">
        <v>15</v>
      </c>
      <c r="H1081" s="1" t="str">
        <f>"1"</f>
        <v>1</v>
      </c>
      <c r="I1081" s="3" t="str">
        <f>"400"</f>
        <v>400</v>
      </c>
      <c r="J1081" s="4">
        <v>46084</v>
      </c>
      <c r="K1081" s="1" t="s">
        <v>2559</v>
      </c>
    </row>
    <row r="1082" spans="1:11" x14ac:dyDescent="0.35">
      <c r="A1082" s="1" t="s">
        <v>2368</v>
      </c>
      <c r="B1082" s="1" t="s">
        <v>2442</v>
      </c>
      <c r="C1082" s="1" t="s">
        <v>2443</v>
      </c>
      <c r="D1082" s="1" t="str">
        <f>"3830"</f>
        <v>3830</v>
      </c>
      <c r="E1082" s="1" t="s">
        <v>1544</v>
      </c>
      <c r="F1082" s="1" t="s">
        <v>1545</v>
      </c>
      <c r="G1082" s="1" t="s">
        <v>15</v>
      </c>
      <c r="H1082" s="1" t="str">
        <f>"2"</f>
        <v>2</v>
      </c>
      <c r="I1082" s="3" t="str">
        <f>"500"</f>
        <v>500</v>
      </c>
      <c r="J1082" s="4">
        <v>46087</v>
      </c>
      <c r="K1082" s="1" t="s">
        <v>2444</v>
      </c>
    </row>
    <row r="1083" spans="1:11" x14ac:dyDescent="0.35">
      <c r="A1083" s="1" t="s">
        <v>2368</v>
      </c>
      <c r="B1083" s="1" t="s">
        <v>2575</v>
      </c>
      <c r="C1083" s="1" t="s">
        <v>2591</v>
      </c>
      <c r="D1083" s="1" t="str">
        <f>"7830"</f>
        <v>7830</v>
      </c>
      <c r="E1083" s="1" t="s">
        <v>2004</v>
      </c>
      <c r="F1083" s="1" t="s">
        <v>2005</v>
      </c>
      <c r="G1083" s="1" t="s">
        <v>15</v>
      </c>
      <c r="H1083" s="1" t="str">
        <f>"1"</f>
        <v>1</v>
      </c>
      <c r="I1083" s="3" t="str">
        <f>"5589"</f>
        <v>5589</v>
      </c>
      <c r="J1083" s="4">
        <v>46087</v>
      </c>
      <c r="K1083" s="1" t="s">
        <v>2592</v>
      </c>
    </row>
    <row r="1084" spans="1:11" x14ac:dyDescent="0.35">
      <c r="A1084" s="1" t="s">
        <v>2368</v>
      </c>
      <c r="B1084" s="1" t="s">
        <v>2575</v>
      </c>
      <c r="C1084" s="1" t="s">
        <v>2597</v>
      </c>
      <c r="D1084" s="1" t="str">
        <f>"7830"</f>
        <v>7830</v>
      </c>
      <c r="E1084" s="1" t="s">
        <v>2004</v>
      </c>
      <c r="F1084" s="1" t="s">
        <v>2005</v>
      </c>
      <c r="G1084" s="1" t="s">
        <v>15</v>
      </c>
      <c r="H1084" s="1" t="str">
        <f>"1"</f>
        <v>1</v>
      </c>
      <c r="I1084" s="3" t="str">
        <f>"5577"</f>
        <v>5577</v>
      </c>
      <c r="J1084" s="4">
        <v>46087</v>
      </c>
      <c r="K1084" s="1" t="s">
        <v>2592</v>
      </c>
    </row>
    <row r="1085" spans="1:11" x14ac:dyDescent="0.35">
      <c r="A1085" s="1" t="s">
        <v>2368</v>
      </c>
      <c r="B1085" s="1" t="s">
        <v>2420</v>
      </c>
      <c r="C1085" s="1" t="s">
        <v>2427</v>
      </c>
      <c r="D1085" s="1" t="str">
        <f>"7210"</f>
        <v>7210</v>
      </c>
      <c r="E1085" s="1" t="str">
        <f>"002827950"</f>
        <v>002827950</v>
      </c>
      <c r="F1085" s="1" t="s">
        <v>2428</v>
      </c>
      <c r="G1085" s="1" t="s">
        <v>15</v>
      </c>
      <c r="H1085" s="1" t="str">
        <f>"2"</f>
        <v>2</v>
      </c>
      <c r="I1085" s="3">
        <v>41.47</v>
      </c>
      <c r="J1085" s="4">
        <v>46090</v>
      </c>
      <c r="K1085" s="1" t="s">
        <v>2429</v>
      </c>
    </row>
    <row r="1086" spans="1:11" x14ac:dyDescent="0.35">
      <c r="A1086" s="1" t="s">
        <v>2368</v>
      </c>
      <c r="B1086" s="1" t="s">
        <v>2420</v>
      </c>
      <c r="C1086" s="1" t="s">
        <v>2430</v>
      </c>
      <c r="D1086" s="1" t="str">
        <f>"8115"</f>
        <v>8115</v>
      </c>
      <c r="E1086" s="1" t="s">
        <v>2431</v>
      </c>
      <c r="F1086" s="1" t="s">
        <v>2432</v>
      </c>
      <c r="G1086" s="1" t="s">
        <v>15</v>
      </c>
      <c r="H1086" s="1" t="str">
        <f>"1"</f>
        <v>1</v>
      </c>
      <c r="I1086" s="3" t="str">
        <f>"15"</f>
        <v>15</v>
      </c>
      <c r="J1086" s="4">
        <v>46090</v>
      </c>
      <c r="K1086" s="1" t="s">
        <v>2433</v>
      </c>
    </row>
    <row r="1087" spans="1:11" x14ac:dyDescent="0.35">
      <c r="A1087" s="1" t="s">
        <v>2368</v>
      </c>
      <c r="B1087" s="1" t="s">
        <v>2420</v>
      </c>
      <c r="C1087" s="1" t="s">
        <v>2434</v>
      </c>
      <c r="D1087" s="1" t="str">
        <f>"8405"</f>
        <v>8405</v>
      </c>
      <c r="E1087" s="1" t="str">
        <f>"014439618"</f>
        <v>014439618</v>
      </c>
      <c r="F1087" s="1" t="s">
        <v>42</v>
      </c>
      <c r="G1087" s="1" t="s">
        <v>15</v>
      </c>
      <c r="H1087" s="1" t="str">
        <f>"1"</f>
        <v>1</v>
      </c>
      <c r="I1087" s="3">
        <v>74.87</v>
      </c>
      <c r="J1087" s="4">
        <v>46090</v>
      </c>
      <c r="K1087" s="1" t="s">
        <v>2435</v>
      </c>
    </row>
    <row r="1088" spans="1:11" x14ac:dyDescent="0.35">
      <c r="A1088" s="1" t="s">
        <v>2368</v>
      </c>
      <c r="B1088" s="1" t="s">
        <v>2420</v>
      </c>
      <c r="C1088" s="1" t="s">
        <v>2436</v>
      </c>
      <c r="D1088" s="1" t="str">
        <f>"8415"</f>
        <v>8415</v>
      </c>
      <c r="E1088" s="1" t="str">
        <f>"014618341"</f>
        <v>014618341</v>
      </c>
      <c r="F1088" s="1" t="s">
        <v>822</v>
      </c>
      <c r="G1088" s="1" t="s">
        <v>15</v>
      </c>
      <c r="H1088" s="1" t="str">
        <f>"1"</f>
        <v>1</v>
      </c>
      <c r="I1088" s="3">
        <v>58.54</v>
      </c>
      <c r="J1088" s="4">
        <v>46090</v>
      </c>
      <c r="K1088" s="1" t="s">
        <v>2437</v>
      </c>
    </row>
    <row r="1089" spans="1:11" x14ac:dyDescent="0.35">
      <c r="A1089" s="1" t="s">
        <v>2368</v>
      </c>
      <c r="B1089" s="1" t="s">
        <v>2420</v>
      </c>
      <c r="C1089" s="1" t="s">
        <v>2438</v>
      </c>
      <c r="D1089" s="1" t="str">
        <f>"8415"</f>
        <v>8415</v>
      </c>
      <c r="E1089" s="1" t="s">
        <v>1944</v>
      </c>
      <c r="F1089" s="1" t="s">
        <v>1945</v>
      </c>
      <c r="G1089" s="1" t="s">
        <v>15</v>
      </c>
      <c r="H1089" s="1" t="str">
        <f>"25"</f>
        <v>25</v>
      </c>
      <c r="I1089" s="3">
        <v>51.4</v>
      </c>
      <c r="J1089" s="4">
        <v>46090</v>
      </c>
      <c r="K1089" s="1" t="s">
        <v>2439</v>
      </c>
    </row>
    <row r="1090" spans="1:11" x14ac:dyDescent="0.35">
      <c r="A1090" s="1" t="s">
        <v>2368</v>
      </c>
      <c r="B1090" s="1" t="s">
        <v>2420</v>
      </c>
      <c r="C1090" s="1" t="s">
        <v>2440</v>
      </c>
      <c r="D1090" s="1" t="str">
        <f>"8415"</f>
        <v>8415</v>
      </c>
      <c r="E1090" s="1" t="str">
        <f>"015386752"</f>
        <v>015386752</v>
      </c>
      <c r="F1090" s="1" t="s">
        <v>761</v>
      </c>
      <c r="G1090" s="1" t="s">
        <v>15</v>
      </c>
      <c r="H1090" s="1" t="str">
        <f>"1"</f>
        <v>1</v>
      </c>
      <c r="I1090" s="3">
        <v>63.88</v>
      </c>
      <c r="J1090" s="4">
        <v>46090</v>
      </c>
      <c r="K1090" s="1" t="s">
        <v>2441</v>
      </c>
    </row>
    <row r="1091" spans="1:11" x14ac:dyDescent="0.35">
      <c r="A1091" s="1" t="s">
        <v>2368</v>
      </c>
      <c r="B1091" s="1" t="s">
        <v>2500</v>
      </c>
      <c r="C1091" s="1" t="s">
        <v>2507</v>
      </c>
      <c r="D1091" s="1" t="str">
        <f>"5855"</f>
        <v>5855</v>
      </c>
      <c r="E1091" s="1" t="s">
        <v>985</v>
      </c>
      <c r="F1091" s="1" t="s">
        <v>986</v>
      </c>
      <c r="G1091" s="1" t="s">
        <v>15</v>
      </c>
      <c r="H1091" s="1" t="str">
        <f>"4"</f>
        <v>4</v>
      </c>
      <c r="I1091" s="3">
        <v>1012.7</v>
      </c>
      <c r="J1091" s="4">
        <v>46094</v>
      </c>
      <c r="K1091" s="1" t="s">
        <v>2508</v>
      </c>
    </row>
    <row r="1092" spans="1:11" x14ac:dyDescent="0.35">
      <c r="A1092" s="1" t="s">
        <v>2368</v>
      </c>
      <c r="B1092" s="1" t="s">
        <v>2415</v>
      </c>
      <c r="C1092" s="1" t="s">
        <v>2416</v>
      </c>
      <c r="D1092" s="1" t="str">
        <f>"7035"</f>
        <v>7035</v>
      </c>
      <c r="E1092" s="1" t="s">
        <v>2417</v>
      </c>
      <c r="F1092" s="1" t="s">
        <v>2418</v>
      </c>
      <c r="G1092" s="1" t="s">
        <v>15</v>
      </c>
      <c r="H1092" s="1" t="str">
        <f t="shared" ref="H1092:H1099" si="46">"1"</f>
        <v>1</v>
      </c>
      <c r="I1092" s="3">
        <v>0.01</v>
      </c>
      <c r="J1092" s="4">
        <v>46104</v>
      </c>
      <c r="K1092" s="1" t="s">
        <v>2419</v>
      </c>
    </row>
    <row r="1093" spans="1:11" x14ac:dyDescent="0.35">
      <c r="A1093" s="1" t="s">
        <v>2368</v>
      </c>
      <c r="B1093" s="1" t="s">
        <v>2533</v>
      </c>
      <c r="C1093" s="1" t="s">
        <v>2536</v>
      </c>
      <c r="D1093" s="1" t="str">
        <f>"3805"</f>
        <v>3805</v>
      </c>
      <c r="E1093" s="1" t="s">
        <v>1020</v>
      </c>
      <c r="F1093" s="1" t="s">
        <v>1021</v>
      </c>
      <c r="G1093" s="1" t="s">
        <v>15</v>
      </c>
      <c r="H1093" s="1" t="str">
        <f t="shared" si="46"/>
        <v>1</v>
      </c>
      <c r="I1093" s="3" t="str">
        <f>"15450"</f>
        <v>15450</v>
      </c>
      <c r="J1093" s="4">
        <v>46104</v>
      </c>
      <c r="K1093" s="1" t="s">
        <v>2537</v>
      </c>
    </row>
    <row r="1094" spans="1:11" x14ac:dyDescent="0.35">
      <c r="A1094" s="1" t="s">
        <v>2368</v>
      </c>
      <c r="B1094" s="1" t="s">
        <v>2533</v>
      </c>
      <c r="C1094" s="1" t="s">
        <v>2538</v>
      </c>
      <c r="D1094" s="1" t="str">
        <f>"3805"</f>
        <v>3805</v>
      </c>
      <c r="E1094" s="1" t="s">
        <v>1020</v>
      </c>
      <c r="F1094" s="1" t="s">
        <v>1021</v>
      </c>
      <c r="G1094" s="1" t="s">
        <v>15</v>
      </c>
      <c r="H1094" s="1" t="str">
        <f t="shared" si="46"/>
        <v>1</v>
      </c>
      <c r="I1094" s="3" t="str">
        <f>"12000"</f>
        <v>12000</v>
      </c>
      <c r="J1094" s="4">
        <v>46104</v>
      </c>
      <c r="K1094" s="1" t="s">
        <v>2539</v>
      </c>
    </row>
    <row r="1095" spans="1:11" x14ac:dyDescent="0.35">
      <c r="A1095" s="1" t="s">
        <v>2368</v>
      </c>
      <c r="B1095" s="1" t="s">
        <v>2533</v>
      </c>
      <c r="C1095" s="1" t="s">
        <v>2540</v>
      </c>
      <c r="D1095" s="1" t="str">
        <f>"3805"</f>
        <v>3805</v>
      </c>
      <c r="E1095" s="1" t="s">
        <v>1020</v>
      </c>
      <c r="F1095" s="1" t="s">
        <v>1021</v>
      </c>
      <c r="G1095" s="1" t="s">
        <v>15</v>
      </c>
      <c r="H1095" s="1" t="str">
        <f t="shared" si="46"/>
        <v>1</v>
      </c>
      <c r="I1095" s="3" t="str">
        <f>"51602"</f>
        <v>51602</v>
      </c>
      <c r="J1095" s="4">
        <v>46104</v>
      </c>
      <c r="K1095" s="1" t="s">
        <v>2541</v>
      </c>
    </row>
    <row r="1096" spans="1:11" x14ac:dyDescent="0.35">
      <c r="A1096" s="1" t="s">
        <v>2368</v>
      </c>
      <c r="B1096" s="1" t="s">
        <v>2465</v>
      </c>
      <c r="C1096" s="1" t="s">
        <v>2466</v>
      </c>
      <c r="D1096" s="1" t="str">
        <f>"2320"</f>
        <v>2320</v>
      </c>
      <c r="E1096" s="1" t="s">
        <v>100</v>
      </c>
      <c r="F1096" s="1" t="s">
        <v>101</v>
      </c>
      <c r="G1096" s="1" t="s">
        <v>15</v>
      </c>
      <c r="H1096" s="1" t="str">
        <f t="shared" si="46"/>
        <v>1</v>
      </c>
      <c r="I1096" s="3" t="str">
        <f>"33000"</f>
        <v>33000</v>
      </c>
      <c r="J1096" s="4">
        <v>46106</v>
      </c>
      <c r="K1096" s="1" t="s">
        <v>2467</v>
      </c>
    </row>
    <row r="1097" spans="1:11" x14ac:dyDescent="0.35">
      <c r="A1097" s="1" t="s">
        <v>2368</v>
      </c>
      <c r="B1097" s="1" t="s">
        <v>2465</v>
      </c>
      <c r="C1097" s="1" t="s">
        <v>2468</v>
      </c>
      <c r="D1097" s="1" t="str">
        <f>"2340"</f>
        <v>2340</v>
      </c>
      <c r="E1097" s="1" t="s">
        <v>2469</v>
      </c>
      <c r="F1097" s="1" t="s">
        <v>2470</v>
      </c>
      <c r="G1097" s="1" t="s">
        <v>15</v>
      </c>
      <c r="H1097" s="1" t="str">
        <f t="shared" si="46"/>
        <v>1</v>
      </c>
      <c r="I1097" s="3">
        <v>17609.599999999999</v>
      </c>
      <c r="J1097" s="4">
        <v>46106</v>
      </c>
      <c r="K1097" s="1" t="s">
        <v>2471</v>
      </c>
    </row>
    <row r="1098" spans="1:11" x14ac:dyDescent="0.35">
      <c r="A1098" s="1" t="s">
        <v>2368</v>
      </c>
      <c r="B1098" s="1" t="s">
        <v>2465</v>
      </c>
      <c r="C1098" s="1" t="s">
        <v>2472</v>
      </c>
      <c r="D1098" s="1" t="str">
        <f>"2340"</f>
        <v>2340</v>
      </c>
      <c r="E1098" s="1" t="s">
        <v>2469</v>
      </c>
      <c r="F1098" s="1" t="s">
        <v>2470</v>
      </c>
      <c r="G1098" s="1" t="s">
        <v>15</v>
      </c>
      <c r="H1098" s="1" t="str">
        <f t="shared" si="46"/>
        <v>1</v>
      </c>
      <c r="I1098" s="3">
        <v>8804.7999999999993</v>
      </c>
      <c r="J1098" s="4">
        <v>46106</v>
      </c>
      <c r="K1098" s="1" t="s">
        <v>2471</v>
      </c>
    </row>
    <row r="1099" spans="1:11" x14ac:dyDescent="0.35">
      <c r="A1099" s="1" t="s">
        <v>2368</v>
      </c>
      <c r="B1099" s="1" t="s">
        <v>2458</v>
      </c>
      <c r="C1099" s="1" t="s">
        <v>2461</v>
      </c>
      <c r="D1099" s="1" t="str">
        <f>"6730"</f>
        <v>6730</v>
      </c>
      <c r="E1099" s="1" t="s">
        <v>2462</v>
      </c>
      <c r="F1099" s="1" t="s">
        <v>2463</v>
      </c>
      <c r="G1099" s="1" t="s">
        <v>15</v>
      </c>
      <c r="H1099" s="1" t="str">
        <f t="shared" si="46"/>
        <v>1</v>
      </c>
      <c r="I1099" s="3">
        <v>882.82</v>
      </c>
      <c r="J1099" s="4">
        <v>46111</v>
      </c>
      <c r="K1099" s="1" t="s">
        <v>2464</v>
      </c>
    </row>
    <row r="1100" spans="1:11" x14ac:dyDescent="0.35">
      <c r="A1100" s="1" t="s">
        <v>2368</v>
      </c>
      <c r="B1100" s="1" t="s">
        <v>2500</v>
      </c>
      <c r="C1100" s="1" t="s">
        <v>2501</v>
      </c>
      <c r="D1100" s="1" t="str">
        <f>"1005"</f>
        <v>1005</v>
      </c>
      <c r="E1100" s="1" t="str">
        <f>"016316485"</f>
        <v>016316485</v>
      </c>
      <c r="F1100" s="1" t="s">
        <v>2502</v>
      </c>
      <c r="G1100" s="1" t="s">
        <v>15</v>
      </c>
      <c r="H1100" s="1" t="str">
        <f>"30"</f>
        <v>30</v>
      </c>
      <c r="I1100" s="3">
        <v>1140.4100000000001</v>
      </c>
      <c r="J1100" s="4">
        <v>46111</v>
      </c>
      <c r="K1100" s="1" t="s">
        <v>2503</v>
      </c>
    </row>
    <row r="1101" spans="1:11" x14ac:dyDescent="0.35">
      <c r="A1101" s="1" t="s">
        <v>2368</v>
      </c>
      <c r="B1101" s="1" t="s">
        <v>2500</v>
      </c>
      <c r="C1101" s="1" t="s">
        <v>2509</v>
      </c>
      <c r="D1101" s="1" t="str">
        <f>"5855"</f>
        <v>5855</v>
      </c>
      <c r="E1101" s="1" t="s">
        <v>2510</v>
      </c>
      <c r="F1101" s="1" t="s">
        <v>2511</v>
      </c>
      <c r="G1101" s="1" t="s">
        <v>15</v>
      </c>
      <c r="H1101" s="1" t="str">
        <f>"1"</f>
        <v>1</v>
      </c>
      <c r="I1101" s="3">
        <v>1456.84</v>
      </c>
      <c r="J1101" s="4">
        <v>46111</v>
      </c>
      <c r="K1101" s="1" t="s">
        <v>2512</v>
      </c>
    </row>
    <row r="1102" spans="1:11" x14ac:dyDescent="0.35">
      <c r="A1102" s="1" t="s">
        <v>2368</v>
      </c>
      <c r="B1102" s="1" t="s">
        <v>2575</v>
      </c>
      <c r="C1102" s="1" t="s">
        <v>2583</v>
      </c>
      <c r="D1102" s="1" t="str">
        <f>"5180"</f>
        <v>5180</v>
      </c>
      <c r="E1102" s="1" t="str">
        <f>"015595981"</f>
        <v>015595981</v>
      </c>
      <c r="F1102" s="1" t="s">
        <v>2584</v>
      </c>
      <c r="G1102" s="1" t="s">
        <v>168</v>
      </c>
      <c r="H1102" s="1" t="str">
        <f>"1"</f>
        <v>1</v>
      </c>
      <c r="I1102" s="3" t="str">
        <f>"1774"</f>
        <v>1774</v>
      </c>
      <c r="J1102" s="4">
        <v>46111</v>
      </c>
      <c r="K1102" s="1" t="s">
        <v>2585</v>
      </c>
    </row>
    <row r="1103" spans="1:11" x14ac:dyDescent="0.35">
      <c r="A1103" s="1" t="s">
        <v>2368</v>
      </c>
      <c r="B1103" s="1" t="s">
        <v>2575</v>
      </c>
      <c r="C1103" s="1" t="s">
        <v>2586</v>
      </c>
      <c r="D1103" s="1" t="str">
        <f>"5180"</f>
        <v>5180</v>
      </c>
      <c r="E1103" s="1" t="str">
        <f>"015068287"</f>
        <v>015068287</v>
      </c>
      <c r="F1103" s="1" t="s">
        <v>2584</v>
      </c>
      <c r="G1103" s="1" t="s">
        <v>168</v>
      </c>
      <c r="H1103" s="1" t="str">
        <f>"1"</f>
        <v>1</v>
      </c>
      <c r="I1103" s="3" t="str">
        <f>"1774"</f>
        <v>1774</v>
      </c>
      <c r="J1103" s="4">
        <v>46111</v>
      </c>
      <c r="K1103" s="1" t="s">
        <v>2587</v>
      </c>
    </row>
    <row r="1104" spans="1:11" x14ac:dyDescent="0.35">
      <c r="A1104" s="1" t="s">
        <v>2368</v>
      </c>
      <c r="B1104" s="1" t="s">
        <v>2575</v>
      </c>
      <c r="C1104" s="1" t="s">
        <v>2593</v>
      </c>
      <c r="D1104" s="1" t="str">
        <f>"7830"</f>
        <v>7830</v>
      </c>
      <c r="E1104" s="1" t="s">
        <v>2594</v>
      </c>
      <c r="F1104" s="1" t="s">
        <v>2595</v>
      </c>
      <c r="G1104" s="1" t="s">
        <v>15</v>
      </c>
      <c r="H1104" s="1" t="str">
        <f>"1"</f>
        <v>1</v>
      </c>
      <c r="I1104" s="3">
        <v>2071.8200000000002</v>
      </c>
      <c r="J1104" s="4">
        <v>46111</v>
      </c>
      <c r="K1104" s="1" t="s">
        <v>2596</v>
      </c>
    </row>
    <row r="1105" spans="1:11" x14ac:dyDescent="0.35">
      <c r="A1105" s="1" t="s">
        <v>2368</v>
      </c>
      <c r="B1105" s="1" t="s">
        <v>2575</v>
      </c>
      <c r="C1105" s="1" t="s">
        <v>2609</v>
      </c>
      <c r="D1105" s="1" t="str">
        <f t="shared" ref="D1105:D1110" si="47">"8415"</f>
        <v>8415</v>
      </c>
      <c r="E1105" s="1" t="str">
        <f>"015269181"</f>
        <v>015269181</v>
      </c>
      <c r="F1105" s="1" t="s">
        <v>781</v>
      </c>
      <c r="G1105" s="1" t="s">
        <v>15</v>
      </c>
      <c r="H1105" s="1" t="str">
        <f>"2"</f>
        <v>2</v>
      </c>
      <c r="I1105" s="3">
        <v>171.72</v>
      </c>
      <c r="J1105" s="4">
        <v>46111</v>
      </c>
      <c r="K1105" s="1" t="s">
        <v>2610</v>
      </c>
    </row>
    <row r="1106" spans="1:11" x14ac:dyDescent="0.35">
      <c r="A1106" s="1" t="s">
        <v>2368</v>
      </c>
      <c r="B1106" s="1" t="s">
        <v>2575</v>
      </c>
      <c r="C1106" s="1" t="s">
        <v>2614</v>
      </c>
      <c r="D1106" s="1" t="str">
        <f t="shared" si="47"/>
        <v>8415</v>
      </c>
      <c r="E1106" s="1" t="str">
        <f>"015386766"</f>
        <v>015386766</v>
      </c>
      <c r="F1106" s="1" t="s">
        <v>758</v>
      </c>
      <c r="G1106" s="1" t="s">
        <v>15</v>
      </c>
      <c r="H1106" s="1" t="str">
        <f>"4"</f>
        <v>4</v>
      </c>
      <c r="I1106" s="3">
        <v>93.33</v>
      </c>
      <c r="J1106" s="4">
        <v>46111</v>
      </c>
      <c r="K1106" s="1" t="s">
        <v>2615</v>
      </c>
    </row>
    <row r="1107" spans="1:11" x14ac:dyDescent="0.35">
      <c r="A1107" s="1" t="s">
        <v>2368</v>
      </c>
      <c r="B1107" s="1" t="s">
        <v>2575</v>
      </c>
      <c r="C1107" s="1" t="s">
        <v>2618</v>
      </c>
      <c r="D1107" s="1" t="str">
        <f t="shared" si="47"/>
        <v>8415</v>
      </c>
      <c r="E1107" s="1" t="str">
        <f>"015386766"</f>
        <v>015386766</v>
      </c>
      <c r="F1107" s="1" t="s">
        <v>758</v>
      </c>
      <c r="G1107" s="1" t="s">
        <v>15</v>
      </c>
      <c r="H1107" s="1" t="str">
        <f>"3"</f>
        <v>3</v>
      </c>
      <c r="I1107" s="3">
        <v>93.33</v>
      </c>
      <c r="J1107" s="4">
        <v>46111</v>
      </c>
      <c r="K1107" s="1" t="s">
        <v>2619</v>
      </c>
    </row>
    <row r="1108" spans="1:11" x14ac:dyDescent="0.35">
      <c r="A1108" s="1" t="s">
        <v>2368</v>
      </c>
      <c r="B1108" s="1" t="s">
        <v>2575</v>
      </c>
      <c r="C1108" s="1" t="s">
        <v>2620</v>
      </c>
      <c r="D1108" s="1" t="str">
        <f t="shared" si="47"/>
        <v>8415</v>
      </c>
      <c r="E1108" s="1" t="str">
        <f>"015459958"</f>
        <v>015459958</v>
      </c>
      <c r="F1108" s="1" t="s">
        <v>771</v>
      </c>
      <c r="G1108" s="1" t="s">
        <v>15</v>
      </c>
      <c r="H1108" s="1" t="str">
        <f>"10"</f>
        <v>10</v>
      </c>
      <c r="I1108" s="3">
        <v>123.35</v>
      </c>
      <c r="J1108" s="4">
        <v>46111</v>
      </c>
      <c r="K1108" s="1" t="s">
        <v>2621</v>
      </c>
    </row>
    <row r="1109" spans="1:11" x14ac:dyDescent="0.35">
      <c r="A1109" s="1" t="s">
        <v>2368</v>
      </c>
      <c r="B1109" s="1" t="s">
        <v>2575</v>
      </c>
      <c r="C1109" s="1" t="s">
        <v>2622</v>
      </c>
      <c r="D1109" s="1" t="str">
        <f t="shared" si="47"/>
        <v>8415</v>
      </c>
      <c r="E1109" s="1" t="str">
        <f>"015269181"</f>
        <v>015269181</v>
      </c>
      <c r="F1109" s="1" t="s">
        <v>781</v>
      </c>
      <c r="G1109" s="1" t="s">
        <v>15</v>
      </c>
      <c r="H1109" s="1" t="str">
        <f>"2"</f>
        <v>2</v>
      </c>
      <c r="I1109" s="3">
        <v>171.72</v>
      </c>
      <c r="J1109" s="4">
        <v>46111</v>
      </c>
      <c r="K1109" s="1" t="s">
        <v>2623</v>
      </c>
    </row>
    <row r="1110" spans="1:11" x14ac:dyDescent="0.35">
      <c r="A1110" s="1" t="s">
        <v>2368</v>
      </c>
      <c r="B1110" s="1" t="s">
        <v>2575</v>
      </c>
      <c r="C1110" s="1" t="s">
        <v>2624</v>
      </c>
      <c r="D1110" s="1" t="str">
        <f t="shared" si="47"/>
        <v>8415</v>
      </c>
      <c r="E1110" s="1" t="str">
        <f>"015269181"</f>
        <v>015269181</v>
      </c>
      <c r="F1110" s="1" t="s">
        <v>781</v>
      </c>
      <c r="G1110" s="1" t="s">
        <v>15</v>
      </c>
      <c r="H1110" s="1" t="str">
        <f>"4"</f>
        <v>4</v>
      </c>
      <c r="I1110" s="3">
        <v>171.72</v>
      </c>
      <c r="J1110" s="4">
        <v>46111</v>
      </c>
      <c r="K1110" s="1" t="s">
        <v>2623</v>
      </c>
    </row>
    <row r="1111" spans="1:11" x14ac:dyDescent="0.35">
      <c r="A1111" s="1" t="s">
        <v>2630</v>
      </c>
      <c r="B1111" s="1" t="s">
        <v>2638</v>
      </c>
      <c r="C1111" s="1" t="s">
        <v>2639</v>
      </c>
      <c r="D1111" s="1" t="str">
        <f>"2610"</f>
        <v>2610</v>
      </c>
      <c r="E1111" s="1" t="str">
        <f>"015592516"</f>
        <v>015592516</v>
      </c>
      <c r="F1111" s="1" t="s">
        <v>729</v>
      </c>
      <c r="G1111" s="1" t="s">
        <v>15</v>
      </c>
      <c r="H1111" s="1" t="str">
        <f>"4"</f>
        <v>4</v>
      </c>
      <c r="I1111" s="3">
        <v>1613.48</v>
      </c>
      <c r="J1111" s="4">
        <v>46092</v>
      </c>
      <c r="K1111" s="1" t="s">
        <v>2640</v>
      </c>
    </row>
    <row r="1112" spans="1:11" x14ac:dyDescent="0.35">
      <c r="A1112" s="1" t="s">
        <v>2630</v>
      </c>
      <c r="B1112" s="1" t="s">
        <v>2631</v>
      </c>
      <c r="C1112" s="1" t="s">
        <v>2632</v>
      </c>
      <c r="D1112" s="1" t="str">
        <f>"2320"</f>
        <v>2320</v>
      </c>
      <c r="E1112" s="1" t="str">
        <f>"013469317"</f>
        <v>013469317</v>
      </c>
      <c r="F1112" s="1" t="s">
        <v>1860</v>
      </c>
      <c r="G1112" s="1" t="s">
        <v>15</v>
      </c>
      <c r="H1112" s="1" t="str">
        <f>"1"</f>
        <v>1</v>
      </c>
      <c r="I1112" s="3" t="str">
        <f>"94171"</f>
        <v>94171</v>
      </c>
      <c r="J1112" s="4">
        <v>46108</v>
      </c>
      <c r="K1112" s="1" t="s">
        <v>2633</v>
      </c>
    </row>
    <row r="1113" spans="1:11" x14ac:dyDescent="0.35">
      <c r="A1113" s="1" t="s">
        <v>2630</v>
      </c>
      <c r="B1113" s="1" t="s">
        <v>2631</v>
      </c>
      <c r="C1113" s="1" t="s">
        <v>2634</v>
      </c>
      <c r="D1113" s="1" t="str">
        <f>"8145"</f>
        <v>8145</v>
      </c>
      <c r="E1113" s="1" t="s">
        <v>2635</v>
      </c>
      <c r="F1113" s="1" t="s">
        <v>2636</v>
      </c>
      <c r="G1113" s="1" t="s">
        <v>15</v>
      </c>
      <c r="H1113" s="1" t="str">
        <f>"1"</f>
        <v>1</v>
      </c>
      <c r="I1113" s="3" t="str">
        <f>"5000"</f>
        <v>5000</v>
      </c>
      <c r="J1113" s="4">
        <v>46108</v>
      </c>
      <c r="K1113" s="1" t="s">
        <v>2637</v>
      </c>
    </row>
    <row r="1114" spans="1:11" x14ac:dyDescent="0.35">
      <c r="A1114" s="1" t="s">
        <v>2641</v>
      </c>
      <c r="B1114" s="1" t="s">
        <v>2690</v>
      </c>
      <c r="C1114" s="1" t="s">
        <v>2707</v>
      </c>
      <c r="D1114" s="1" t="str">
        <f>"1095"</f>
        <v>1095</v>
      </c>
      <c r="E1114" s="1" t="str">
        <f>"014553378"</f>
        <v>014553378</v>
      </c>
      <c r="F1114" s="1" t="s">
        <v>2708</v>
      </c>
      <c r="G1114" s="1" t="s">
        <v>15</v>
      </c>
      <c r="H1114" s="1" t="str">
        <f>"20"</f>
        <v>20</v>
      </c>
      <c r="I1114" s="3" t="str">
        <f>"275"</f>
        <v>275</v>
      </c>
      <c r="J1114" s="4">
        <v>46027</v>
      </c>
      <c r="K1114" s="1" t="s">
        <v>2709</v>
      </c>
    </row>
    <row r="1115" spans="1:11" x14ac:dyDescent="0.35">
      <c r="A1115" s="1" t="s">
        <v>2641</v>
      </c>
      <c r="B1115" s="1" t="s">
        <v>2690</v>
      </c>
      <c r="C1115" s="1" t="s">
        <v>2718</v>
      </c>
      <c r="D1115" s="1" t="str">
        <f>"3930"</f>
        <v>3930</v>
      </c>
      <c r="E1115" s="1" t="s">
        <v>95</v>
      </c>
      <c r="F1115" s="1" t="s">
        <v>96</v>
      </c>
      <c r="G1115" s="1" t="s">
        <v>15</v>
      </c>
      <c r="H1115" s="1" t="str">
        <f>"1"</f>
        <v>1</v>
      </c>
      <c r="I1115" s="3" t="str">
        <f>"30941"</f>
        <v>30941</v>
      </c>
      <c r="J1115" s="4">
        <v>46027</v>
      </c>
      <c r="K1115" s="1" t="s">
        <v>2719</v>
      </c>
    </row>
    <row r="1116" spans="1:11" x14ac:dyDescent="0.35">
      <c r="A1116" s="1" t="s">
        <v>2641</v>
      </c>
      <c r="B1116" s="1" t="s">
        <v>2690</v>
      </c>
      <c r="C1116" s="1" t="s">
        <v>2730</v>
      </c>
      <c r="D1116" s="1" t="str">
        <f>"4240"</f>
        <v>4240</v>
      </c>
      <c r="E1116" s="1" t="s">
        <v>372</v>
      </c>
      <c r="F1116" s="1" t="s">
        <v>373</v>
      </c>
      <c r="G1116" s="1" t="s">
        <v>15</v>
      </c>
      <c r="H1116" s="1" t="str">
        <f>"3"</f>
        <v>3</v>
      </c>
      <c r="I1116" s="3" t="str">
        <f>"250"</f>
        <v>250</v>
      </c>
      <c r="J1116" s="4">
        <v>46027</v>
      </c>
      <c r="K1116" s="1" t="s">
        <v>2731</v>
      </c>
    </row>
    <row r="1117" spans="1:11" x14ac:dyDescent="0.35">
      <c r="A1117" s="1" t="s">
        <v>2641</v>
      </c>
      <c r="B1117" s="1" t="s">
        <v>2690</v>
      </c>
      <c r="C1117" s="1" t="s">
        <v>2832</v>
      </c>
      <c r="D1117" s="1" t="str">
        <f>"5340"</f>
        <v>5340</v>
      </c>
      <c r="E1117" s="1" t="s">
        <v>2833</v>
      </c>
      <c r="F1117" s="1" t="s">
        <v>2834</v>
      </c>
      <c r="G1117" s="1" t="s">
        <v>15</v>
      </c>
      <c r="H1117" s="1" t="str">
        <f>"13"</f>
        <v>13</v>
      </c>
      <c r="I1117" s="3" t="str">
        <f>"30"</f>
        <v>30</v>
      </c>
      <c r="J1117" s="4">
        <v>46027</v>
      </c>
      <c r="K1117" s="1" t="s">
        <v>2835</v>
      </c>
    </row>
    <row r="1118" spans="1:11" x14ac:dyDescent="0.35">
      <c r="A1118" s="1" t="s">
        <v>2641</v>
      </c>
      <c r="B1118" s="1" t="s">
        <v>2690</v>
      </c>
      <c r="C1118" s="1" t="s">
        <v>2846</v>
      </c>
      <c r="D1118" s="1" t="str">
        <f>"5975"</f>
        <v>5975</v>
      </c>
      <c r="E1118" s="1" t="str">
        <f>"016290987"</f>
        <v>016290987</v>
      </c>
      <c r="F1118" s="1" t="s">
        <v>2847</v>
      </c>
      <c r="G1118" s="1" t="s">
        <v>15</v>
      </c>
      <c r="H1118" s="1" t="str">
        <f>"4"</f>
        <v>4</v>
      </c>
      <c r="I1118" s="3">
        <v>279.76</v>
      </c>
      <c r="J1118" s="4">
        <v>46027</v>
      </c>
      <c r="K1118" s="1" t="s">
        <v>2848</v>
      </c>
    </row>
    <row r="1119" spans="1:11" x14ac:dyDescent="0.35">
      <c r="A1119" s="1" t="s">
        <v>2641</v>
      </c>
      <c r="B1119" s="1" t="s">
        <v>2690</v>
      </c>
      <c r="C1119" s="1" t="s">
        <v>2849</v>
      </c>
      <c r="D1119" s="1" t="str">
        <f>"5975"</f>
        <v>5975</v>
      </c>
      <c r="E1119" s="1" t="s">
        <v>2850</v>
      </c>
      <c r="F1119" s="1" t="s">
        <v>2851</v>
      </c>
      <c r="G1119" s="1" t="s">
        <v>15</v>
      </c>
      <c r="H1119" s="1" t="str">
        <f>"12"</f>
        <v>12</v>
      </c>
      <c r="I1119" s="3" t="str">
        <f>"405"</f>
        <v>405</v>
      </c>
      <c r="J1119" s="4">
        <v>46027</v>
      </c>
      <c r="K1119" s="1" t="s">
        <v>2852</v>
      </c>
    </row>
    <row r="1120" spans="1:11" x14ac:dyDescent="0.35">
      <c r="A1120" s="1" t="s">
        <v>2641</v>
      </c>
      <c r="B1120" s="1" t="s">
        <v>2690</v>
      </c>
      <c r="C1120" s="1" t="s">
        <v>2873</v>
      </c>
      <c r="D1120" s="1" t="str">
        <f t="shared" ref="D1120:D1130" si="48">"6720"</f>
        <v>6720</v>
      </c>
      <c r="E1120" s="1" t="s">
        <v>1719</v>
      </c>
      <c r="F1120" s="1" t="s">
        <v>1720</v>
      </c>
      <c r="G1120" s="1" t="s">
        <v>15</v>
      </c>
      <c r="H1120" s="1" t="str">
        <f t="shared" ref="H1120:H1130" si="49">"1"</f>
        <v>1</v>
      </c>
      <c r="I1120" s="3" t="str">
        <f>"100"</f>
        <v>100</v>
      </c>
      <c r="J1120" s="4">
        <v>46027</v>
      </c>
      <c r="K1120" s="1" t="s">
        <v>2874</v>
      </c>
    </row>
    <row r="1121" spans="1:11" x14ac:dyDescent="0.35">
      <c r="A1121" s="1" t="s">
        <v>2641</v>
      </c>
      <c r="B1121" s="1" t="s">
        <v>2690</v>
      </c>
      <c r="C1121" s="1" t="s">
        <v>2875</v>
      </c>
      <c r="D1121" s="1" t="str">
        <f t="shared" si="48"/>
        <v>6720</v>
      </c>
      <c r="E1121" s="1" t="s">
        <v>1719</v>
      </c>
      <c r="F1121" s="1" t="s">
        <v>1720</v>
      </c>
      <c r="G1121" s="1" t="s">
        <v>15</v>
      </c>
      <c r="H1121" s="1" t="str">
        <f t="shared" si="49"/>
        <v>1</v>
      </c>
      <c r="I1121" s="3" t="str">
        <f>"100"</f>
        <v>100</v>
      </c>
      <c r="J1121" s="4">
        <v>46027</v>
      </c>
      <c r="K1121" s="1" t="s">
        <v>2874</v>
      </c>
    </row>
    <row r="1122" spans="1:11" x14ac:dyDescent="0.35">
      <c r="A1122" s="1" t="s">
        <v>2641</v>
      </c>
      <c r="B1122" s="1" t="s">
        <v>2690</v>
      </c>
      <c r="C1122" s="1" t="s">
        <v>2876</v>
      </c>
      <c r="D1122" s="1" t="str">
        <f t="shared" si="48"/>
        <v>6720</v>
      </c>
      <c r="E1122" s="1" t="s">
        <v>1719</v>
      </c>
      <c r="F1122" s="1" t="s">
        <v>1720</v>
      </c>
      <c r="G1122" s="1" t="s">
        <v>15</v>
      </c>
      <c r="H1122" s="1" t="str">
        <f t="shared" si="49"/>
        <v>1</v>
      </c>
      <c r="I1122" s="3" t="str">
        <f>"100"</f>
        <v>100</v>
      </c>
      <c r="J1122" s="4">
        <v>46027</v>
      </c>
      <c r="K1122" s="1" t="s">
        <v>2874</v>
      </c>
    </row>
    <row r="1123" spans="1:11" x14ac:dyDescent="0.35">
      <c r="A1123" s="1" t="s">
        <v>2641</v>
      </c>
      <c r="B1123" s="1" t="s">
        <v>2690</v>
      </c>
      <c r="C1123" s="1" t="s">
        <v>2877</v>
      </c>
      <c r="D1123" s="1" t="str">
        <f t="shared" si="48"/>
        <v>6720</v>
      </c>
      <c r="E1123" s="1" t="s">
        <v>1719</v>
      </c>
      <c r="F1123" s="1" t="s">
        <v>1720</v>
      </c>
      <c r="G1123" s="1" t="s">
        <v>15</v>
      </c>
      <c r="H1123" s="1" t="str">
        <f t="shared" si="49"/>
        <v>1</v>
      </c>
      <c r="I1123" s="3" t="str">
        <f>"100"</f>
        <v>100</v>
      </c>
      <c r="J1123" s="4">
        <v>46027</v>
      </c>
      <c r="K1123" s="1" t="s">
        <v>2874</v>
      </c>
    </row>
    <row r="1124" spans="1:11" x14ac:dyDescent="0.35">
      <c r="A1124" s="1" t="s">
        <v>2641</v>
      </c>
      <c r="B1124" s="1" t="s">
        <v>2690</v>
      </c>
      <c r="C1124" s="1" t="s">
        <v>2878</v>
      </c>
      <c r="D1124" s="1" t="str">
        <f t="shared" si="48"/>
        <v>6720</v>
      </c>
      <c r="E1124" s="1" t="s">
        <v>1719</v>
      </c>
      <c r="F1124" s="1" t="s">
        <v>1720</v>
      </c>
      <c r="G1124" s="1" t="s">
        <v>15</v>
      </c>
      <c r="H1124" s="1" t="str">
        <f t="shared" si="49"/>
        <v>1</v>
      </c>
      <c r="I1124" s="3" t="str">
        <f>"100"</f>
        <v>100</v>
      </c>
      <c r="J1124" s="4">
        <v>46027</v>
      </c>
      <c r="K1124" s="1" t="s">
        <v>2874</v>
      </c>
    </row>
    <row r="1125" spans="1:11" x14ac:dyDescent="0.35">
      <c r="A1125" s="1" t="s">
        <v>2641</v>
      </c>
      <c r="B1125" s="1" t="s">
        <v>2690</v>
      </c>
      <c r="C1125" s="1" t="s">
        <v>2879</v>
      </c>
      <c r="D1125" s="1" t="str">
        <f t="shared" si="48"/>
        <v>6720</v>
      </c>
      <c r="E1125" s="1" t="s">
        <v>1719</v>
      </c>
      <c r="F1125" s="1" t="s">
        <v>1720</v>
      </c>
      <c r="G1125" s="1" t="s">
        <v>15</v>
      </c>
      <c r="H1125" s="1" t="str">
        <f t="shared" si="49"/>
        <v>1</v>
      </c>
      <c r="I1125" s="3" t="str">
        <f>"250"</f>
        <v>250</v>
      </c>
      <c r="J1125" s="4">
        <v>46027</v>
      </c>
      <c r="K1125" s="1" t="s">
        <v>2874</v>
      </c>
    </row>
    <row r="1126" spans="1:11" x14ac:dyDescent="0.35">
      <c r="A1126" s="1" t="s">
        <v>2641</v>
      </c>
      <c r="B1126" s="1" t="s">
        <v>2690</v>
      </c>
      <c r="C1126" s="1" t="s">
        <v>2880</v>
      </c>
      <c r="D1126" s="1" t="str">
        <f t="shared" si="48"/>
        <v>6720</v>
      </c>
      <c r="E1126" s="1" t="s">
        <v>1719</v>
      </c>
      <c r="F1126" s="1" t="s">
        <v>1720</v>
      </c>
      <c r="G1126" s="1" t="s">
        <v>15</v>
      </c>
      <c r="H1126" s="1" t="str">
        <f t="shared" si="49"/>
        <v>1</v>
      </c>
      <c r="I1126" s="3" t="str">
        <f>"100"</f>
        <v>100</v>
      </c>
      <c r="J1126" s="4">
        <v>46027</v>
      </c>
      <c r="K1126" s="1" t="s">
        <v>2874</v>
      </c>
    </row>
    <row r="1127" spans="1:11" x14ac:dyDescent="0.35">
      <c r="A1127" s="1" t="s">
        <v>2641</v>
      </c>
      <c r="B1127" s="1" t="s">
        <v>2690</v>
      </c>
      <c r="C1127" s="1" t="s">
        <v>2881</v>
      </c>
      <c r="D1127" s="1" t="str">
        <f t="shared" si="48"/>
        <v>6720</v>
      </c>
      <c r="E1127" s="1" t="s">
        <v>1719</v>
      </c>
      <c r="F1127" s="1" t="s">
        <v>1720</v>
      </c>
      <c r="G1127" s="1" t="s">
        <v>15</v>
      </c>
      <c r="H1127" s="1" t="str">
        <f t="shared" si="49"/>
        <v>1</v>
      </c>
      <c r="I1127" s="3" t="str">
        <f>"100"</f>
        <v>100</v>
      </c>
      <c r="J1127" s="4">
        <v>46027</v>
      </c>
      <c r="K1127" s="1" t="s">
        <v>2874</v>
      </c>
    </row>
    <row r="1128" spans="1:11" x14ac:dyDescent="0.35">
      <c r="A1128" s="1" t="s">
        <v>2641</v>
      </c>
      <c r="B1128" s="1" t="s">
        <v>2690</v>
      </c>
      <c r="C1128" s="1" t="s">
        <v>2882</v>
      </c>
      <c r="D1128" s="1" t="str">
        <f t="shared" si="48"/>
        <v>6720</v>
      </c>
      <c r="E1128" s="1" t="s">
        <v>1719</v>
      </c>
      <c r="F1128" s="1" t="s">
        <v>1720</v>
      </c>
      <c r="G1128" s="1" t="s">
        <v>15</v>
      </c>
      <c r="H1128" s="1" t="str">
        <f t="shared" si="49"/>
        <v>1</v>
      </c>
      <c r="I1128" s="3" t="str">
        <f>"100"</f>
        <v>100</v>
      </c>
      <c r="J1128" s="4">
        <v>46027</v>
      </c>
      <c r="K1128" s="1" t="s">
        <v>2874</v>
      </c>
    </row>
    <row r="1129" spans="1:11" x14ac:dyDescent="0.35">
      <c r="A1129" s="1" t="s">
        <v>2641</v>
      </c>
      <c r="B1129" s="1" t="s">
        <v>2690</v>
      </c>
      <c r="C1129" s="1" t="s">
        <v>2883</v>
      </c>
      <c r="D1129" s="1" t="str">
        <f t="shared" si="48"/>
        <v>6720</v>
      </c>
      <c r="E1129" s="1" t="s">
        <v>1719</v>
      </c>
      <c r="F1129" s="1" t="s">
        <v>1720</v>
      </c>
      <c r="G1129" s="1" t="s">
        <v>15</v>
      </c>
      <c r="H1129" s="1" t="str">
        <f t="shared" si="49"/>
        <v>1</v>
      </c>
      <c r="I1129" s="3" t="str">
        <f>"100"</f>
        <v>100</v>
      </c>
      <c r="J1129" s="4">
        <v>46027</v>
      </c>
      <c r="K1129" s="1" t="s">
        <v>2874</v>
      </c>
    </row>
    <row r="1130" spans="1:11" x14ac:dyDescent="0.35">
      <c r="A1130" s="1" t="s">
        <v>2641</v>
      </c>
      <c r="B1130" s="1" t="s">
        <v>2690</v>
      </c>
      <c r="C1130" s="1" t="s">
        <v>2884</v>
      </c>
      <c r="D1130" s="1" t="str">
        <f t="shared" si="48"/>
        <v>6720</v>
      </c>
      <c r="E1130" s="1" t="s">
        <v>1719</v>
      </c>
      <c r="F1130" s="1" t="s">
        <v>1720</v>
      </c>
      <c r="G1130" s="1" t="s">
        <v>15</v>
      </c>
      <c r="H1130" s="1" t="str">
        <f t="shared" si="49"/>
        <v>1</v>
      </c>
      <c r="I1130" s="3" t="str">
        <f>"100"</f>
        <v>100</v>
      </c>
      <c r="J1130" s="4">
        <v>46027</v>
      </c>
      <c r="K1130" s="1" t="s">
        <v>2874</v>
      </c>
    </row>
    <row r="1131" spans="1:11" x14ac:dyDescent="0.35">
      <c r="A1131" s="1" t="s">
        <v>2641</v>
      </c>
      <c r="B1131" s="1" t="s">
        <v>2690</v>
      </c>
      <c r="C1131" s="1" t="s">
        <v>3087</v>
      </c>
      <c r="D1131" s="1" t="str">
        <f>"8465"</f>
        <v>8465</v>
      </c>
      <c r="E1131" s="1" t="str">
        <f>"005303692"</f>
        <v>005303692</v>
      </c>
      <c r="F1131" s="1" t="s">
        <v>3088</v>
      </c>
      <c r="G1131" s="1" t="s">
        <v>15</v>
      </c>
      <c r="H1131" s="1" t="str">
        <f>"5"</f>
        <v>5</v>
      </c>
      <c r="I1131" s="3">
        <v>15.17</v>
      </c>
      <c r="J1131" s="4">
        <v>46027</v>
      </c>
      <c r="K1131" s="1" t="s">
        <v>3089</v>
      </c>
    </row>
    <row r="1132" spans="1:11" x14ac:dyDescent="0.35">
      <c r="A1132" s="1" t="s">
        <v>2641</v>
      </c>
      <c r="B1132" s="1" t="s">
        <v>2690</v>
      </c>
      <c r="C1132" s="1" t="s">
        <v>3090</v>
      </c>
      <c r="D1132" s="1" t="str">
        <f>"8465"</f>
        <v>8465</v>
      </c>
      <c r="E1132" s="1" t="str">
        <f>"016733374"</f>
        <v>016733374</v>
      </c>
      <c r="F1132" s="1" t="s">
        <v>856</v>
      </c>
      <c r="G1132" s="1" t="s">
        <v>15</v>
      </c>
      <c r="H1132" s="1" t="str">
        <f>"1"</f>
        <v>1</v>
      </c>
      <c r="I1132" s="3">
        <v>376.9</v>
      </c>
      <c r="J1132" s="4">
        <v>46027</v>
      </c>
      <c r="K1132" s="1" t="s">
        <v>3091</v>
      </c>
    </row>
    <row r="1133" spans="1:11" x14ac:dyDescent="0.35">
      <c r="A1133" s="1" t="s">
        <v>2641</v>
      </c>
      <c r="B1133" s="1" t="s">
        <v>2690</v>
      </c>
      <c r="C1133" s="1" t="s">
        <v>3092</v>
      </c>
      <c r="D1133" s="1" t="str">
        <f>"8465"</f>
        <v>8465</v>
      </c>
      <c r="E1133" s="1" t="str">
        <f>"010490888"</f>
        <v>010490888</v>
      </c>
      <c r="F1133" s="1" t="s">
        <v>1961</v>
      </c>
      <c r="G1133" s="1" t="s">
        <v>15</v>
      </c>
      <c r="H1133" s="1" t="str">
        <f>"11"</f>
        <v>11</v>
      </c>
      <c r="I1133" s="3">
        <v>72.53</v>
      </c>
      <c r="J1133" s="4">
        <v>46027</v>
      </c>
      <c r="K1133" s="1" t="s">
        <v>3093</v>
      </c>
    </row>
    <row r="1134" spans="1:11" x14ac:dyDescent="0.35">
      <c r="A1134" s="1" t="s">
        <v>2641</v>
      </c>
      <c r="B1134" s="1" t="s">
        <v>2690</v>
      </c>
      <c r="C1134" s="1" t="s">
        <v>3113</v>
      </c>
      <c r="D1134" s="1" t="str">
        <f>"9905"</f>
        <v>9905</v>
      </c>
      <c r="E1134" s="1" t="s">
        <v>3114</v>
      </c>
      <c r="F1134" s="1" t="s">
        <v>3115</v>
      </c>
      <c r="G1134" s="1" t="s">
        <v>15</v>
      </c>
      <c r="H1134" s="1" t="str">
        <f>"2"</f>
        <v>2</v>
      </c>
      <c r="I1134" s="3" t="str">
        <f>"150"</f>
        <v>150</v>
      </c>
      <c r="J1134" s="4">
        <v>46027</v>
      </c>
      <c r="K1134" s="1" t="s">
        <v>3116</v>
      </c>
    </row>
    <row r="1135" spans="1:11" x14ac:dyDescent="0.35">
      <c r="A1135" s="1" t="s">
        <v>2641</v>
      </c>
      <c r="B1135" s="1" t="s">
        <v>2690</v>
      </c>
      <c r="C1135" s="1" t="s">
        <v>2866</v>
      </c>
      <c r="D1135" s="1" t="str">
        <f>"6625"</f>
        <v>6625</v>
      </c>
      <c r="E1135" s="1" t="str">
        <f>"012656000"</f>
        <v>012656000</v>
      </c>
      <c r="F1135" s="1" t="s">
        <v>644</v>
      </c>
      <c r="G1135" s="1" t="s">
        <v>15</v>
      </c>
      <c r="H1135" s="1" t="str">
        <f>"1"</f>
        <v>1</v>
      </c>
      <c r="I1135" s="3">
        <v>817.96</v>
      </c>
      <c r="J1135" s="4">
        <v>46028</v>
      </c>
      <c r="K1135" s="1" t="s">
        <v>2867</v>
      </c>
    </row>
    <row r="1136" spans="1:11" x14ac:dyDescent="0.35">
      <c r="A1136" s="1" t="s">
        <v>2641</v>
      </c>
      <c r="B1136" s="1" t="s">
        <v>2687</v>
      </c>
      <c r="C1136" s="1" t="s">
        <v>2688</v>
      </c>
      <c r="D1136" s="1" t="str">
        <f>"2360"</f>
        <v>2360</v>
      </c>
      <c r="E1136" s="1" t="str">
        <f>"015349828"</f>
        <v>015349828</v>
      </c>
      <c r="F1136" s="1" t="s">
        <v>1913</v>
      </c>
      <c r="G1136" s="1" t="s">
        <v>15</v>
      </c>
      <c r="H1136" s="1" t="str">
        <f>"1"</f>
        <v>1</v>
      </c>
      <c r="I1136" s="3" t="str">
        <f>"221319"</f>
        <v>221319</v>
      </c>
      <c r="J1136" s="4">
        <v>46031</v>
      </c>
      <c r="K1136" s="1" t="s">
        <v>2689</v>
      </c>
    </row>
    <row r="1137" spans="1:11" x14ac:dyDescent="0.35">
      <c r="A1137" s="1" t="s">
        <v>2641</v>
      </c>
      <c r="B1137" s="1" t="s">
        <v>3124</v>
      </c>
      <c r="C1137" s="1" t="s">
        <v>3125</v>
      </c>
      <c r="D1137" s="1" t="str">
        <f>"2330"</f>
        <v>2330</v>
      </c>
      <c r="E1137" s="1" t="s">
        <v>104</v>
      </c>
      <c r="F1137" s="1" t="s">
        <v>105</v>
      </c>
      <c r="G1137" s="1" t="s">
        <v>15</v>
      </c>
      <c r="H1137" s="1" t="str">
        <f>"1"</f>
        <v>1</v>
      </c>
      <c r="I1137" s="3">
        <v>41374.559999999998</v>
      </c>
      <c r="J1137" s="4">
        <v>46031</v>
      </c>
      <c r="K1137" s="1" t="s">
        <v>3126</v>
      </c>
    </row>
    <row r="1138" spans="1:11" x14ac:dyDescent="0.35">
      <c r="A1138" s="1" t="s">
        <v>2641</v>
      </c>
      <c r="B1138" s="1" t="s">
        <v>3124</v>
      </c>
      <c r="C1138" s="1" t="s">
        <v>3139</v>
      </c>
      <c r="D1138" s="1" t="str">
        <f>"5180"</f>
        <v>5180</v>
      </c>
      <c r="E1138" s="1" t="str">
        <f>"014830249"</f>
        <v>014830249</v>
      </c>
      <c r="F1138" s="1" t="s">
        <v>2821</v>
      </c>
      <c r="G1138" s="1" t="s">
        <v>257</v>
      </c>
      <c r="H1138" s="1" t="str">
        <f>"4"</f>
        <v>4</v>
      </c>
      <c r="I1138" s="3" t="str">
        <f>"1780"</f>
        <v>1780</v>
      </c>
      <c r="J1138" s="4">
        <v>46031</v>
      </c>
      <c r="K1138" s="1" t="s">
        <v>3140</v>
      </c>
    </row>
    <row r="1139" spans="1:11" x14ac:dyDescent="0.35">
      <c r="A1139" s="1" t="s">
        <v>2641</v>
      </c>
      <c r="B1139" s="1" t="s">
        <v>3124</v>
      </c>
      <c r="C1139" s="1" t="s">
        <v>3141</v>
      </c>
      <c r="D1139" s="1" t="str">
        <f>"5180"</f>
        <v>5180</v>
      </c>
      <c r="E1139" s="1" t="str">
        <f>"014830250"</f>
        <v>014830250</v>
      </c>
      <c r="F1139" s="1" t="s">
        <v>1831</v>
      </c>
      <c r="G1139" s="1" t="s">
        <v>257</v>
      </c>
      <c r="H1139" s="1" t="str">
        <f>"1"</f>
        <v>1</v>
      </c>
      <c r="I1139" s="3" t="str">
        <f>"1803"</f>
        <v>1803</v>
      </c>
      <c r="J1139" s="4">
        <v>46031</v>
      </c>
      <c r="K1139" s="1" t="s">
        <v>3140</v>
      </c>
    </row>
    <row r="1140" spans="1:11" x14ac:dyDescent="0.35">
      <c r="A1140" s="1" t="s">
        <v>2641</v>
      </c>
      <c r="B1140" s="1" t="s">
        <v>3124</v>
      </c>
      <c r="C1140" s="1" t="s">
        <v>3249</v>
      </c>
      <c r="D1140" s="1" t="str">
        <f>"8465"</f>
        <v>8465</v>
      </c>
      <c r="E1140" s="1" t="str">
        <f>"015472644"</f>
        <v>015472644</v>
      </c>
      <c r="F1140" s="1" t="s">
        <v>3250</v>
      </c>
      <c r="G1140" s="1" t="s">
        <v>15</v>
      </c>
      <c r="H1140" s="1" t="str">
        <f>"15"</f>
        <v>15</v>
      </c>
      <c r="I1140" s="3">
        <v>131.53</v>
      </c>
      <c r="J1140" s="4">
        <v>46031</v>
      </c>
      <c r="K1140" s="1" t="s">
        <v>3251</v>
      </c>
    </row>
    <row r="1141" spans="1:11" x14ac:dyDescent="0.35">
      <c r="A1141" s="1" t="s">
        <v>2641</v>
      </c>
      <c r="B1141" s="1" t="s">
        <v>3124</v>
      </c>
      <c r="C1141" s="1" t="s">
        <v>3252</v>
      </c>
      <c r="D1141" s="1" t="str">
        <f>"8465"</f>
        <v>8465</v>
      </c>
      <c r="E1141" s="1" t="str">
        <f>"013980685"</f>
        <v>013980685</v>
      </c>
      <c r="F1141" s="1" t="s">
        <v>1961</v>
      </c>
      <c r="G1141" s="1" t="s">
        <v>15</v>
      </c>
      <c r="H1141" s="1" t="str">
        <f>"10"</f>
        <v>10</v>
      </c>
      <c r="I1141" s="3">
        <v>47.26</v>
      </c>
      <c r="J1141" s="4">
        <v>46031</v>
      </c>
      <c r="K1141" s="1" t="s">
        <v>3253</v>
      </c>
    </row>
    <row r="1142" spans="1:11" x14ac:dyDescent="0.35">
      <c r="A1142" s="1" t="s">
        <v>2641</v>
      </c>
      <c r="B1142" s="1" t="s">
        <v>3124</v>
      </c>
      <c r="C1142" s="1" t="s">
        <v>3129</v>
      </c>
      <c r="D1142" s="1" t="str">
        <f>"2340"</f>
        <v>2340</v>
      </c>
      <c r="E1142" s="1" t="s">
        <v>1071</v>
      </c>
      <c r="F1142" s="1" t="s">
        <v>1072</v>
      </c>
      <c r="G1142" s="1" t="s">
        <v>15</v>
      </c>
      <c r="H1142" s="1" t="str">
        <f>"1"</f>
        <v>1</v>
      </c>
      <c r="I1142" s="3" t="str">
        <f>"35000"</f>
        <v>35000</v>
      </c>
      <c r="J1142" s="4">
        <v>46036</v>
      </c>
      <c r="K1142" s="1" t="s">
        <v>3130</v>
      </c>
    </row>
    <row r="1143" spans="1:11" x14ac:dyDescent="0.35">
      <c r="A1143" s="1" t="s">
        <v>2641</v>
      </c>
      <c r="B1143" s="1" t="s">
        <v>2656</v>
      </c>
      <c r="C1143" s="1" t="s">
        <v>2679</v>
      </c>
      <c r="D1143" s="1" t="str">
        <f>"8465"</f>
        <v>8465</v>
      </c>
      <c r="E1143" s="1" t="str">
        <f>"015245250"</f>
        <v>015245250</v>
      </c>
      <c r="F1143" s="1" t="s">
        <v>343</v>
      </c>
      <c r="G1143" s="1" t="s">
        <v>15</v>
      </c>
      <c r="H1143" s="1" t="str">
        <f>"1"</f>
        <v>1</v>
      </c>
      <c r="I1143" s="3">
        <v>75.150000000000006</v>
      </c>
      <c r="J1143" s="4">
        <v>46038</v>
      </c>
      <c r="K1143" s="1" t="s">
        <v>2680</v>
      </c>
    </row>
    <row r="1144" spans="1:11" x14ac:dyDescent="0.35">
      <c r="A1144" s="1" t="s">
        <v>2641</v>
      </c>
      <c r="B1144" s="1" t="s">
        <v>3124</v>
      </c>
      <c r="C1144" s="1" t="s">
        <v>3174</v>
      </c>
      <c r="D1144" s="1" t="str">
        <f t="shared" ref="D1144:D1152" si="50">"8415"</f>
        <v>8415</v>
      </c>
      <c r="E1144" s="1" t="str">
        <f>"012281319"</f>
        <v>012281319</v>
      </c>
      <c r="F1144" s="1" t="s">
        <v>781</v>
      </c>
      <c r="G1144" s="1" t="s">
        <v>15</v>
      </c>
      <c r="H1144" s="1" t="str">
        <f>"1"</f>
        <v>1</v>
      </c>
      <c r="I1144" s="3">
        <v>155.33000000000001</v>
      </c>
      <c r="J1144" s="4">
        <v>46042</v>
      </c>
      <c r="K1144" s="1" t="s">
        <v>3175</v>
      </c>
    </row>
    <row r="1145" spans="1:11" x14ac:dyDescent="0.35">
      <c r="A1145" s="1" t="s">
        <v>2641</v>
      </c>
      <c r="B1145" s="1" t="s">
        <v>3124</v>
      </c>
      <c r="C1145" s="1" t="s">
        <v>3176</v>
      </c>
      <c r="D1145" s="1" t="str">
        <f t="shared" si="50"/>
        <v>8415</v>
      </c>
      <c r="E1145" s="1" t="str">
        <f>"015802782"</f>
        <v>015802782</v>
      </c>
      <c r="F1145" s="1" t="s">
        <v>18</v>
      </c>
      <c r="G1145" s="1" t="s">
        <v>15</v>
      </c>
      <c r="H1145" s="1" t="str">
        <f>"1"</f>
        <v>1</v>
      </c>
      <c r="I1145" s="3">
        <v>146.81</v>
      </c>
      <c r="J1145" s="4">
        <v>46042</v>
      </c>
      <c r="K1145" s="1" t="s">
        <v>3175</v>
      </c>
    </row>
    <row r="1146" spans="1:11" x14ac:dyDescent="0.35">
      <c r="A1146" s="1" t="s">
        <v>2641</v>
      </c>
      <c r="B1146" s="1" t="s">
        <v>3124</v>
      </c>
      <c r="C1146" s="1" t="s">
        <v>3177</v>
      </c>
      <c r="D1146" s="1" t="str">
        <f t="shared" si="50"/>
        <v>8415</v>
      </c>
      <c r="E1146" s="1" t="str">
        <f>"015802782"</f>
        <v>015802782</v>
      </c>
      <c r="F1146" s="1" t="s">
        <v>18</v>
      </c>
      <c r="G1146" s="1" t="s">
        <v>15</v>
      </c>
      <c r="H1146" s="1" t="str">
        <f>"2"</f>
        <v>2</v>
      </c>
      <c r="I1146" s="3">
        <v>146.81</v>
      </c>
      <c r="J1146" s="4">
        <v>46042</v>
      </c>
      <c r="K1146" s="1" t="s">
        <v>3175</v>
      </c>
    </row>
    <row r="1147" spans="1:11" x14ac:dyDescent="0.35">
      <c r="A1147" s="1" t="s">
        <v>2641</v>
      </c>
      <c r="B1147" s="1" t="s">
        <v>3124</v>
      </c>
      <c r="C1147" s="1" t="s">
        <v>3178</v>
      </c>
      <c r="D1147" s="1" t="str">
        <f t="shared" si="50"/>
        <v>8415</v>
      </c>
      <c r="E1147" s="1" t="str">
        <f>"015802323"</f>
        <v>015802323</v>
      </c>
      <c r="F1147" s="1" t="s">
        <v>49</v>
      </c>
      <c r="G1147" s="1" t="s">
        <v>47</v>
      </c>
      <c r="H1147" s="1" t="str">
        <f>"5"</f>
        <v>5</v>
      </c>
      <c r="I1147" s="3">
        <v>123.49</v>
      </c>
      <c r="J1147" s="4">
        <v>46042</v>
      </c>
      <c r="K1147" s="1" t="s">
        <v>3175</v>
      </c>
    </row>
    <row r="1148" spans="1:11" x14ac:dyDescent="0.35">
      <c r="A1148" s="1" t="s">
        <v>2641</v>
      </c>
      <c r="B1148" s="1" t="s">
        <v>3124</v>
      </c>
      <c r="C1148" s="1" t="s">
        <v>3179</v>
      </c>
      <c r="D1148" s="1" t="str">
        <f t="shared" si="50"/>
        <v>8415</v>
      </c>
      <c r="E1148" s="1" t="str">
        <f>"015802854"</f>
        <v>015802854</v>
      </c>
      <c r="F1148" s="1" t="s">
        <v>18</v>
      </c>
      <c r="G1148" s="1" t="s">
        <v>15</v>
      </c>
      <c r="H1148" s="1" t="str">
        <f>"4"</f>
        <v>4</v>
      </c>
      <c r="I1148" s="3">
        <v>146.83000000000001</v>
      </c>
      <c r="J1148" s="4">
        <v>46042</v>
      </c>
      <c r="K1148" s="1" t="s">
        <v>3175</v>
      </c>
    </row>
    <row r="1149" spans="1:11" x14ac:dyDescent="0.35">
      <c r="A1149" s="1" t="s">
        <v>2641</v>
      </c>
      <c r="B1149" s="1" t="s">
        <v>3124</v>
      </c>
      <c r="C1149" s="1" t="s">
        <v>3180</v>
      </c>
      <c r="D1149" s="1" t="str">
        <f t="shared" si="50"/>
        <v>8415</v>
      </c>
      <c r="E1149" s="1" t="str">
        <f>"015802861"</f>
        <v>015802861</v>
      </c>
      <c r="F1149" s="1" t="s">
        <v>18</v>
      </c>
      <c r="G1149" s="1" t="s">
        <v>15</v>
      </c>
      <c r="H1149" s="1" t="str">
        <f>"2"</f>
        <v>2</v>
      </c>
      <c r="I1149" s="3">
        <v>146.81</v>
      </c>
      <c r="J1149" s="4">
        <v>46042</v>
      </c>
      <c r="K1149" s="1" t="s">
        <v>3175</v>
      </c>
    </row>
    <row r="1150" spans="1:11" x14ac:dyDescent="0.35">
      <c r="A1150" s="1" t="s">
        <v>2641</v>
      </c>
      <c r="B1150" s="1" t="s">
        <v>3124</v>
      </c>
      <c r="C1150" s="1" t="s">
        <v>3181</v>
      </c>
      <c r="D1150" s="1" t="str">
        <f t="shared" si="50"/>
        <v>8415</v>
      </c>
      <c r="E1150" s="1" t="str">
        <f>"015802497"</f>
        <v>015802497</v>
      </c>
      <c r="F1150" s="1" t="s">
        <v>22</v>
      </c>
      <c r="G1150" s="1" t="s">
        <v>47</v>
      </c>
      <c r="H1150" s="1" t="str">
        <f>"1"</f>
        <v>1</v>
      </c>
      <c r="I1150" s="3">
        <v>120.1</v>
      </c>
      <c r="J1150" s="4">
        <v>46042</v>
      </c>
      <c r="K1150" s="1" t="s">
        <v>3182</v>
      </c>
    </row>
    <row r="1151" spans="1:11" x14ac:dyDescent="0.35">
      <c r="A1151" s="1" t="s">
        <v>2641</v>
      </c>
      <c r="B1151" s="1" t="s">
        <v>3124</v>
      </c>
      <c r="C1151" s="1" t="s">
        <v>3183</v>
      </c>
      <c r="D1151" s="1" t="str">
        <f t="shared" si="50"/>
        <v>8415</v>
      </c>
      <c r="E1151" s="1" t="str">
        <f>"015802782"</f>
        <v>015802782</v>
      </c>
      <c r="F1151" s="1" t="s">
        <v>18</v>
      </c>
      <c r="G1151" s="1" t="s">
        <v>15</v>
      </c>
      <c r="H1151" s="1" t="str">
        <f>"9"</f>
        <v>9</v>
      </c>
      <c r="I1151" s="3">
        <v>146.81</v>
      </c>
      <c r="J1151" s="4">
        <v>46042</v>
      </c>
      <c r="K1151" s="1" t="s">
        <v>3182</v>
      </c>
    </row>
    <row r="1152" spans="1:11" x14ac:dyDescent="0.35">
      <c r="A1152" s="1" t="s">
        <v>2641</v>
      </c>
      <c r="B1152" s="1" t="s">
        <v>3124</v>
      </c>
      <c r="C1152" s="1" t="s">
        <v>3184</v>
      </c>
      <c r="D1152" s="1" t="str">
        <f t="shared" si="50"/>
        <v>8415</v>
      </c>
      <c r="E1152" s="1" t="str">
        <f>"015802782"</f>
        <v>015802782</v>
      </c>
      <c r="F1152" s="1" t="s">
        <v>18</v>
      </c>
      <c r="G1152" s="1" t="s">
        <v>15</v>
      </c>
      <c r="H1152" s="1" t="str">
        <f>"4"</f>
        <v>4</v>
      </c>
      <c r="I1152" s="3">
        <v>146.81</v>
      </c>
      <c r="J1152" s="4">
        <v>46042</v>
      </c>
      <c r="K1152" s="1" t="s">
        <v>3182</v>
      </c>
    </row>
    <row r="1153" spans="1:11" x14ac:dyDescent="0.35">
      <c r="A1153" s="1" t="s">
        <v>2641</v>
      </c>
      <c r="B1153" s="1" t="s">
        <v>2690</v>
      </c>
      <c r="C1153" s="1" t="s">
        <v>2691</v>
      </c>
      <c r="D1153" s="1" t="str">
        <f t="shared" ref="D1153:D1158" si="51">"1005"</f>
        <v>1005</v>
      </c>
      <c r="E1153" s="1" t="s">
        <v>2692</v>
      </c>
      <c r="F1153" s="1" t="s">
        <v>2693</v>
      </c>
      <c r="G1153" s="1" t="s">
        <v>15</v>
      </c>
      <c r="H1153" s="1" t="str">
        <f>"8"</f>
        <v>8</v>
      </c>
      <c r="I1153" s="3" t="str">
        <f t="shared" ref="I1153:I1158" si="52">"200"</f>
        <v>200</v>
      </c>
      <c r="J1153" s="4">
        <v>46044</v>
      </c>
      <c r="K1153" s="1" t="s">
        <v>2694</v>
      </c>
    </row>
    <row r="1154" spans="1:11" x14ac:dyDescent="0.35">
      <c r="A1154" s="1" t="s">
        <v>2641</v>
      </c>
      <c r="B1154" s="1" t="s">
        <v>2690</v>
      </c>
      <c r="C1154" s="1" t="s">
        <v>2698</v>
      </c>
      <c r="D1154" s="1" t="str">
        <f t="shared" si="51"/>
        <v>1005</v>
      </c>
      <c r="E1154" s="1" t="s">
        <v>2692</v>
      </c>
      <c r="F1154" s="1" t="s">
        <v>2693</v>
      </c>
      <c r="G1154" s="1" t="s">
        <v>15</v>
      </c>
      <c r="H1154" s="1" t="str">
        <f>"9"</f>
        <v>9</v>
      </c>
      <c r="I1154" s="3" t="str">
        <f t="shared" si="52"/>
        <v>200</v>
      </c>
      <c r="J1154" s="4">
        <v>46044</v>
      </c>
      <c r="K1154" s="1" t="s">
        <v>2699</v>
      </c>
    </row>
    <row r="1155" spans="1:11" x14ac:dyDescent="0.35">
      <c r="A1155" s="1" t="s">
        <v>2641</v>
      </c>
      <c r="B1155" s="1" t="s">
        <v>2690</v>
      </c>
      <c r="C1155" s="1" t="s">
        <v>2700</v>
      </c>
      <c r="D1155" s="1" t="str">
        <f t="shared" si="51"/>
        <v>1005</v>
      </c>
      <c r="E1155" s="1" t="s">
        <v>2692</v>
      </c>
      <c r="F1155" s="1" t="s">
        <v>2693</v>
      </c>
      <c r="G1155" s="1" t="s">
        <v>15</v>
      </c>
      <c r="H1155" s="1" t="str">
        <f>"11"</f>
        <v>11</v>
      </c>
      <c r="I1155" s="3" t="str">
        <f t="shared" si="52"/>
        <v>200</v>
      </c>
      <c r="J1155" s="4">
        <v>46044</v>
      </c>
      <c r="K1155" s="1" t="s">
        <v>2699</v>
      </c>
    </row>
    <row r="1156" spans="1:11" x14ac:dyDescent="0.35">
      <c r="A1156" s="1" t="s">
        <v>2641</v>
      </c>
      <c r="B1156" s="1" t="s">
        <v>2690</v>
      </c>
      <c r="C1156" s="1" t="s">
        <v>2701</v>
      </c>
      <c r="D1156" s="1" t="str">
        <f t="shared" si="51"/>
        <v>1005</v>
      </c>
      <c r="E1156" s="1" t="s">
        <v>2692</v>
      </c>
      <c r="F1156" s="1" t="s">
        <v>2693</v>
      </c>
      <c r="G1156" s="1" t="s">
        <v>15</v>
      </c>
      <c r="H1156" s="1" t="str">
        <f>"5"</f>
        <v>5</v>
      </c>
      <c r="I1156" s="3" t="str">
        <f t="shared" si="52"/>
        <v>200</v>
      </c>
      <c r="J1156" s="4">
        <v>46044</v>
      </c>
      <c r="K1156" s="1" t="s">
        <v>2699</v>
      </c>
    </row>
    <row r="1157" spans="1:11" x14ac:dyDescent="0.35">
      <c r="A1157" s="1" t="s">
        <v>2641</v>
      </c>
      <c r="B1157" s="1" t="s">
        <v>2690</v>
      </c>
      <c r="C1157" s="1" t="s">
        <v>2702</v>
      </c>
      <c r="D1157" s="1" t="str">
        <f t="shared" si="51"/>
        <v>1005</v>
      </c>
      <c r="E1157" s="1" t="s">
        <v>2692</v>
      </c>
      <c r="F1157" s="1" t="s">
        <v>2693</v>
      </c>
      <c r="G1157" s="1" t="s">
        <v>15</v>
      </c>
      <c r="H1157" s="1" t="str">
        <f>"15"</f>
        <v>15</v>
      </c>
      <c r="I1157" s="3" t="str">
        <f t="shared" si="52"/>
        <v>200</v>
      </c>
      <c r="J1157" s="4">
        <v>46044</v>
      </c>
      <c r="K1157" s="1" t="s">
        <v>2699</v>
      </c>
    </row>
    <row r="1158" spans="1:11" x14ac:dyDescent="0.35">
      <c r="A1158" s="1" t="s">
        <v>2641</v>
      </c>
      <c r="B1158" s="1" t="s">
        <v>2690</v>
      </c>
      <c r="C1158" s="1" t="s">
        <v>2703</v>
      </c>
      <c r="D1158" s="1" t="str">
        <f t="shared" si="51"/>
        <v>1005</v>
      </c>
      <c r="E1158" s="1" t="s">
        <v>2692</v>
      </c>
      <c r="F1158" s="1" t="s">
        <v>2693</v>
      </c>
      <c r="G1158" s="1" t="s">
        <v>15</v>
      </c>
      <c r="H1158" s="1" t="str">
        <f>"13"</f>
        <v>13</v>
      </c>
      <c r="I1158" s="3" t="str">
        <f t="shared" si="52"/>
        <v>200</v>
      </c>
      <c r="J1158" s="4">
        <v>46044</v>
      </c>
      <c r="K1158" s="1" t="s">
        <v>2699</v>
      </c>
    </row>
    <row r="1159" spans="1:11" x14ac:dyDescent="0.35">
      <c r="A1159" s="1" t="s">
        <v>2641</v>
      </c>
      <c r="B1159" s="1" t="s">
        <v>2690</v>
      </c>
      <c r="C1159" s="1" t="s">
        <v>2710</v>
      </c>
      <c r="D1159" s="1" t="str">
        <f>"1095"</f>
        <v>1095</v>
      </c>
      <c r="E1159" s="1" t="s">
        <v>2217</v>
      </c>
      <c r="F1159" s="1" t="s">
        <v>2218</v>
      </c>
      <c r="G1159" s="1" t="s">
        <v>15</v>
      </c>
      <c r="H1159" s="1" t="str">
        <f>"44"</f>
        <v>44</v>
      </c>
      <c r="I1159" s="3" t="str">
        <f>"10"</f>
        <v>10</v>
      </c>
      <c r="J1159" s="4">
        <v>46044</v>
      </c>
      <c r="K1159" s="1" t="s">
        <v>2711</v>
      </c>
    </row>
    <row r="1160" spans="1:11" x14ac:dyDescent="0.35">
      <c r="A1160" s="1" t="s">
        <v>2641</v>
      </c>
      <c r="B1160" s="1" t="s">
        <v>2690</v>
      </c>
      <c r="C1160" s="1" t="s">
        <v>2724</v>
      </c>
      <c r="D1160" s="1" t="str">
        <f>"4210"</f>
        <v>4210</v>
      </c>
      <c r="E1160" s="1" t="str">
        <f>"002401654"</f>
        <v>002401654</v>
      </c>
      <c r="F1160" s="1" t="s">
        <v>2725</v>
      </c>
      <c r="G1160" s="1" t="s">
        <v>15</v>
      </c>
      <c r="H1160" s="1" t="str">
        <f>"5"</f>
        <v>5</v>
      </c>
      <c r="I1160" s="3">
        <v>26.33</v>
      </c>
      <c r="J1160" s="4">
        <v>46044</v>
      </c>
      <c r="K1160" s="1" t="s">
        <v>2726</v>
      </c>
    </row>
    <row r="1161" spans="1:11" x14ac:dyDescent="0.35">
      <c r="A1161" s="1" t="s">
        <v>2641</v>
      </c>
      <c r="B1161" s="1" t="s">
        <v>2690</v>
      </c>
      <c r="C1161" s="1" t="s">
        <v>2824</v>
      </c>
      <c r="D1161" s="1" t="str">
        <f>"5180"</f>
        <v>5180</v>
      </c>
      <c r="E1161" s="1" t="str">
        <f>"016595021"</f>
        <v>016595021</v>
      </c>
      <c r="F1161" s="1" t="s">
        <v>274</v>
      </c>
      <c r="G1161" s="1" t="s">
        <v>168</v>
      </c>
      <c r="H1161" s="1" t="str">
        <f>"1"</f>
        <v>1</v>
      </c>
      <c r="I1161" s="3">
        <v>17611.71</v>
      </c>
      <c r="J1161" s="4">
        <v>46044</v>
      </c>
      <c r="K1161" s="1" t="s">
        <v>2825</v>
      </c>
    </row>
    <row r="1162" spans="1:11" x14ac:dyDescent="0.35">
      <c r="A1162" s="1" t="s">
        <v>2641</v>
      </c>
      <c r="B1162" s="1" t="s">
        <v>2690</v>
      </c>
      <c r="C1162" s="1" t="s">
        <v>2885</v>
      </c>
      <c r="D1162" s="1" t="str">
        <f>"6920"</f>
        <v>6920</v>
      </c>
      <c r="E1162" s="1" t="str">
        <f>"014553432"</f>
        <v>014553432</v>
      </c>
      <c r="F1162" s="1" t="s">
        <v>2886</v>
      </c>
      <c r="G1162" s="1" t="s">
        <v>15</v>
      </c>
      <c r="H1162" s="1" t="str">
        <f>"32"</f>
        <v>32</v>
      </c>
      <c r="I1162" s="3">
        <v>45.34</v>
      </c>
      <c r="J1162" s="4">
        <v>46044</v>
      </c>
      <c r="K1162" s="1" t="s">
        <v>2699</v>
      </c>
    </row>
    <row r="1163" spans="1:11" x14ac:dyDescent="0.35">
      <c r="A1163" s="1" t="s">
        <v>2641</v>
      </c>
      <c r="B1163" s="1" t="s">
        <v>2690</v>
      </c>
      <c r="C1163" s="1" t="s">
        <v>2887</v>
      </c>
      <c r="D1163" s="1" t="str">
        <f>"6920"</f>
        <v>6920</v>
      </c>
      <c r="E1163" s="1" t="str">
        <f>"014553430"</f>
        <v>014553430</v>
      </c>
      <c r="F1163" s="1" t="s">
        <v>2888</v>
      </c>
      <c r="G1163" s="1" t="s">
        <v>206</v>
      </c>
      <c r="H1163" s="1" t="str">
        <f>"15"</f>
        <v>15</v>
      </c>
      <c r="I1163" s="3">
        <v>84.52</v>
      </c>
      <c r="J1163" s="4">
        <v>46044</v>
      </c>
      <c r="K1163" s="1" t="s">
        <v>2699</v>
      </c>
    </row>
    <row r="1164" spans="1:11" x14ac:dyDescent="0.35">
      <c r="A1164" s="1" t="s">
        <v>2641</v>
      </c>
      <c r="B1164" s="1" t="s">
        <v>2690</v>
      </c>
      <c r="C1164" s="1" t="s">
        <v>2889</v>
      </c>
      <c r="D1164" s="1" t="str">
        <f>"6920"</f>
        <v>6920</v>
      </c>
      <c r="E1164" s="1" t="str">
        <f>"014553432"</f>
        <v>014553432</v>
      </c>
      <c r="F1164" s="1" t="s">
        <v>2886</v>
      </c>
      <c r="G1164" s="1" t="s">
        <v>15</v>
      </c>
      <c r="H1164" s="1" t="str">
        <f>"31"</f>
        <v>31</v>
      </c>
      <c r="I1164" s="3">
        <v>45.34</v>
      </c>
      <c r="J1164" s="4">
        <v>46044</v>
      </c>
      <c r="K1164" s="1" t="s">
        <v>2699</v>
      </c>
    </row>
    <row r="1165" spans="1:11" x14ac:dyDescent="0.35">
      <c r="A1165" s="1" t="s">
        <v>2641</v>
      </c>
      <c r="B1165" s="1" t="s">
        <v>2690</v>
      </c>
      <c r="C1165" s="1" t="s">
        <v>2944</v>
      </c>
      <c r="D1165" s="1" t="str">
        <f>"8105"</f>
        <v>8105</v>
      </c>
      <c r="E1165" s="1" t="str">
        <f>"014520831"</f>
        <v>014520831</v>
      </c>
      <c r="F1165" s="1" t="s">
        <v>2945</v>
      </c>
      <c r="G1165" s="1" t="s">
        <v>2946</v>
      </c>
      <c r="H1165" s="1" t="str">
        <f>"1"</f>
        <v>1</v>
      </c>
      <c r="I1165" s="3">
        <v>639.25</v>
      </c>
      <c r="J1165" s="4">
        <v>46044</v>
      </c>
      <c r="K1165" s="1" t="s">
        <v>2947</v>
      </c>
    </row>
    <row r="1166" spans="1:11" x14ac:dyDescent="0.35">
      <c r="A1166" s="1" t="s">
        <v>2641</v>
      </c>
      <c r="B1166" s="1" t="s">
        <v>2690</v>
      </c>
      <c r="C1166" s="1" t="s">
        <v>2967</v>
      </c>
      <c r="D1166" s="1" t="str">
        <f>"8405"</f>
        <v>8405</v>
      </c>
      <c r="E1166" s="1" t="str">
        <f>"014614607"</f>
        <v>014614607</v>
      </c>
      <c r="F1166" s="1" t="s">
        <v>2968</v>
      </c>
      <c r="G1166" s="1" t="s">
        <v>15</v>
      </c>
      <c r="H1166" s="1" t="str">
        <f>"1"</f>
        <v>1</v>
      </c>
      <c r="I1166" s="3">
        <v>40.78</v>
      </c>
      <c r="J1166" s="4">
        <v>46044</v>
      </c>
      <c r="K1166" s="1" t="s">
        <v>2969</v>
      </c>
    </row>
    <row r="1167" spans="1:11" x14ac:dyDescent="0.35">
      <c r="A1167" s="1" t="s">
        <v>2641</v>
      </c>
      <c r="B1167" s="1" t="s">
        <v>2690</v>
      </c>
      <c r="C1167" s="1" t="s">
        <v>3039</v>
      </c>
      <c r="D1167" s="1" t="str">
        <f>"8415"</f>
        <v>8415</v>
      </c>
      <c r="E1167" s="1" t="str">
        <f>"015265348"</f>
        <v>015265348</v>
      </c>
      <c r="F1167" s="1" t="s">
        <v>3040</v>
      </c>
      <c r="G1167" s="1" t="s">
        <v>15</v>
      </c>
      <c r="H1167" s="1" t="str">
        <f>"25"</f>
        <v>25</v>
      </c>
      <c r="I1167" s="3">
        <v>6.03</v>
      </c>
      <c r="J1167" s="4">
        <v>46044</v>
      </c>
      <c r="K1167" s="1" t="s">
        <v>2699</v>
      </c>
    </row>
    <row r="1168" spans="1:11" x14ac:dyDescent="0.35">
      <c r="A1168" s="1" t="s">
        <v>2641</v>
      </c>
      <c r="B1168" s="1" t="s">
        <v>2690</v>
      </c>
      <c r="C1168" s="1" t="s">
        <v>3041</v>
      </c>
      <c r="D1168" s="1" t="str">
        <f>"8415"</f>
        <v>8415</v>
      </c>
      <c r="E1168" s="1" t="str">
        <f>"016309499"</f>
        <v>016309499</v>
      </c>
      <c r="F1168" s="1" t="s">
        <v>3040</v>
      </c>
      <c r="G1168" s="1" t="s">
        <v>15</v>
      </c>
      <c r="H1168" s="1" t="str">
        <f>"25"</f>
        <v>25</v>
      </c>
      <c r="I1168" s="3">
        <v>6.03</v>
      </c>
      <c r="J1168" s="4">
        <v>46044</v>
      </c>
      <c r="K1168" s="1" t="s">
        <v>2699</v>
      </c>
    </row>
    <row r="1169" spans="1:11" x14ac:dyDescent="0.35">
      <c r="A1169" s="1" t="s">
        <v>2641</v>
      </c>
      <c r="B1169" s="1" t="s">
        <v>2690</v>
      </c>
      <c r="C1169" s="1" t="s">
        <v>3042</v>
      </c>
      <c r="D1169" s="1" t="str">
        <f>"8415"</f>
        <v>8415</v>
      </c>
      <c r="E1169" s="1" t="str">
        <f>"015265346"</f>
        <v>015265346</v>
      </c>
      <c r="F1169" s="1" t="s">
        <v>3040</v>
      </c>
      <c r="G1169" s="1" t="s">
        <v>15</v>
      </c>
      <c r="H1169" s="1" t="str">
        <f>"25"</f>
        <v>25</v>
      </c>
      <c r="I1169" s="3">
        <v>6.03</v>
      </c>
      <c r="J1169" s="4">
        <v>46044</v>
      </c>
      <c r="K1169" s="1" t="s">
        <v>2699</v>
      </c>
    </row>
    <row r="1170" spans="1:11" x14ac:dyDescent="0.35">
      <c r="A1170" s="1" t="s">
        <v>2641</v>
      </c>
      <c r="B1170" s="1" t="s">
        <v>2690</v>
      </c>
      <c r="C1170" s="1" t="s">
        <v>3054</v>
      </c>
      <c r="D1170" s="1" t="str">
        <f>"8435"</f>
        <v>8435</v>
      </c>
      <c r="E1170" s="1" t="str">
        <f>"016945154"</f>
        <v>016945154</v>
      </c>
      <c r="F1170" s="1" t="s">
        <v>3055</v>
      </c>
      <c r="G1170" s="1" t="s">
        <v>47</v>
      </c>
      <c r="H1170" s="1" t="str">
        <f>"16"</f>
        <v>16</v>
      </c>
      <c r="I1170" s="3">
        <v>152.86000000000001</v>
      </c>
      <c r="J1170" s="4">
        <v>46044</v>
      </c>
      <c r="K1170" s="1" t="s">
        <v>3056</v>
      </c>
    </row>
    <row r="1171" spans="1:11" x14ac:dyDescent="0.35">
      <c r="A1171" s="1" t="s">
        <v>2641</v>
      </c>
      <c r="B1171" s="1" t="s">
        <v>2690</v>
      </c>
      <c r="C1171" s="1" t="s">
        <v>3096</v>
      </c>
      <c r="D1171" s="1" t="str">
        <f>"8465"</f>
        <v>8465</v>
      </c>
      <c r="E1171" s="1" t="str">
        <f>"016733374"</f>
        <v>016733374</v>
      </c>
      <c r="F1171" s="1" t="s">
        <v>856</v>
      </c>
      <c r="G1171" s="1" t="s">
        <v>15</v>
      </c>
      <c r="H1171" s="1" t="str">
        <f>"2"</f>
        <v>2</v>
      </c>
      <c r="I1171" s="3">
        <v>376.9</v>
      </c>
      <c r="J1171" s="4">
        <v>46044</v>
      </c>
      <c r="K1171" s="1" t="s">
        <v>3097</v>
      </c>
    </row>
    <row r="1172" spans="1:11" x14ac:dyDescent="0.35">
      <c r="A1172" s="1" t="s">
        <v>2641</v>
      </c>
      <c r="B1172" s="1" t="s">
        <v>2690</v>
      </c>
      <c r="C1172" s="1" t="s">
        <v>2899</v>
      </c>
      <c r="D1172" s="1" t="str">
        <f>"7220"</f>
        <v>7220</v>
      </c>
      <c r="E1172" s="1" t="str">
        <f>"016326720"</f>
        <v>016326720</v>
      </c>
      <c r="F1172" s="1" t="s">
        <v>2344</v>
      </c>
      <c r="G1172" s="1" t="s">
        <v>15</v>
      </c>
      <c r="H1172" s="1" t="str">
        <f>"1"</f>
        <v>1</v>
      </c>
      <c r="I1172" s="3">
        <v>705.59</v>
      </c>
      <c r="J1172" s="4">
        <v>46045</v>
      </c>
      <c r="K1172" s="1" t="s">
        <v>2900</v>
      </c>
    </row>
    <row r="1173" spans="1:11" x14ac:dyDescent="0.35">
      <c r="A1173" s="1" t="s">
        <v>2641</v>
      </c>
      <c r="B1173" s="1" t="s">
        <v>2690</v>
      </c>
      <c r="C1173" s="1" t="s">
        <v>2892</v>
      </c>
      <c r="D1173" s="1" t="str">
        <f>"7025"</f>
        <v>7025</v>
      </c>
      <c r="E1173" s="1" t="s">
        <v>1739</v>
      </c>
      <c r="F1173" s="1" t="s">
        <v>1740</v>
      </c>
      <c r="G1173" s="1" t="s">
        <v>15</v>
      </c>
      <c r="H1173" s="1" t="str">
        <f>"2"</f>
        <v>2</v>
      </c>
      <c r="I1173" s="3" t="str">
        <f>"70"</f>
        <v>70</v>
      </c>
      <c r="J1173" s="4">
        <v>46056</v>
      </c>
      <c r="K1173" s="1" t="s">
        <v>2893</v>
      </c>
    </row>
    <row r="1174" spans="1:11" x14ac:dyDescent="0.35">
      <c r="A1174" s="1" t="s">
        <v>2641</v>
      </c>
      <c r="B1174" s="1" t="s">
        <v>2690</v>
      </c>
      <c r="C1174" s="1" t="s">
        <v>2894</v>
      </c>
      <c r="D1174" s="1" t="str">
        <f>"7025"</f>
        <v>7025</v>
      </c>
      <c r="E1174" s="1" t="s">
        <v>1739</v>
      </c>
      <c r="F1174" s="1" t="s">
        <v>1740</v>
      </c>
      <c r="G1174" s="1" t="s">
        <v>15</v>
      </c>
      <c r="H1174" s="1" t="str">
        <f>"1"</f>
        <v>1</v>
      </c>
      <c r="I1174" s="3" t="str">
        <f>"70"</f>
        <v>70</v>
      </c>
      <c r="J1174" s="4">
        <v>46056</v>
      </c>
      <c r="K1174" s="1" t="s">
        <v>2893</v>
      </c>
    </row>
    <row r="1175" spans="1:11" x14ac:dyDescent="0.35">
      <c r="A1175" s="1" t="s">
        <v>2641</v>
      </c>
      <c r="B1175" s="1" t="s">
        <v>2690</v>
      </c>
      <c r="C1175" s="1" t="s">
        <v>2895</v>
      </c>
      <c r="D1175" s="1" t="str">
        <f>"7110"</f>
        <v>7110</v>
      </c>
      <c r="E1175" s="1" t="s">
        <v>2896</v>
      </c>
      <c r="F1175" s="1" t="s">
        <v>2897</v>
      </c>
      <c r="G1175" s="1" t="s">
        <v>15</v>
      </c>
      <c r="H1175" s="1" t="str">
        <f>"2"</f>
        <v>2</v>
      </c>
      <c r="I1175" s="3" t="str">
        <f>"20"</f>
        <v>20</v>
      </c>
      <c r="J1175" s="4">
        <v>46056</v>
      </c>
      <c r="K1175" s="1" t="s">
        <v>2898</v>
      </c>
    </row>
    <row r="1176" spans="1:11" x14ac:dyDescent="0.35">
      <c r="A1176" s="1" t="s">
        <v>2641</v>
      </c>
      <c r="B1176" s="1" t="s">
        <v>2690</v>
      </c>
      <c r="C1176" s="1" t="s">
        <v>2948</v>
      </c>
      <c r="D1176" s="1" t="str">
        <f>"8115"</f>
        <v>8115</v>
      </c>
      <c r="E1176" s="1" t="s">
        <v>412</v>
      </c>
      <c r="F1176" s="1" t="s">
        <v>413</v>
      </c>
      <c r="G1176" s="1" t="s">
        <v>15</v>
      </c>
      <c r="H1176" s="1" t="str">
        <f>"10"</f>
        <v>10</v>
      </c>
      <c r="I1176" s="3">
        <v>495.11</v>
      </c>
      <c r="J1176" s="4">
        <v>46056</v>
      </c>
      <c r="K1176" s="1" t="s">
        <v>2949</v>
      </c>
    </row>
    <row r="1177" spans="1:11" x14ac:dyDescent="0.35">
      <c r="A1177" s="1" t="s">
        <v>2641</v>
      </c>
      <c r="B1177" s="1" t="s">
        <v>2690</v>
      </c>
      <c r="C1177" s="1" t="s">
        <v>2720</v>
      </c>
      <c r="D1177" s="1" t="str">
        <f>"4210"</f>
        <v>4210</v>
      </c>
      <c r="E1177" s="1" t="s">
        <v>2721</v>
      </c>
      <c r="F1177" s="1" t="s">
        <v>2722</v>
      </c>
      <c r="G1177" s="1" t="s">
        <v>15</v>
      </c>
      <c r="H1177" s="1" t="str">
        <f>"5"</f>
        <v>5</v>
      </c>
      <c r="I1177" s="3" t="str">
        <f>"50"</f>
        <v>50</v>
      </c>
      <c r="J1177" s="4">
        <v>46058</v>
      </c>
      <c r="K1177" s="1" t="s">
        <v>2723</v>
      </c>
    </row>
    <row r="1178" spans="1:11" x14ac:dyDescent="0.35">
      <c r="A1178" s="1" t="s">
        <v>2641</v>
      </c>
      <c r="B1178" s="1" t="s">
        <v>2690</v>
      </c>
      <c r="C1178" s="1" t="s">
        <v>2755</v>
      </c>
      <c r="D1178" s="1" t="str">
        <f>"5120"</f>
        <v>5120</v>
      </c>
      <c r="E1178" s="1" t="s">
        <v>2085</v>
      </c>
      <c r="F1178" s="1" t="s">
        <v>2086</v>
      </c>
      <c r="G1178" s="1" t="s">
        <v>15</v>
      </c>
      <c r="H1178" s="1" t="str">
        <f>"1"</f>
        <v>1</v>
      </c>
      <c r="I1178" s="3" t="str">
        <f>"150"</f>
        <v>150</v>
      </c>
      <c r="J1178" s="4">
        <v>46058</v>
      </c>
      <c r="K1178" s="1" t="s">
        <v>2756</v>
      </c>
    </row>
    <row r="1179" spans="1:11" x14ac:dyDescent="0.35">
      <c r="A1179" s="1" t="s">
        <v>2641</v>
      </c>
      <c r="B1179" s="1" t="s">
        <v>2690</v>
      </c>
      <c r="C1179" s="1" t="s">
        <v>2934</v>
      </c>
      <c r="D1179" s="1" t="str">
        <f>"7360"</f>
        <v>7360</v>
      </c>
      <c r="E1179" s="1" t="str">
        <f>"014817512"</f>
        <v>014817512</v>
      </c>
      <c r="F1179" s="1" t="s">
        <v>2935</v>
      </c>
      <c r="G1179" s="1" t="s">
        <v>15</v>
      </c>
      <c r="H1179" s="1" t="str">
        <f>"1"</f>
        <v>1</v>
      </c>
      <c r="I1179" s="3">
        <v>910.03</v>
      </c>
      <c r="J1179" s="4">
        <v>46058</v>
      </c>
      <c r="K1179" s="1" t="s">
        <v>2936</v>
      </c>
    </row>
    <row r="1180" spans="1:11" x14ac:dyDescent="0.35">
      <c r="A1180" s="1" t="s">
        <v>2641</v>
      </c>
      <c r="B1180" s="1" t="s">
        <v>2690</v>
      </c>
      <c r="C1180" s="1" t="s">
        <v>2989</v>
      </c>
      <c r="D1180" s="1" t="str">
        <f>"8415"</f>
        <v>8415</v>
      </c>
      <c r="E1180" s="1" t="str">
        <f>"013940216"</f>
        <v>013940216</v>
      </c>
      <c r="F1180" s="1" t="s">
        <v>2990</v>
      </c>
      <c r="G1180" s="1" t="s">
        <v>15</v>
      </c>
      <c r="H1180" s="1" t="str">
        <f>"60"</f>
        <v>60</v>
      </c>
      <c r="I1180" s="3">
        <v>27.98</v>
      </c>
      <c r="J1180" s="4">
        <v>46058</v>
      </c>
      <c r="K1180" s="1" t="s">
        <v>2991</v>
      </c>
    </row>
    <row r="1181" spans="1:11" x14ac:dyDescent="0.35">
      <c r="A1181" s="1" t="s">
        <v>2641</v>
      </c>
      <c r="B1181" s="1" t="s">
        <v>3124</v>
      </c>
      <c r="C1181" s="1" t="s">
        <v>3131</v>
      </c>
      <c r="D1181" s="1" t="str">
        <f>"4240"</f>
        <v>4240</v>
      </c>
      <c r="E1181" s="1" t="str">
        <f>"015723104"</f>
        <v>015723104</v>
      </c>
      <c r="F1181" s="1" t="s">
        <v>2422</v>
      </c>
      <c r="G1181" s="1" t="s">
        <v>15</v>
      </c>
      <c r="H1181" s="1" t="str">
        <f>"75"</f>
        <v>75</v>
      </c>
      <c r="I1181" s="3" t="str">
        <f>"20"</f>
        <v>20</v>
      </c>
      <c r="J1181" s="4">
        <v>46062</v>
      </c>
      <c r="K1181" s="1" t="s">
        <v>3132</v>
      </c>
    </row>
    <row r="1182" spans="1:11" x14ac:dyDescent="0.35">
      <c r="A1182" s="1" t="s">
        <v>2641</v>
      </c>
      <c r="B1182" s="1" t="s">
        <v>2690</v>
      </c>
      <c r="C1182" s="1" t="s">
        <v>2736</v>
      </c>
      <c r="D1182" s="1" t="str">
        <f>"4520"</f>
        <v>4520</v>
      </c>
      <c r="E1182" s="1" t="str">
        <f>"012999285"</f>
        <v>012999285</v>
      </c>
      <c r="F1182" s="1" t="s">
        <v>2737</v>
      </c>
      <c r="G1182" s="1" t="s">
        <v>15</v>
      </c>
      <c r="H1182" s="1" t="str">
        <f>"2"</f>
        <v>2</v>
      </c>
      <c r="I1182" s="3">
        <v>782.19</v>
      </c>
      <c r="J1182" s="4">
        <v>46065</v>
      </c>
      <c r="K1182" s="1" t="s">
        <v>2738</v>
      </c>
    </row>
    <row r="1183" spans="1:11" x14ac:dyDescent="0.35">
      <c r="A1183" s="1" t="s">
        <v>2641</v>
      </c>
      <c r="B1183" s="1" t="s">
        <v>3124</v>
      </c>
      <c r="C1183" s="1" t="s">
        <v>3167</v>
      </c>
      <c r="D1183" s="1" t="str">
        <f t="shared" ref="D1183:D1188" si="53">"8415"</f>
        <v>8415</v>
      </c>
      <c r="E1183" s="1" t="str">
        <f>"015802782"</f>
        <v>015802782</v>
      </c>
      <c r="F1183" s="1" t="s">
        <v>18</v>
      </c>
      <c r="G1183" s="1" t="s">
        <v>15</v>
      </c>
      <c r="H1183" s="1" t="str">
        <f>"19"</f>
        <v>19</v>
      </c>
      <c r="I1183" s="3">
        <v>146.81</v>
      </c>
      <c r="J1183" s="4">
        <v>46065</v>
      </c>
      <c r="K1183" s="1" t="s">
        <v>3168</v>
      </c>
    </row>
    <row r="1184" spans="1:11" x14ac:dyDescent="0.35">
      <c r="A1184" s="1" t="s">
        <v>2641</v>
      </c>
      <c r="B1184" s="1" t="s">
        <v>3124</v>
      </c>
      <c r="C1184" s="1" t="s">
        <v>3169</v>
      </c>
      <c r="D1184" s="1" t="str">
        <f t="shared" si="53"/>
        <v>8415</v>
      </c>
      <c r="E1184" s="1" t="str">
        <f>"015802502"</f>
        <v>015802502</v>
      </c>
      <c r="F1184" s="1" t="s">
        <v>22</v>
      </c>
      <c r="G1184" s="1" t="s">
        <v>47</v>
      </c>
      <c r="H1184" s="1" t="str">
        <f>"2"</f>
        <v>2</v>
      </c>
      <c r="I1184" s="3">
        <v>120.1</v>
      </c>
      <c r="J1184" s="4">
        <v>46065</v>
      </c>
      <c r="K1184" s="1" t="s">
        <v>3168</v>
      </c>
    </row>
    <row r="1185" spans="1:11" x14ac:dyDescent="0.35">
      <c r="A1185" s="1" t="s">
        <v>2641</v>
      </c>
      <c r="B1185" s="1" t="s">
        <v>3124</v>
      </c>
      <c r="C1185" s="1" t="s">
        <v>3170</v>
      </c>
      <c r="D1185" s="1" t="str">
        <f t="shared" si="53"/>
        <v>8415</v>
      </c>
      <c r="E1185" s="1" t="str">
        <f>"015802323"</f>
        <v>015802323</v>
      </c>
      <c r="F1185" s="1" t="s">
        <v>49</v>
      </c>
      <c r="G1185" s="1" t="s">
        <v>47</v>
      </c>
      <c r="H1185" s="1" t="str">
        <f>"3"</f>
        <v>3</v>
      </c>
      <c r="I1185" s="3">
        <v>123.49</v>
      </c>
      <c r="J1185" s="4">
        <v>46065</v>
      </c>
      <c r="K1185" s="1" t="s">
        <v>3168</v>
      </c>
    </row>
    <row r="1186" spans="1:11" x14ac:dyDescent="0.35">
      <c r="A1186" s="1" t="s">
        <v>2641</v>
      </c>
      <c r="B1186" s="1" t="s">
        <v>3124</v>
      </c>
      <c r="C1186" s="1" t="s">
        <v>3171</v>
      </c>
      <c r="D1186" s="1" t="str">
        <f t="shared" si="53"/>
        <v>8415</v>
      </c>
      <c r="E1186" s="1" t="str">
        <f>"015802497"</f>
        <v>015802497</v>
      </c>
      <c r="F1186" s="1" t="s">
        <v>22</v>
      </c>
      <c r="G1186" s="1" t="s">
        <v>47</v>
      </c>
      <c r="H1186" s="1" t="str">
        <f>"4"</f>
        <v>4</v>
      </c>
      <c r="I1186" s="3">
        <v>120.1</v>
      </c>
      <c r="J1186" s="4">
        <v>46065</v>
      </c>
      <c r="K1186" s="1" t="s">
        <v>3168</v>
      </c>
    </row>
    <row r="1187" spans="1:11" x14ac:dyDescent="0.35">
      <c r="A1187" s="1" t="s">
        <v>2641</v>
      </c>
      <c r="B1187" s="1" t="s">
        <v>3124</v>
      </c>
      <c r="C1187" s="1" t="s">
        <v>3172</v>
      </c>
      <c r="D1187" s="1" t="str">
        <f t="shared" si="53"/>
        <v>8415</v>
      </c>
      <c r="E1187" s="1" t="str">
        <f>"015802788"</f>
        <v>015802788</v>
      </c>
      <c r="F1187" s="1" t="s">
        <v>18</v>
      </c>
      <c r="G1187" s="1" t="s">
        <v>15</v>
      </c>
      <c r="H1187" s="1" t="str">
        <f>"5"</f>
        <v>5</v>
      </c>
      <c r="I1187" s="3">
        <v>146.81</v>
      </c>
      <c r="J1187" s="4">
        <v>46065</v>
      </c>
      <c r="K1187" s="1" t="s">
        <v>3168</v>
      </c>
    </row>
    <row r="1188" spans="1:11" x14ac:dyDescent="0.35">
      <c r="A1188" s="1" t="s">
        <v>2641</v>
      </c>
      <c r="B1188" s="1" t="s">
        <v>3124</v>
      </c>
      <c r="C1188" s="1" t="s">
        <v>3173</v>
      </c>
      <c r="D1188" s="1" t="str">
        <f t="shared" si="53"/>
        <v>8415</v>
      </c>
      <c r="E1188" s="1" t="str">
        <f>"015802854"</f>
        <v>015802854</v>
      </c>
      <c r="F1188" s="1" t="s">
        <v>18</v>
      </c>
      <c r="G1188" s="1" t="s">
        <v>15</v>
      </c>
      <c r="H1188" s="1" t="str">
        <f>"5"</f>
        <v>5</v>
      </c>
      <c r="I1188" s="3">
        <v>146.83000000000001</v>
      </c>
      <c r="J1188" s="4">
        <v>46065</v>
      </c>
      <c r="K1188" s="1" t="s">
        <v>3168</v>
      </c>
    </row>
    <row r="1189" spans="1:11" x14ac:dyDescent="0.35">
      <c r="A1189" s="1" t="s">
        <v>2641</v>
      </c>
      <c r="B1189" s="1" t="s">
        <v>2642</v>
      </c>
      <c r="C1189" s="1" t="s">
        <v>2646</v>
      </c>
      <c r="D1189" s="1" t="str">
        <f>"5855"</f>
        <v>5855</v>
      </c>
      <c r="E1189" s="1" t="str">
        <f>"015485687"</f>
        <v>015485687</v>
      </c>
      <c r="F1189" s="1" t="s">
        <v>798</v>
      </c>
      <c r="G1189" s="1" t="s">
        <v>15</v>
      </c>
      <c r="H1189" s="1" t="str">
        <f>"10"</f>
        <v>10</v>
      </c>
      <c r="I1189" s="3" t="str">
        <f>"10402"</f>
        <v>10402</v>
      </c>
      <c r="J1189" s="4">
        <v>46066</v>
      </c>
      <c r="K1189" s="1" t="s">
        <v>2647</v>
      </c>
    </row>
    <row r="1190" spans="1:11" x14ac:dyDescent="0.35">
      <c r="A1190" s="1" t="s">
        <v>2641</v>
      </c>
      <c r="B1190" s="1" t="s">
        <v>2652</v>
      </c>
      <c r="C1190" s="1" t="s">
        <v>2653</v>
      </c>
      <c r="D1190" s="1" t="str">
        <f>"2310"</f>
        <v>2310</v>
      </c>
      <c r="E1190" s="1" t="str">
        <f>"011112274"</f>
        <v>011112274</v>
      </c>
      <c r="F1190" s="1" t="s">
        <v>2654</v>
      </c>
      <c r="G1190" s="1" t="s">
        <v>15</v>
      </c>
      <c r="H1190" s="1" t="str">
        <f>"1"</f>
        <v>1</v>
      </c>
      <c r="I1190" s="3" t="str">
        <f>"96466"</f>
        <v>96466</v>
      </c>
      <c r="J1190" s="4">
        <v>46066</v>
      </c>
      <c r="K1190" s="1" t="s">
        <v>2655</v>
      </c>
    </row>
    <row r="1191" spans="1:11" x14ac:dyDescent="0.35">
      <c r="A1191" s="1" t="s">
        <v>2641</v>
      </c>
      <c r="B1191" s="1" t="s">
        <v>2690</v>
      </c>
      <c r="C1191" s="1" t="s">
        <v>2695</v>
      </c>
      <c r="D1191" s="1" t="str">
        <f>"1005"</f>
        <v>1005</v>
      </c>
      <c r="E1191" s="1" t="str">
        <f>"014161091"</f>
        <v>014161091</v>
      </c>
      <c r="F1191" s="1" t="s">
        <v>2696</v>
      </c>
      <c r="G1191" s="1" t="s">
        <v>15</v>
      </c>
      <c r="H1191" s="1" t="str">
        <f>"6"</f>
        <v>6</v>
      </c>
      <c r="I1191" s="3">
        <v>64.040000000000006</v>
      </c>
      <c r="J1191" s="4">
        <v>46066</v>
      </c>
      <c r="K1191" s="1" t="s">
        <v>2697</v>
      </c>
    </row>
    <row r="1192" spans="1:11" x14ac:dyDescent="0.35">
      <c r="A1192" s="1" t="s">
        <v>2641</v>
      </c>
      <c r="B1192" s="1" t="s">
        <v>2690</v>
      </c>
      <c r="C1192" s="1" t="s">
        <v>2822</v>
      </c>
      <c r="D1192" s="1" t="str">
        <f>"5180"</f>
        <v>5180</v>
      </c>
      <c r="E1192" s="1" t="str">
        <f>"005961474"</f>
        <v>005961474</v>
      </c>
      <c r="F1192" s="1" t="s">
        <v>1143</v>
      </c>
      <c r="G1192" s="1" t="s">
        <v>168</v>
      </c>
      <c r="H1192" s="1" t="str">
        <f>"1"</f>
        <v>1</v>
      </c>
      <c r="I1192" s="3" t="str">
        <f>"5688"</f>
        <v>5688</v>
      </c>
      <c r="J1192" s="4">
        <v>46066</v>
      </c>
      <c r="K1192" s="1" t="s">
        <v>2823</v>
      </c>
    </row>
    <row r="1193" spans="1:11" x14ac:dyDescent="0.35">
      <c r="A1193" s="1" t="s">
        <v>2641</v>
      </c>
      <c r="B1193" s="1" t="s">
        <v>2690</v>
      </c>
      <c r="C1193" s="1" t="s">
        <v>2826</v>
      </c>
      <c r="D1193" s="1" t="str">
        <f>"5180"</f>
        <v>5180</v>
      </c>
      <c r="E1193" s="1" t="str">
        <f>"016594995"</f>
        <v>016594995</v>
      </c>
      <c r="F1193" s="1" t="s">
        <v>2827</v>
      </c>
      <c r="G1193" s="1" t="s">
        <v>168</v>
      </c>
      <c r="H1193" s="1" t="str">
        <f>"1"</f>
        <v>1</v>
      </c>
      <c r="I1193" s="3">
        <v>24311.74</v>
      </c>
      <c r="J1193" s="4">
        <v>46066</v>
      </c>
      <c r="K1193" s="1" t="s">
        <v>2828</v>
      </c>
    </row>
    <row r="1194" spans="1:11" x14ac:dyDescent="0.35">
      <c r="A1194" s="1" t="s">
        <v>2641</v>
      </c>
      <c r="B1194" s="1" t="s">
        <v>2690</v>
      </c>
      <c r="C1194" s="1" t="s">
        <v>2861</v>
      </c>
      <c r="D1194" s="1" t="str">
        <f>"6545"</f>
        <v>6545</v>
      </c>
      <c r="E1194" s="1" t="str">
        <f>"015127231"</f>
        <v>015127231</v>
      </c>
      <c r="F1194" s="1" t="s">
        <v>2862</v>
      </c>
      <c r="G1194" s="1" t="s">
        <v>15</v>
      </c>
      <c r="H1194" s="1" t="str">
        <f>"8"</f>
        <v>8</v>
      </c>
      <c r="I1194" s="3">
        <v>589.74</v>
      </c>
      <c r="J1194" s="4">
        <v>46066</v>
      </c>
      <c r="K1194" s="1" t="s">
        <v>2863</v>
      </c>
    </row>
    <row r="1195" spans="1:11" x14ac:dyDescent="0.35">
      <c r="A1195" s="1" t="s">
        <v>2641</v>
      </c>
      <c r="B1195" s="1" t="s">
        <v>2690</v>
      </c>
      <c r="C1195" s="1" t="s">
        <v>2965</v>
      </c>
      <c r="D1195" s="1" t="str">
        <f>"8405"</f>
        <v>8405</v>
      </c>
      <c r="E1195" s="1" t="str">
        <f>"015472559"</f>
        <v>015472559</v>
      </c>
      <c r="F1195" s="1" t="s">
        <v>893</v>
      </c>
      <c r="G1195" s="1" t="s">
        <v>15</v>
      </c>
      <c r="H1195" s="1" t="str">
        <f>"78"</f>
        <v>78</v>
      </c>
      <c r="I1195" s="3">
        <v>38.4</v>
      </c>
      <c r="J1195" s="4">
        <v>46066</v>
      </c>
      <c r="K1195" s="1" t="s">
        <v>2966</v>
      </c>
    </row>
    <row r="1196" spans="1:11" x14ac:dyDescent="0.35">
      <c r="A1196" s="1" t="s">
        <v>2641</v>
      </c>
      <c r="B1196" s="1" t="s">
        <v>2690</v>
      </c>
      <c r="C1196" s="1" t="s">
        <v>2977</v>
      </c>
      <c r="D1196" s="1" t="str">
        <f t="shared" ref="D1196:D1212" si="54">"8415"</f>
        <v>8415</v>
      </c>
      <c r="E1196" s="1" t="str">
        <f>"010997843"</f>
        <v>010997843</v>
      </c>
      <c r="F1196" s="1" t="s">
        <v>2978</v>
      </c>
      <c r="G1196" s="1" t="s">
        <v>15</v>
      </c>
      <c r="H1196" s="1" t="str">
        <f>"1"</f>
        <v>1</v>
      </c>
      <c r="I1196" s="3">
        <v>12.86</v>
      </c>
      <c r="J1196" s="4">
        <v>46066</v>
      </c>
      <c r="K1196" s="1" t="s">
        <v>2979</v>
      </c>
    </row>
    <row r="1197" spans="1:11" x14ac:dyDescent="0.35">
      <c r="A1197" s="1" t="s">
        <v>2641</v>
      </c>
      <c r="B1197" s="1" t="s">
        <v>2690</v>
      </c>
      <c r="C1197" s="1" t="s">
        <v>2980</v>
      </c>
      <c r="D1197" s="1" t="str">
        <f t="shared" si="54"/>
        <v>8415</v>
      </c>
      <c r="E1197" s="1" t="str">
        <f>"010997848"</f>
        <v>010997848</v>
      </c>
      <c r="F1197" s="1" t="s">
        <v>2978</v>
      </c>
      <c r="G1197" s="1" t="s">
        <v>15</v>
      </c>
      <c r="H1197" s="1" t="str">
        <f>"2"</f>
        <v>2</v>
      </c>
      <c r="I1197" s="3">
        <v>12.86</v>
      </c>
      <c r="J1197" s="4">
        <v>46066</v>
      </c>
      <c r="K1197" s="1" t="s">
        <v>2979</v>
      </c>
    </row>
    <row r="1198" spans="1:11" x14ac:dyDescent="0.35">
      <c r="A1198" s="1" t="s">
        <v>2641</v>
      </c>
      <c r="B1198" s="1" t="s">
        <v>2690</v>
      </c>
      <c r="C1198" s="1" t="s">
        <v>2981</v>
      </c>
      <c r="D1198" s="1" t="str">
        <f t="shared" si="54"/>
        <v>8415</v>
      </c>
      <c r="E1198" s="1" t="s">
        <v>1952</v>
      </c>
      <c r="F1198" s="1" t="s">
        <v>1953</v>
      </c>
      <c r="G1198" s="1" t="s">
        <v>47</v>
      </c>
      <c r="H1198" s="1" t="str">
        <f>"2"</f>
        <v>2</v>
      </c>
      <c r="I1198" s="3">
        <v>41.7</v>
      </c>
      <c r="J1198" s="4">
        <v>46066</v>
      </c>
      <c r="K1198" s="1" t="s">
        <v>2982</v>
      </c>
    </row>
    <row r="1199" spans="1:11" x14ac:dyDescent="0.35">
      <c r="A1199" s="1" t="s">
        <v>2641</v>
      </c>
      <c r="B1199" s="1" t="s">
        <v>2690</v>
      </c>
      <c r="C1199" s="1" t="s">
        <v>2987</v>
      </c>
      <c r="D1199" s="1" t="str">
        <f t="shared" si="54"/>
        <v>8415</v>
      </c>
      <c r="E1199" s="1" t="str">
        <f>"015274617"</f>
        <v>015274617</v>
      </c>
      <c r="F1199" s="1" t="s">
        <v>42</v>
      </c>
      <c r="G1199" s="1" t="s">
        <v>15</v>
      </c>
      <c r="H1199" s="1" t="str">
        <f>"4"</f>
        <v>4</v>
      </c>
      <c r="I1199" s="3" t="str">
        <f>"77"</f>
        <v>77</v>
      </c>
      <c r="J1199" s="4">
        <v>46066</v>
      </c>
      <c r="K1199" s="1" t="s">
        <v>2988</v>
      </c>
    </row>
    <row r="1200" spans="1:11" x14ac:dyDescent="0.35">
      <c r="A1200" s="1" t="s">
        <v>2641</v>
      </c>
      <c r="B1200" s="1" t="s">
        <v>2690</v>
      </c>
      <c r="C1200" s="1" t="s">
        <v>2992</v>
      </c>
      <c r="D1200" s="1" t="str">
        <f t="shared" si="54"/>
        <v>8415</v>
      </c>
      <c r="E1200" s="1" t="str">
        <f>"015682920"</f>
        <v>015682920</v>
      </c>
      <c r="F1200" s="1" t="s">
        <v>2993</v>
      </c>
      <c r="G1200" s="1" t="s">
        <v>15</v>
      </c>
      <c r="H1200" s="1" t="str">
        <f>"4"</f>
        <v>4</v>
      </c>
      <c r="I1200" s="3">
        <v>56.86</v>
      </c>
      <c r="J1200" s="4">
        <v>46066</v>
      </c>
      <c r="K1200" s="1" t="s">
        <v>2994</v>
      </c>
    </row>
    <row r="1201" spans="1:11" x14ac:dyDescent="0.35">
      <c r="A1201" s="1" t="s">
        <v>2641</v>
      </c>
      <c r="B1201" s="1" t="s">
        <v>2690</v>
      </c>
      <c r="C1201" s="1" t="s">
        <v>2995</v>
      </c>
      <c r="D1201" s="1" t="str">
        <f t="shared" si="54"/>
        <v>8415</v>
      </c>
      <c r="E1201" s="1" t="str">
        <f>"011811398"</f>
        <v>011811398</v>
      </c>
      <c r="F1201" s="1" t="s">
        <v>2996</v>
      </c>
      <c r="G1201" s="1" t="s">
        <v>15</v>
      </c>
      <c r="H1201" s="1" t="str">
        <f>"60"</f>
        <v>60</v>
      </c>
      <c r="I1201" s="3">
        <v>9.6199999999999992</v>
      </c>
      <c r="J1201" s="4">
        <v>46066</v>
      </c>
      <c r="K1201" s="1" t="s">
        <v>2997</v>
      </c>
    </row>
    <row r="1202" spans="1:11" x14ac:dyDescent="0.35">
      <c r="A1202" s="1" t="s">
        <v>2641</v>
      </c>
      <c r="B1202" s="1" t="s">
        <v>2690</v>
      </c>
      <c r="C1202" s="1" t="s">
        <v>2998</v>
      </c>
      <c r="D1202" s="1" t="str">
        <f t="shared" si="54"/>
        <v>8415</v>
      </c>
      <c r="E1202" s="1" t="str">
        <f>"015908439"</f>
        <v>015908439</v>
      </c>
      <c r="F1202" s="1" t="s">
        <v>2999</v>
      </c>
      <c r="G1202" s="1" t="s">
        <v>15</v>
      </c>
      <c r="H1202" s="1" t="str">
        <f>"1"</f>
        <v>1</v>
      </c>
      <c r="I1202" s="3">
        <v>12.38</v>
      </c>
      <c r="J1202" s="4">
        <v>46066</v>
      </c>
      <c r="K1202" s="1" t="s">
        <v>3000</v>
      </c>
    </row>
    <row r="1203" spans="1:11" x14ac:dyDescent="0.35">
      <c r="A1203" s="1" t="s">
        <v>2641</v>
      </c>
      <c r="B1203" s="1" t="s">
        <v>2690</v>
      </c>
      <c r="C1203" s="1" t="s">
        <v>3001</v>
      </c>
      <c r="D1203" s="1" t="str">
        <f t="shared" si="54"/>
        <v>8415</v>
      </c>
      <c r="E1203" s="1" t="str">
        <f>"015473513"</f>
        <v>015473513</v>
      </c>
      <c r="F1203" s="1" t="s">
        <v>895</v>
      </c>
      <c r="G1203" s="1" t="s">
        <v>15</v>
      </c>
      <c r="H1203" s="1" t="str">
        <f>"1"</f>
        <v>1</v>
      </c>
      <c r="I1203" s="3">
        <v>182.66</v>
      </c>
      <c r="J1203" s="4">
        <v>46066</v>
      </c>
      <c r="K1203" s="1" t="s">
        <v>2988</v>
      </c>
    </row>
    <row r="1204" spans="1:11" x14ac:dyDescent="0.35">
      <c r="A1204" s="1" t="s">
        <v>2641</v>
      </c>
      <c r="B1204" s="1" t="s">
        <v>2690</v>
      </c>
      <c r="C1204" s="1" t="s">
        <v>3002</v>
      </c>
      <c r="D1204" s="1" t="str">
        <f t="shared" si="54"/>
        <v>8415</v>
      </c>
      <c r="E1204" s="1" t="str">
        <f>"015398053"</f>
        <v>015398053</v>
      </c>
      <c r="F1204" s="1" t="s">
        <v>3003</v>
      </c>
      <c r="G1204" s="1" t="s">
        <v>47</v>
      </c>
      <c r="H1204" s="1" t="str">
        <f>"1"</f>
        <v>1</v>
      </c>
      <c r="I1204" s="3">
        <v>64.31</v>
      </c>
      <c r="J1204" s="4">
        <v>46066</v>
      </c>
      <c r="K1204" s="1" t="s">
        <v>3004</v>
      </c>
    </row>
    <row r="1205" spans="1:11" x14ac:dyDescent="0.35">
      <c r="A1205" s="1" t="s">
        <v>2641</v>
      </c>
      <c r="B1205" s="1" t="s">
        <v>2690</v>
      </c>
      <c r="C1205" s="1" t="s">
        <v>3005</v>
      </c>
      <c r="D1205" s="1" t="str">
        <f t="shared" si="54"/>
        <v>8415</v>
      </c>
      <c r="E1205" s="1" t="str">
        <f>"015473536"</f>
        <v>015473536</v>
      </c>
      <c r="F1205" s="1" t="s">
        <v>895</v>
      </c>
      <c r="G1205" s="1" t="s">
        <v>15</v>
      </c>
      <c r="H1205" s="1" t="str">
        <f>"1"</f>
        <v>1</v>
      </c>
      <c r="I1205" s="3">
        <v>182.66</v>
      </c>
      <c r="J1205" s="4">
        <v>46066</v>
      </c>
      <c r="K1205" s="1" t="s">
        <v>2988</v>
      </c>
    </row>
    <row r="1206" spans="1:11" x14ac:dyDescent="0.35">
      <c r="A1206" s="1" t="s">
        <v>2641</v>
      </c>
      <c r="B1206" s="1" t="s">
        <v>2690</v>
      </c>
      <c r="C1206" s="1" t="s">
        <v>3006</v>
      </c>
      <c r="D1206" s="1" t="str">
        <f t="shared" si="54"/>
        <v>8415</v>
      </c>
      <c r="E1206" s="1" t="str">
        <f>"015473532"</f>
        <v>015473532</v>
      </c>
      <c r="F1206" s="1" t="s">
        <v>895</v>
      </c>
      <c r="G1206" s="1" t="s">
        <v>15</v>
      </c>
      <c r="H1206" s="1" t="str">
        <f>"1"</f>
        <v>1</v>
      </c>
      <c r="I1206" s="3">
        <v>182.66</v>
      </c>
      <c r="J1206" s="4">
        <v>46066</v>
      </c>
      <c r="K1206" s="1" t="s">
        <v>2988</v>
      </c>
    </row>
    <row r="1207" spans="1:11" x14ac:dyDescent="0.35">
      <c r="A1207" s="1" t="s">
        <v>2641</v>
      </c>
      <c r="B1207" s="1" t="s">
        <v>2690</v>
      </c>
      <c r="C1207" s="1" t="s">
        <v>3007</v>
      </c>
      <c r="D1207" s="1" t="str">
        <f t="shared" si="54"/>
        <v>8415</v>
      </c>
      <c r="E1207" s="1" t="str">
        <f>"015674285"</f>
        <v>015674285</v>
      </c>
      <c r="F1207" s="1" t="s">
        <v>3008</v>
      </c>
      <c r="G1207" s="1" t="s">
        <v>15</v>
      </c>
      <c r="H1207" s="1" t="str">
        <f>"2"</f>
        <v>2</v>
      </c>
      <c r="I1207" s="3">
        <v>43.63</v>
      </c>
      <c r="J1207" s="4">
        <v>46066</v>
      </c>
      <c r="K1207" s="1" t="s">
        <v>3009</v>
      </c>
    </row>
    <row r="1208" spans="1:11" x14ac:dyDescent="0.35">
      <c r="A1208" s="1" t="s">
        <v>2641</v>
      </c>
      <c r="B1208" s="1" t="s">
        <v>2690</v>
      </c>
      <c r="C1208" s="1" t="s">
        <v>3010</v>
      </c>
      <c r="D1208" s="1" t="str">
        <f t="shared" si="54"/>
        <v>8415</v>
      </c>
      <c r="E1208" s="1" t="str">
        <f>"015553895"</f>
        <v>015553895</v>
      </c>
      <c r="F1208" s="1" t="s">
        <v>822</v>
      </c>
      <c r="G1208" s="1" t="s">
        <v>15</v>
      </c>
      <c r="H1208" s="1" t="str">
        <f>"2"</f>
        <v>2</v>
      </c>
      <c r="I1208" s="3">
        <v>91.94</v>
      </c>
      <c r="J1208" s="4">
        <v>46066</v>
      </c>
      <c r="K1208" s="1" t="s">
        <v>3011</v>
      </c>
    </row>
    <row r="1209" spans="1:11" x14ac:dyDescent="0.35">
      <c r="A1209" s="1" t="s">
        <v>2641</v>
      </c>
      <c r="B1209" s="1" t="s">
        <v>2690</v>
      </c>
      <c r="C1209" s="1" t="s">
        <v>3012</v>
      </c>
      <c r="D1209" s="1" t="str">
        <f t="shared" si="54"/>
        <v>8415</v>
      </c>
      <c r="E1209" s="1" t="str">
        <f>"015816760"</f>
        <v>015816760</v>
      </c>
      <c r="F1209" s="1" t="s">
        <v>3013</v>
      </c>
      <c r="G1209" s="1" t="s">
        <v>15</v>
      </c>
      <c r="H1209" s="1" t="str">
        <f>"1"</f>
        <v>1</v>
      </c>
      <c r="I1209" s="3">
        <v>75.97</v>
      </c>
      <c r="J1209" s="4">
        <v>46066</v>
      </c>
      <c r="K1209" s="1" t="s">
        <v>3014</v>
      </c>
    </row>
    <row r="1210" spans="1:11" x14ac:dyDescent="0.35">
      <c r="A1210" s="1" t="s">
        <v>2641</v>
      </c>
      <c r="B1210" s="1" t="s">
        <v>2690</v>
      </c>
      <c r="C1210" s="1" t="s">
        <v>3015</v>
      </c>
      <c r="D1210" s="1" t="str">
        <f t="shared" si="54"/>
        <v>8415</v>
      </c>
      <c r="E1210" s="1" t="str">
        <f>"014916192"</f>
        <v>014916192</v>
      </c>
      <c r="F1210" s="1" t="s">
        <v>3016</v>
      </c>
      <c r="G1210" s="1" t="s">
        <v>15</v>
      </c>
      <c r="H1210" s="1" t="str">
        <f>"1"</f>
        <v>1</v>
      </c>
      <c r="I1210" s="3" t="str">
        <f>"60"</f>
        <v>60</v>
      </c>
      <c r="J1210" s="4">
        <v>46066</v>
      </c>
      <c r="K1210" s="1" t="s">
        <v>3017</v>
      </c>
    </row>
    <row r="1211" spans="1:11" x14ac:dyDescent="0.35">
      <c r="A1211" s="1" t="s">
        <v>2641</v>
      </c>
      <c r="B1211" s="1" t="s">
        <v>2690</v>
      </c>
      <c r="C1211" s="1" t="s">
        <v>3021</v>
      </c>
      <c r="D1211" s="1" t="str">
        <f t="shared" si="54"/>
        <v>8415</v>
      </c>
      <c r="E1211" s="1" t="str">
        <f>"015778459"</f>
        <v>015778459</v>
      </c>
      <c r="F1211" s="1" t="s">
        <v>1463</v>
      </c>
      <c r="G1211" s="1" t="s">
        <v>15</v>
      </c>
      <c r="H1211" s="1" t="str">
        <f>"1"</f>
        <v>1</v>
      </c>
      <c r="I1211" s="3">
        <v>134.36000000000001</v>
      </c>
      <c r="J1211" s="4">
        <v>46066</v>
      </c>
      <c r="K1211" s="1" t="s">
        <v>3022</v>
      </c>
    </row>
    <row r="1212" spans="1:11" x14ac:dyDescent="0.35">
      <c r="A1212" s="1" t="s">
        <v>2641</v>
      </c>
      <c r="B1212" s="1" t="s">
        <v>2690</v>
      </c>
      <c r="C1212" s="1" t="s">
        <v>3023</v>
      </c>
      <c r="D1212" s="1" t="str">
        <f t="shared" si="54"/>
        <v>8415</v>
      </c>
      <c r="E1212" s="1" t="str">
        <f>"015682874"</f>
        <v>015682874</v>
      </c>
      <c r="F1212" s="1" t="s">
        <v>3024</v>
      </c>
      <c r="G1212" s="1" t="s">
        <v>47</v>
      </c>
      <c r="H1212" s="1" t="str">
        <f>"3"</f>
        <v>3</v>
      </c>
      <c r="I1212" s="3">
        <v>47.2</v>
      </c>
      <c r="J1212" s="4">
        <v>46066</v>
      </c>
      <c r="K1212" s="1" t="s">
        <v>3025</v>
      </c>
    </row>
    <row r="1213" spans="1:11" x14ac:dyDescent="0.35">
      <c r="A1213" s="1" t="s">
        <v>2641</v>
      </c>
      <c r="B1213" s="1" t="s">
        <v>2690</v>
      </c>
      <c r="C1213" s="1" t="s">
        <v>3043</v>
      </c>
      <c r="D1213" s="1" t="str">
        <f>"8420"</f>
        <v>8420</v>
      </c>
      <c r="E1213" s="1" t="s">
        <v>3044</v>
      </c>
      <c r="F1213" s="1" t="s">
        <v>3045</v>
      </c>
      <c r="G1213" s="1" t="s">
        <v>15</v>
      </c>
      <c r="H1213" s="1" t="str">
        <f>"10"</f>
        <v>10</v>
      </c>
      <c r="I1213" s="3" t="str">
        <f>"5"</f>
        <v>5</v>
      </c>
      <c r="J1213" s="4">
        <v>46066</v>
      </c>
      <c r="K1213" s="1" t="s">
        <v>3046</v>
      </c>
    </row>
    <row r="1214" spans="1:11" x14ac:dyDescent="0.35">
      <c r="A1214" s="1" t="s">
        <v>2641</v>
      </c>
      <c r="B1214" s="1" t="s">
        <v>2690</v>
      </c>
      <c r="C1214" s="1" t="s">
        <v>3047</v>
      </c>
      <c r="D1214" s="1" t="str">
        <f>"8420"</f>
        <v>8420</v>
      </c>
      <c r="E1214" s="1" t="str">
        <f>"015461487"</f>
        <v>015461487</v>
      </c>
      <c r="F1214" s="1" t="s">
        <v>3048</v>
      </c>
      <c r="G1214" s="1" t="s">
        <v>15</v>
      </c>
      <c r="H1214" s="1" t="str">
        <f>"6"</f>
        <v>6</v>
      </c>
      <c r="I1214" s="3">
        <v>4.08</v>
      </c>
      <c r="J1214" s="4">
        <v>46066</v>
      </c>
      <c r="K1214" s="1" t="s">
        <v>3049</v>
      </c>
    </row>
    <row r="1215" spans="1:11" x14ac:dyDescent="0.35">
      <c r="A1215" s="1" t="s">
        <v>2641</v>
      </c>
      <c r="B1215" s="1" t="s">
        <v>2690</v>
      </c>
      <c r="C1215" s="1" t="s">
        <v>3050</v>
      </c>
      <c r="D1215" s="1" t="str">
        <f>"8420"</f>
        <v>8420</v>
      </c>
      <c r="E1215" s="1" t="s">
        <v>3044</v>
      </c>
      <c r="F1215" s="1" t="s">
        <v>3045</v>
      </c>
      <c r="G1215" s="1" t="s">
        <v>15</v>
      </c>
      <c r="H1215" s="1" t="str">
        <f>"12"</f>
        <v>12</v>
      </c>
      <c r="I1215" s="3" t="str">
        <f>"10"</f>
        <v>10</v>
      </c>
      <c r="J1215" s="4">
        <v>46066</v>
      </c>
      <c r="K1215" s="1" t="s">
        <v>3049</v>
      </c>
    </row>
    <row r="1216" spans="1:11" x14ac:dyDescent="0.35">
      <c r="A1216" s="1" t="s">
        <v>2641</v>
      </c>
      <c r="B1216" s="1" t="s">
        <v>2690</v>
      </c>
      <c r="C1216" s="1" t="s">
        <v>3051</v>
      </c>
      <c r="D1216" s="1" t="str">
        <f>"8420"</f>
        <v>8420</v>
      </c>
      <c r="E1216" s="1" t="str">
        <f>"014951998"</f>
        <v>014951998</v>
      </c>
      <c r="F1216" s="1" t="s">
        <v>3052</v>
      </c>
      <c r="G1216" s="1" t="s">
        <v>15</v>
      </c>
      <c r="H1216" s="1" t="str">
        <f>"10"</f>
        <v>10</v>
      </c>
      <c r="I1216" s="3">
        <v>3.85</v>
      </c>
      <c r="J1216" s="4">
        <v>46066</v>
      </c>
      <c r="K1216" s="1" t="s">
        <v>3053</v>
      </c>
    </row>
    <row r="1217" spans="1:11" x14ac:dyDescent="0.35">
      <c r="A1217" s="1" t="s">
        <v>2641</v>
      </c>
      <c r="B1217" s="1" t="s">
        <v>2690</v>
      </c>
      <c r="C1217" s="1" t="s">
        <v>3094</v>
      </c>
      <c r="D1217" s="1" t="str">
        <f>"8465"</f>
        <v>8465</v>
      </c>
      <c r="E1217" s="1" t="str">
        <f>"015236276"</f>
        <v>015236276</v>
      </c>
      <c r="F1217" s="1" t="s">
        <v>1636</v>
      </c>
      <c r="G1217" s="1" t="s">
        <v>257</v>
      </c>
      <c r="H1217" s="1" t="str">
        <f>"15"</f>
        <v>15</v>
      </c>
      <c r="I1217" s="3">
        <v>255.8</v>
      </c>
      <c r="J1217" s="4">
        <v>46066</v>
      </c>
      <c r="K1217" s="1" t="s">
        <v>3095</v>
      </c>
    </row>
    <row r="1218" spans="1:11" x14ac:dyDescent="0.35">
      <c r="A1218" s="1" t="s">
        <v>2641</v>
      </c>
      <c r="B1218" s="1" t="s">
        <v>3124</v>
      </c>
      <c r="C1218" s="1" t="s">
        <v>3127</v>
      </c>
      <c r="D1218" s="1" t="str">
        <f>"2330"</f>
        <v>2330</v>
      </c>
      <c r="E1218" s="1" t="s">
        <v>104</v>
      </c>
      <c r="F1218" s="1" t="s">
        <v>105</v>
      </c>
      <c r="G1218" s="1" t="s">
        <v>15</v>
      </c>
      <c r="H1218" s="1" t="str">
        <f>"1"</f>
        <v>1</v>
      </c>
      <c r="I1218" s="3" t="str">
        <f>"1500"</f>
        <v>1500</v>
      </c>
      <c r="J1218" s="4">
        <v>46066</v>
      </c>
      <c r="K1218" s="1" t="s">
        <v>3128</v>
      </c>
    </row>
    <row r="1219" spans="1:11" x14ac:dyDescent="0.35">
      <c r="A1219" s="1" t="s">
        <v>2641</v>
      </c>
      <c r="B1219" s="1" t="s">
        <v>3124</v>
      </c>
      <c r="C1219" s="1" t="s">
        <v>3142</v>
      </c>
      <c r="D1219" s="1" t="str">
        <f>"8405"</f>
        <v>8405</v>
      </c>
      <c r="E1219" s="1" t="str">
        <f>"008893683"</f>
        <v>008893683</v>
      </c>
      <c r="F1219" s="1" t="s">
        <v>893</v>
      </c>
      <c r="G1219" s="1" t="s">
        <v>15</v>
      </c>
      <c r="H1219" s="1" t="str">
        <f>"22"</f>
        <v>22</v>
      </c>
      <c r="I1219" s="3">
        <v>36.020000000000003</v>
      </c>
      <c r="J1219" s="4">
        <v>46066</v>
      </c>
      <c r="K1219" s="1" t="s">
        <v>3143</v>
      </c>
    </row>
    <row r="1220" spans="1:11" x14ac:dyDescent="0.35">
      <c r="A1220" s="1" t="s">
        <v>2641</v>
      </c>
      <c r="B1220" s="1" t="s">
        <v>3124</v>
      </c>
      <c r="C1220" s="1" t="s">
        <v>3160</v>
      </c>
      <c r="D1220" s="1" t="str">
        <f>"8415"</f>
        <v>8415</v>
      </c>
      <c r="E1220" s="1" t="str">
        <f>"015801337"</f>
        <v>015801337</v>
      </c>
      <c r="F1220" s="1" t="s">
        <v>761</v>
      </c>
      <c r="G1220" s="1" t="s">
        <v>15</v>
      </c>
      <c r="H1220" s="1" t="str">
        <f>"3"</f>
        <v>3</v>
      </c>
      <c r="I1220" s="3">
        <v>80.94</v>
      </c>
      <c r="J1220" s="4">
        <v>46066</v>
      </c>
      <c r="K1220" s="1" t="s">
        <v>3161</v>
      </c>
    </row>
    <row r="1221" spans="1:11" x14ac:dyDescent="0.35">
      <c r="A1221" s="1" t="s">
        <v>2641</v>
      </c>
      <c r="B1221" s="1" t="s">
        <v>3124</v>
      </c>
      <c r="C1221" s="1" t="s">
        <v>3162</v>
      </c>
      <c r="D1221" s="1" t="str">
        <f>"8415"</f>
        <v>8415</v>
      </c>
      <c r="E1221" s="1" t="str">
        <f>"015265346"</f>
        <v>015265346</v>
      </c>
      <c r="F1221" s="1" t="s">
        <v>3040</v>
      </c>
      <c r="G1221" s="1" t="s">
        <v>15</v>
      </c>
      <c r="H1221" s="1" t="str">
        <f>"25"</f>
        <v>25</v>
      </c>
      <c r="I1221" s="3">
        <v>6.03</v>
      </c>
      <c r="J1221" s="4">
        <v>46066</v>
      </c>
      <c r="K1221" s="1" t="s">
        <v>3163</v>
      </c>
    </row>
    <row r="1222" spans="1:11" x14ac:dyDescent="0.35">
      <c r="A1222" s="1" t="s">
        <v>2641</v>
      </c>
      <c r="B1222" s="1" t="s">
        <v>3124</v>
      </c>
      <c r="C1222" s="1" t="s">
        <v>3164</v>
      </c>
      <c r="D1222" s="1" t="str">
        <f>"8415"</f>
        <v>8415</v>
      </c>
      <c r="E1222" s="1" t="str">
        <f>"015460374"</f>
        <v>015460374</v>
      </c>
      <c r="F1222" s="1" t="s">
        <v>822</v>
      </c>
      <c r="G1222" s="1" t="s">
        <v>15</v>
      </c>
      <c r="H1222" s="1" t="str">
        <f>"11"</f>
        <v>11</v>
      </c>
      <c r="I1222" s="3">
        <v>39.33</v>
      </c>
      <c r="J1222" s="4">
        <v>46066</v>
      </c>
      <c r="K1222" s="1" t="str">
        <f>"8415015460369"</f>
        <v>8415015460369</v>
      </c>
    </row>
    <row r="1223" spans="1:11" x14ac:dyDescent="0.35">
      <c r="A1223" s="1" t="s">
        <v>2641</v>
      </c>
      <c r="B1223" s="1" t="s">
        <v>3124</v>
      </c>
      <c r="C1223" s="1" t="s">
        <v>3165</v>
      </c>
      <c r="D1223" s="1" t="str">
        <f>"8415"</f>
        <v>8415</v>
      </c>
      <c r="E1223" s="1" t="str">
        <f>"015801362"</f>
        <v>015801362</v>
      </c>
      <c r="F1223" s="1" t="s">
        <v>761</v>
      </c>
      <c r="G1223" s="1" t="s">
        <v>15</v>
      </c>
      <c r="H1223" s="1" t="str">
        <f>"4"</f>
        <v>4</v>
      </c>
      <c r="I1223" s="3">
        <v>80.94</v>
      </c>
      <c r="J1223" s="4">
        <v>46066</v>
      </c>
      <c r="K1223" s="1" t="s">
        <v>3166</v>
      </c>
    </row>
    <row r="1224" spans="1:11" x14ac:dyDescent="0.35">
      <c r="A1224" s="1" t="s">
        <v>2641</v>
      </c>
      <c r="B1224" s="1" t="s">
        <v>3124</v>
      </c>
      <c r="C1224" s="1" t="s">
        <v>3254</v>
      </c>
      <c r="D1224" s="1" t="str">
        <f>"8465"</f>
        <v>8465</v>
      </c>
      <c r="E1224" s="1" t="str">
        <f>"002616909"</f>
        <v>002616909</v>
      </c>
      <c r="F1224" s="1" t="s">
        <v>3255</v>
      </c>
      <c r="G1224" s="1" t="s">
        <v>15</v>
      </c>
      <c r="H1224" s="1" t="str">
        <f>"60"</f>
        <v>60</v>
      </c>
      <c r="I1224" s="3">
        <v>62.69</v>
      </c>
      <c r="J1224" s="4">
        <v>46066</v>
      </c>
      <c r="K1224" s="1" t="s">
        <v>3256</v>
      </c>
    </row>
    <row r="1225" spans="1:11" x14ac:dyDescent="0.35">
      <c r="A1225" s="1" t="s">
        <v>2641</v>
      </c>
      <c r="B1225" s="1" t="s">
        <v>2690</v>
      </c>
      <c r="C1225" s="1" t="s">
        <v>3034</v>
      </c>
      <c r="D1225" s="1" t="str">
        <f>"8415"</f>
        <v>8415</v>
      </c>
      <c r="E1225" s="1" t="s">
        <v>836</v>
      </c>
      <c r="F1225" s="1" t="s">
        <v>837</v>
      </c>
      <c r="G1225" s="1" t="s">
        <v>47</v>
      </c>
      <c r="H1225" s="1" t="str">
        <f t="shared" ref="H1225:H1230" si="55">"1"</f>
        <v>1</v>
      </c>
      <c r="I1225" s="3">
        <v>172.15</v>
      </c>
      <c r="J1225" s="4">
        <v>46071</v>
      </c>
      <c r="K1225" s="1" t="s">
        <v>3035</v>
      </c>
    </row>
    <row r="1226" spans="1:11" x14ac:dyDescent="0.35">
      <c r="A1226" s="1" t="s">
        <v>2641</v>
      </c>
      <c r="B1226" s="1" t="s">
        <v>2690</v>
      </c>
      <c r="C1226" s="1" t="s">
        <v>3036</v>
      </c>
      <c r="D1226" s="1" t="str">
        <f>"8415"</f>
        <v>8415</v>
      </c>
      <c r="E1226" s="1" t="s">
        <v>836</v>
      </c>
      <c r="F1226" s="1" t="s">
        <v>837</v>
      </c>
      <c r="G1226" s="1" t="s">
        <v>47</v>
      </c>
      <c r="H1226" s="1" t="str">
        <f t="shared" si="55"/>
        <v>1</v>
      </c>
      <c r="I1226" s="3">
        <v>121.15</v>
      </c>
      <c r="J1226" s="4">
        <v>46071</v>
      </c>
      <c r="K1226" s="1" t="s">
        <v>3035</v>
      </c>
    </row>
    <row r="1227" spans="1:11" x14ac:dyDescent="0.35">
      <c r="A1227" s="1" t="s">
        <v>2641</v>
      </c>
      <c r="B1227" s="1" t="s">
        <v>2690</v>
      </c>
      <c r="C1227" s="1" t="s">
        <v>3037</v>
      </c>
      <c r="D1227" s="1" t="str">
        <f>"8415"</f>
        <v>8415</v>
      </c>
      <c r="E1227" s="1" t="s">
        <v>836</v>
      </c>
      <c r="F1227" s="1" t="s">
        <v>837</v>
      </c>
      <c r="G1227" s="1" t="s">
        <v>47</v>
      </c>
      <c r="H1227" s="1" t="str">
        <f t="shared" si="55"/>
        <v>1</v>
      </c>
      <c r="I1227" s="3" t="str">
        <f>"130"</f>
        <v>130</v>
      </c>
      <c r="J1227" s="4">
        <v>46071</v>
      </c>
      <c r="K1227" s="1" t="s">
        <v>3035</v>
      </c>
    </row>
    <row r="1228" spans="1:11" x14ac:dyDescent="0.35">
      <c r="A1228" s="1" t="s">
        <v>2641</v>
      </c>
      <c r="B1228" s="1" t="s">
        <v>2690</v>
      </c>
      <c r="C1228" s="1" t="s">
        <v>3038</v>
      </c>
      <c r="D1228" s="1" t="str">
        <f>"8415"</f>
        <v>8415</v>
      </c>
      <c r="E1228" s="1" t="s">
        <v>836</v>
      </c>
      <c r="F1228" s="1" t="s">
        <v>837</v>
      </c>
      <c r="G1228" s="1" t="s">
        <v>47</v>
      </c>
      <c r="H1228" s="1" t="str">
        <f t="shared" si="55"/>
        <v>1</v>
      </c>
      <c r="I1228" s="3">
        <v>163.56</v>
      </c>
      <c r="J1228" s="4">
        <v>46071</v>
      </c>
      <c r="K1228" s="1" t="s">
        <v>3035</v>
      </c>
    </row>
    <row r="1229" spans="1:11" x14ac:dyDescent="0.35">
      <c r="A1229" s="1" t="s">
        <v>2641</v>
      </c>
      <c r="B1229" s="1" t="s">
        <v>2690</v>
      </c>
      <c r="C1229" s="1" t="s">
        <v>2712</v>
      </c>
      <c r="D1229" s="1" t="str">
        <f>"2340"</f>
        <v>2340</v>
      </c>
      <c r="E1229" s="1" t="s">
        <v>2713</v>
      </c>
      <c r="F1229" s="1" t="s">
        <v>2714</v>
      </c>
      <c r="G1229" s="1" t="s">
        <v>15</v>
      </c>
      <c r="H1229" s="1" t="str">
        <f t="shared" si="55"/>
        <v>1</v>
      </c>
      <c r="I1229" s="3" t="str">
        <f>"3000"</f>
        <v>3000</v>
      </c>
      <c r="J1229" s="4">
        <v>46073</v>
      </c>
      <c r="K1229" s="1" t="s">
        <v>2715</v>
      </c>
    </row>
    <row r="1230" spans="1:11" x14ac:dyDescent="0.35">
      <c r="A1230" s="1" t="s">
        <v>2641</v>
      </c>
      <c r="B1230" s="1" t="s">
        <v>2690</v>
      </c>
      <c r="C1230" s="1" t="s">
        <v>2733</v>
      </c>
      <c r="D1230" s="1" t="str">
        <f>"4320"</f>
        <v>4320</v>
      </c>
      <c r="E1230" s="1" t="str">
        <f>"012890472"</f>
        <v>012890472</v>
      </c>
      <c r="F1230" s="1" t="s">
        <v>2734</v>
      </c>
      <c r="G1230" s="1" t="s">
        <v>15</v>
      </c>
      <c r="H1230" s="1" t="str">
        <f t="shared" si="55"/>
        <v>1</v>
      </c>
      <c r="I1230" s="3">
        <v>512.82000000000005</v>
      </c>
      <c r="J1230" s="4">
        <v>46073</v>
      </c>
      <c r="K1230" s="1" t="s">
        <v>2735</v>
      </c>
    </row>
    <row r="1231" spans="1:11" x14ac:dyDescent="0.35">
      <c r="A1231" s="1" t="s">
        <v>2641</v>
      </c>
      <c r="B1231" s="1" t="s">
        <v>2690</v>
      </c>
      <c r="C1231" s="1" t="s">
        <v>2864</v>
      </c>
      <c r="D1231" s="1" t="str">
        <f>"6545"</f>
        <v>6545</v>
      </c>
      <c r="E1231" s="1" t="str">
        <f>"015300929"</f>
        <v>015300929</v>
      </c>
      <c r="F1231" s="1" t="s">
        <v>167</v>
      </c>
      <c r="G1231" s="1" t="s">
        <v>168</v>
      </c>
      <c r="H1231" s="1" t="str">
        <f>"40"</f>
        <v>40</v>
      </c>
      <c r="I1231" s="3">
        <v>48.71</v>
      </c>
      <c r="J1231" s="4">
        <v>46073</v>
      </c>
      <c r="K1231" s="1" t="s">
        <v>2865</v>
      </c>
    </row>
    <row r="1232" spans="1:11" x14ac:dyDescent="0.35">
      <c r="A1232" s="1" t="s">
        <v>2641</v>
      </c>
      <c r="B1232" s="1" t="s">
        <v>2690</v>
      </c>
      <c r="C1232" s="1" t="s">
        <v>2868</v>
      </c>
      <c r="D1232" s="1" t="str">
        <f>"6665"</f>
        <v>6665</v>
      </c>
      <c r="E1232" s="1" t="str">
        <f>"219061023"</f>
        <v>219061023</v>
      </c>
      <c r="F1232" s="1" t="s">
        <v>408</v>
      </c>
      <c r="G1232" s="1" t="s">
        <v>15</v>
      </c>
      <c r="H1232" s="1" t="str">
        <f>"4"</f>
        <v>4</v>
      </c>
      <c r="I1232" s="3" t="str">
        <f>"2450"</f>
        <v>2450</v>
      </c>
      <c r="J1232" s="4">
        <v>46073</v>
      </c>
      <c r="K1232" s="1" t="s">
        <v>2869</v>
      </c>
    </row>
    <row r="1233" spans="1:11" x14ac:dyDescent="0.35">
      <c r="A1233" s="1" t="s">
        <v>2641</v>
      </c>
      <c r="B1233" s="1" t="s">
        <v>2690</v>
      </c>
      <c r="C1233" s="1" t="s">
        <v>2970</v>
      </c>
      <c r="D1233" s="1" t="str">
        <f t="shared" ref="D1233:D1245" si="56">"8415"</f>
        <v>8415</v>
      </c>
      <c r="E1233" s="1" t="str">
        <f>"015066254"</f>
        <v>015066254</v>
      </c>
      <c r="F1233" s="1" t="s">
        <v>895</v>
      </c>
      <c r="G1233" s="1" t="s">
        <v>15</v>
      </c>
      <c r="H1233" s="1" t="str">
        <f>"1"</f>
        <v>1</v>
      </c>
      <c r="I1233" s="3">
        <v>162.94999999999999</v>
      </c>
      <c r="J1233" s="4">
        <v>46073</v>
      </c>
      <c r="K1233" s="1" t="s">
        <v>2971</v>
      </c>
    </row>
    <row r="1234" spans="1:11" x14ac:dyDescent="0.35">
      <c r="A1234" s="1" t="s">
        <v>2641</v>
      </c>
      <c r="B1234" s="1" t="s">
        <v>2690</v>
      </c>
      <c r="C1234" s="1" t="s">
        <v>2972</v>
      </c>
      <c r="D1234" s="1" t="str">
        <f t="shared" si="56"/>
        <v>8415</v>
      </c>
      <c r="E1234" s="1" t="str">
        <f>"016727166"</f>
        <v>016727166</v>
      </c>
      <c r="F1234" s="1" t="s">
        <v>895</v>
      </c>
      <c r="G1234" s="1" t="s">
        <v>15</v>
      </c>
      <c r="H1234" s="1" t="str">
        <f>"35"</f>
        <v>35</v>
      </c>
      <c r="I1234" s="3">
        <v>248.15</v>
      </c>
      <c r="J1234" s="4">
        <v>46073</v>
      </c>
      <c r="K1234" s="1" t="s">
        <v>2971</v>
      </c>
    </row>
    <row r="1235" spans="1:11" x14ac:dyDescent="0.35">
      <c r="A1235" s="1" t="s">
        <v>2641</v>
      </c>
      <c r="B1235" s="1" t="s">
        <v>2690</v>
      </c>
      <c r="C1235" s="1" t="s">
        <v>2973</v>
      </c>
      <c r="D1235" s="1" t="str">
        <f t="shared" si="56"/>
        <v>8415</v>
      </c>
      <c r="E1235" s="1" t="str">
        <f>"015066281"</f>
        <v>015066281</v>
      </c>
      <c r="F1235" s="1" t="s">
        <v>895</v>
      </c>
      <c r="G1235" s="1" t="s">
        <v>15</v>
      </c>
      <c r="H1235" s="1" t="str">
        <f>"3"</f>
        <v>3</v>
      </c>
      <c r="I1235" s="3">
        <v>206.34</v>
      </c>
      <c r="J1235" s="4">
        <v>46073</v>
      </c>
      <c r="K1235" s="1" t="s">
        <v>2971</v>
      </c>
    </row>
    <row r="1236" spans="1:11" x14ac:dyDescent="0.35">
      <c r="A1236" s="1" t="s">
        <v>2641</v>
      </c>
      <c r="B1236" s="1" t="s">
        <v>2690</v>
      </c>
      <c r="C1236" s="1" t="s">
        <v>2974</v>
      </c>
      <c r="D1236" s="1" t="str">
        <f t="shared" si="56"/>
        <v>8415</v>
      </c>
      <c r="E1236" s="1" t="str">
        <f>"015066256"</f>
        <v>015066256</v>
      </c>
      <c r="F1236" s="1" t="s">
        <v>895</v>
      </c>
      <c r="G1236" s="1" t="s">
        <v>15</v>
      </c>
      <c r="H1236" s="1" t="str">
        <f>"13"</f>
        <v>13</v>
      </c>
      <c r="I1236" s="3">
        <v>162.94999999999999</v>
      </c>
      <c r="J1236" s="4">
        <v>46073</v>
      </c>
      <c r="K1236" s="1" t="s">
        <v>2971</v>
      </c>
    </row>
    <row r="1237" spans="1:11" x14ac:dyDescent="0.35">
      <c r="A1237" s="1" t="s">
        <v>2641</v>
      </c>
      <c r="B1237" s="1" t="s">
        <v>2690</v>
      </c>
      <c r="C1237" s="1" t="s">
        <v>2975</v>
      </c>
      <c r="D1237" s="1" t="str">
        <f t="shared" si="56"/>
        <v>8415</v>
      </c>
      <c r="E1237" s="1" t="str">
        <f>"015066260"</f>
        <v>015066260</v>
      </c>
      <c r="F1237" s="1" t="s">
        <v>895</v>
      </c>
      <c r="G1237" s="1" t="s">
        <v>15</v>
      </c>
      <c r="H1237" s="1" t="str">
        <f>"6"</f>
        <v>6</v>
      </c>
      <c r="I1237" s="3">
        <v>162.94999999999999</v>
      </c>
      <c r="J1237" s="4">
        <v>46073</v>
      </c>
      <c r="K1237" s="1" t="s">
        <v>2971</v>
      </c>
    </row>
    <row r="1238" spans="1:11" x14ac:dyDescent="0.35">
      <c r="A1238" s="1" t="s">
        <v>2641</v>
      </c>
      <c r="B1238" s="1" t="s">
        <v>2690</v>
      </c>
      <c r="C1238" s="1" t="s">
        <v>2976</v>
      </c>
      <c r="D1238" s="1" t="str">
        <f t="shared" si="56"/>
        <v>8415</v>
      </c>
      <c r="E1238" s="1" t="str">
        <f>"015066256"</f>
        <v>015066256</v>
      </c>
      <c r="F1238" s="1" t="s">
        <v>895</v>
      </c>
      <c r="G1238" s="1" t="s">
        <v>15</v>
      </c>
      <c r="H1238" s="1" t="str">
        <f>"5"</f>
        <v>5</v>
      </c>
      <c r="I1238" s="3">
        <v>162.94999999999999</v>
      </c>
      <c r="J1238" s="4">
        <v>46073</v>
      </c>
      <c r="K1238" s="1" t="s">
        <v>2971</v>
      </c>
    </row>
    <row r="1239" spans="1:11" x14ac:dyDescent="0.35">
      <c r="A1239" s="1" t="s">
        <v>2641</v>
      </c>
      <c r="B1239" s="1" t="s">
        <v>2690</v>
      </c>
      <c r="C1239" s="1" t="s">
        <v>2983</v>
      </c>
      <c r="D1239" s="1" t="str">
        <f t="shared" si="56"/>
        <v>8415</v>
      </c>
      <c r="E1239" s="1" t="str">
        <f>"013274826"</f>
        <v>013274826</v>
      </c>
      <c r="F1239" s="1" t="s">
        <v>2984</v>
      </c>
      <c r="G1239" s="1" t="s">
        <v>15</v>
      </c>
      <c r="H1239" s="1" t="str">
        <f>"52"</f>
        <v>52</v>
      </c>
      <c r="I1239" s="3">
        <v>5.68</v>
      </c>
      <c r="J1239" s="4">
        <v>46073</v>
      </c>
      <c r="K1239" s="1" t="s">
        <v>2985</v>
      </c>
    </row>
    <row r="1240" spans="1:11" x14ac:dyDescent="0.35">
      <c r="A1240" s="1" t="s">
        <v>2641</v>
      </c>
      <c r="B1240" s="1" t="s">
        <v>2690</v>
      </c>
      <c r="C1240" s="1" t="s">
        <v>2986</v>
      </c>
      <c r="D1240" s="1" t="str">
        <f t="shared" si="56"/>
        <v>8415</v>
      </c>
      <c r="E1240" s="1" t="str">
        <f>"001050605"</f>
        <v>001050605</v>
      </c>
      <c r="F1240" s="1" t="s">
        <v>2984</v>
      </c>
      <c r="G1240" s="1" t="s">
        <v>15</v>
      </c>
      <c r="H1240" s="1" t="str">
        <f>"4"</f>
        <v>4</v>
      </c>
      <c r="I1240" s="3">
        <v>2.16</v>
      </c>
      <c r="J1240" s="4">
        <v>46073</v>
      </c>
      <c r="K1240" s="1" t="s">
        <v>2985</v>
      </c>
    </row>
    <row r="1241" spans="1:11" x14ac:dyDescent="0.35">
      <c r="A1241" s="1" t="s">
        <v>2641</v>
      </c>
      <c r="B1241" s="1" t="s">
        <v>2690</v>
      </c>
      <c r="C1241" s="1" t="s">
        <v>3018</v>
      </c>
      <c r="D1241" s="1" t="str">
        <f t="shared" si="56"/>
        <v>8415</v>
      </c>
      <c r="E1241" s="1" t="str">
        <f>"015065575"</f>
        <v>015065575</v>
      </c>
      <c r="F1241" s="1" t="s">
        <v>3019</v>
      </c>
      <c r="G1241" s="1" t="s">
        <v>47</v>
      </c>
      <c r="H1241" s="1" t="str">
        <f>"1"</f>
        <v>1</v>
      </c>
      <c r="I1241" s="3">
        <v>115.22</v>
      </c>
      <c r="J1241" s="4">
        <v>46073</v>
      </c>
      <c r="K1241" s="1" t="s">
        <v>3020</v>
      </c>
    </row>
    <row r="1242" spans="1:11" x14ac:dyDescent="0.35">
      <c r="A1242" s="1" t="s">
        <v>2641</v>
      </c>
      <c r="B1242" s="1" t="s">
        <v>2690</v>
      </c>
      <c r="C1242" s="1" t="s">
        <v>3026</v>
      </c>
      <c r="D1242" s="1" t="str">
        <f t="shared" si="56"/>
        <v>8415</v>
      </c>
      <c r="E1242" s="1" t="str">
        <f>"015066282"</f>
        <v>015066282</v>
      </c>
      <c r="F1242" s="1" t="s">
        <v>895</v>
      </c>
      <c r="G1242" s="1" t="s">
        <v>15</v>
      </c>
      <c r="H1242" s="1" t="str">
        <f>"35"</f>
        <v>35</v>
      </c>
      <c r="I1242" s="3">
        <v>158.56</v>
      </c>
      <c r="J1242" s="4">
        <v>46073</v>
      </c>
      <c r="K1242" s="1" t="s">
        <v>2971</v>
      </c>
    </row>
    <row r="1243" spans="1:11" x14ac:dyDescent="0.35">
      <c r="A1243" s="1" t="s">
        <v>2641</v>
      </c>
      <c r="B1243" s="1" t="s">
        <v>2690</v>
      </c>
      <c r="C1243" s="1" t="s">
        <v>3027</v>
      </c>
      <c r="D1243" s="1" t="str">
        <f t="shared" si="56"/>
        <v>8415</v>
      </c>
      <c r="E1243" s="1" t="str">
        <f>"015674155"</f>
        <v>015674155</v>
      </c>
      <c r="F1243" s="1" t="s">
        <v>2194</v>
      </c>
      <c r="G1243" s="1" t="s">
        <v>47</v>
      </c>
      <c r="H1243" s="1" t="str">
        <f>"35"</f>
        <v>35</v>
      </c>
      <c r="I1243" s="3">
        <v>40.79</v>
      </c>
      <c r="J1243" s="4">
        <v>46073</v>
      </c>
      <c r="K1243" s="1" t="s">
        <v>3028</v>
      </c>
    </row>
    <row r="1244" spans="1:11" x14ac:dyDescent="0.35">
      <c r="A1244" s="1" t="s">
        <v>2641</v>
      </c>
      <c r="B1244" s="1" t="s">
        <v>2690</v>
      </c>
      <c r="C1244" s="1" t="s">
        <v>3031</v>
      </c>
      <c r="D1244" s="1" t="str">
        <f t="shared" si="56"/>
        <v>8415</v>
      </c>
      <c r="E1244" s="1" t="str">
        <f>"016411683"</f>
        <v>016411683</v>
      </c>
      <c r="F1244" s="1" t="s">
        <v>819</v>
      </c>
      <c r="G1244" s="1" t="s">
        <v>47</v>
      </c>
      <c r="H1244" s="1" t="str">
        <f>"3"</f>
        <v>3</v>
      </c>
      <c r="I1244" s="3">
        <v>100.61</v>
      </c>
      <c r="J1244" s="4">
        <v>46073</v>
      </c>
      <c r="K1244" s="1" t="s">
        <v>3032</v>
      </c>
    </row>
    <row r="1245" spans="1:11" x14ac:dyDescent="0.35">
      <c r="A1245" s="1" t="s">
        <v>2641</v>
      </c>
      <c r="B1245" s="1" t="s">
        <v>2690</v>
      </c>
      <c r="C1245" s="1" t="s">
        <v>3033</v>
      </c>
      <c r="D1245" s="1" t="str">
        <f t="shared" si="56"/>
        <v>8415</v>
      </c>
      <c r="E1245" s="1" t="str">
        <f>"015674155"</f>
        <v>015674155</v>
      </c>
      <c r="F1245" s="1" t="s">
        <v>2194</v>
      </c>
      <c r="G1245" s="1" t="s">
        <v>47</v>
      </c>
      <c r="H1245" s="1" t="str">
        <f>"70"</f>
        <v>70</v>
      </c>
      <c r="I1245" s="3">
        <v>40.79</v>
      </c>
      <c r="J1245" s="4">
        <v>46073</v>
      </c>
      <c r="K1245" s="1" t="s">
        <v>3028</v>
      </c>
    </row>
    <row r="1246" spans="1:11" x14ac:dyDescent="0.35">
      <c r="A1246" s="1" t="s">
        <v>2641</v>
      </c>
      <c r="B1246" s="1" t="s">
        <v>2690</v>
      </c>
      <c r="C1246" s="1" t="s">
        <v>3057</v>
      </c>
      <c r="D1246" s="1" t="str">
        <f>"8440"</f>
        <v>8440</v>
      </c>
      <c r="E1246" s="1" t="str">
        <f>"013878509"</f>
        <v>013878509</v>
      </c>
      <c r="F1246" s="1" t="s">
        <v>3058</v>
      </c>
      <c r="G1246" s="1" t="s">
        <v>15</v>
      </c>
      <c r="H1246" s="1" t="str">
        <f>"14"</f>
        <v>14</v>
      </c>
      <c r="I1246" s="3">
        <v>2.7</v>
      </c>
      <c r="J1246" s="4">
        <v>46073</v>
      </c>
      <c r="K1246" s="1" t="s">
        <v>3059</v>
      </c>
    </row>
    <row r="1247" spans="1:11" x14ac:dyDescent="0.35">
      <c r="A1247" s="1" t="s">
        <v>2641</v>
      </c>
      <c r="B1247" s="1" t="s">
        <v>2690</v>
      </c>
      <c r="C1247" s="1" t="s">
        <v>3064</v>
      </c>
      <c r="D1247" s="1" t="str">
        <f t="shared" ref="D1247:D1255" si="57">"8465"</f>
        <v>8465</v>
      </c>
      <c r="E1247" s="1" t="str">
        <f>"015801303"</f>
        <v>015801303</v>
      </c>
      <c r="F1247" s="1" t="s">
        <v>1964</v>
      </c>
      <c r="G1247" s="1" t="s">
        <v>15</v>
      </c>
      <c r="H1247" s="1" t="str">
        <f>"12"</f>
        <v>12</v>
      </c>
      <c r="I1247" s="3">
        <v>19.87</v>
      </c>
      <c r="J1247" s="4">
        <v>46073</v>
      </c>
      <c r="K1247" s="1" t="s">
        <v>3065</v>
      </c>
    </row>
    <row r="1248" spans="1:11" x14ac:dyDescent="0.35">
      <c r="A1248" s="1" t="s">
        <v>2641</v>
      </c>
      <c r="B1248" s="1" t="s">
        <v>2690</v>
      </c>
      <c r="C1248" s="1" t="s">
        <v>3078</v>
      </c>
      <c r="D1248" s="1" t="str">
        <f t="shared" si="57"/>
        <v>8465</v>
      </c>
      <c r="E1248" s="1" t="str">
        <f>"016641318"</f>
        <v>016641318</v>
      </c>
      <c r="F1248" s="1" t="s">
        <v>3079</v>
      </c>
      <c r="G1248" s="1" t="s">
        <v>47</v>
      </c>
      <c r="H1248" s="1" t="str">
        <f>"60"</f>
        <v>60</v>
      </c>
      <c r="I1248" s="3">
        <v>18.29</v>
      </c>
      <c r="J1248" s="4">
        <v>46073</v>
      </c>
      <c r="K1248" s="1" t="s">
        <v>3080</v>
      </c>
    </row>
    <row r="1249" spans="1:11" x14ac:dyDescent="0.35">
      <c r="A1249" s="1" t="s">
        <v>2641</v>
      </c>
      <c r="B1249" s="1" t="s">
        <v>2690</v>
      </c>
      <c r="C1249" s="1" t="s">
        <v>3081</v>
      </c>
      <c r="D1249" s="1" t="str">
        <f t="shared" si="57"/>
        <v>8465</v>
      </c>
      <c r="E1249" s="1" t="str">
        <f>"014917508"</f>
        <v>014917508</v>
      </c>
      <c r="F1249" s="1" t="s">
        <v>3082</v>
      </c>
      <c r="G1249" s="1" t="s">
        <v>15</v>
      </c>
      <c r="H1249" s="1" t="str">
        <f>"17"</f>
        <v>17</v>
      </c>
      <c r="I1249" s="3">
        <v>24.03</v>
      </c>
      <c r="J1249" s="4">
        <v>46073</v>
      </c>
      <c r="K1249" s="1" t="s">
        <v>3083</v>
      </c>
    </row>
    <row r="1250" spans="1:11" x14ac:dyDescent="0.35">
      <c r="A1250" s="1" t="s">
        <v>2641</v>
      </c>
      <c r="B1250" s="1" t="s">
        <v>2690</v>
      </c>
      <c r="C1250" s="1" t="s">
        <v>3084</v>
      </c>
      <c r="D1250" s="1" t="str">
        <f t="shared" si="57"/>
        <v>8465</v>
      </c>
      <c r="E1250" s="1" t="str">
        <f>"016419857"</f>
        <v>016419857</v>
      </c>
      <c r="F1250" s="1" t="s">
        <v>856</v>
      </c>
      <c r="G1250" s="1" t="s">
        <v>15</v>
      </c>
      <c r="H1250" s="1" t="str">
        <f>"2"</f>
        <v>2</v>
      </c>
      <c r="I1250" s="3">
        <v>76.69</v>
      </c>
      <c r="J1250" s="4">
        <v>46073</v>
      </c>
      <c r="K1250" s="1" t="s">
        <v>3085</v>
      </c>
    </row>
    <row r="1251" spans="1:11" x14ac:dyDescent="0.35">
      <c r="A1251" s="1" t="s">
        <v>2641</v>
      </c>
      <c r="B1251" s="1" t="s">
        <v>2690</v>
      </c>
      <c r="C1251" s="1" t="s">
        <v>3086</v>
      </c>
      <c r="D1251" s="1" t="str">
        <f t="shared" si="57"/>
        <v>8465</v>
      </c>
      <c r="E1251" s="1" t="str">
        <f>"016419405"</f>
        <v>016419405</v>
      </c>
      <c r="F1251" s="1" t="s">
        <v>1968</v>
      </c>
      <c r="G1251" s="1" t="s">
        <v>15</v>
      </c>
      <c r="H1251" s="1" t="str">
        <f>"2"</f>
        <v>2</v>
      </c>
      <c r="I1251" s="3">
        <v>26.22</v>
      </c>
      <c r="J1251" s="4">
        <v>46073</v>
      </c>
      <c r="K1251" s="1" t="s">
        <v>3065</v>
      </c>
    </row>
    <row r="1252" spans="1:11" x14ac:dyDescent="0.35">
      <c r="A1252" s="1" t="s">
        <v>2641</v>
      </c>
      <c r="B1252" s="1" t="s">
        <v>2690</v>
      </c>
      <c r="C1252" s="1" t="s">
        <v>3098</v>
      </c>
      <c r="D1252" s="1" t="str">
        <f t="shared" si="57"/>
        <v>8465</v>
      </c>
      <c r="E1252" s="1" t="str">
        <f>"012535335"</f>
        <v>012535335</v>
      </c>
      <c r="F1252" s="1" t="s">
        <v>856</v>
      </c>
      <c r="G1252" s="1" t="s">
        <v>15</v>
      </c>
      <c r="H1252" s="1" t="str">
        <f>"5"</f>
        <v>5</v>
      </c>
      <c r="I1252" s="3">
        <v>39.909999999999997</v>
      </c>
      <c r="J1252" s="4">
        <v>46073</v>
      </c>
      <c r="K1252" s="1" t="s">
        <v>3099</v>
      </c>
    </row>
    <row r="1253" spans="1:11" x14ac:dyDescent="0.35">
      <c r="A1253" s="1" t="s">
        <v>2641</v>
      </c>
      <c r="B1253" s="1" t="s">
        <v>2690</v>
      </c>
      <c r="C1253" s="1" t="s">
        <v>3100</v>
      </c>
      <c r="D1253" s="1" t="str">
        <f t="shared" si="57"/>
        <v>8465</v>
      </c>
      <c r="E1253" s="1" t="str">
        <f>"016637518"</f>
        <v>016637518</v>
      </c>
      <c r="F1253" s="1" t="s">
        <v>3101</v>
      </c>
      <c r="G1253" s="1" t="s">
        <v>47</v>
      </c>
      <c r="H1253" s="1" t="str">
        <f>"60"</f>
        <v>60</v>
      </c>
      <c r="I1253" s="3">
        <v>18.29</v>
      </c>
      <c r="J1253" s="4">
        <v>46073</v>
      </c>
      <c r="K1253" s="1" t="s">
        <v>3102</v>
      </c>
    </row>
    <row r="1254" spans="1:11" x14ac:dyDescent="0.35">
      <c r="A1254" s="1" t="s">
        <v>2641</v>
      </c>
      <c r="B1254" s="1" t="s">
        <v>3124</v>
      </c>
      <c r="C1254" s="1" t="s">
        <v>3257</v>
      </c>
      <c r="D1254" s="1" t="str">
        <f t="shared" si="57"/>
        <v>8465</v>
      </c>
      <c r="E1254" s="1" t="str">
        <f>"015472694"</f>
        <v>015472694</v>
      </c>
      <c r="F1254" s="1" t="s">
        <v>1961</v>
      </c>
      <c r="G1254" s="1" t="s">
        <v>15</v>
      </c>
      <c r="H1254" s="1" t="str">
        <f>"10"</f>
        <v>10</v>
      </c>
      <c r="I1254" s="3">
        <v>96.33</v>
      </c>
      <c r="J1254" s="4">
        <v>46082</v>
      </c>
      <c r="K1254" s="1" t="s">
        <v>3258</v>
      </c>
    </row>
    <row r="1255" spans="1:11" x14ac:dyDescent="0.35">
      <c r="A1255" s="1" t="s">
        <v>2641</v>
      </c>
      <c r="B1255" s="1" t="s">
        <v>3124</v>
      </c>
      <c r="C1255" s="1" t="s">
        <v>3259</v>
      </c>
      <c r="D1255" s="1" t="str">
        <f t="shared" si="57"/>
        <v>8465</v>
      </c>
      <c r="E1255" s="1" t="str">
        <f>"015472694"</f>
        <v>015472694</v>
      </c>
      <c r="F1255" s="1" t="s">
        <v>1961</v>
      </c>
      <c r="G1255" s="1" t="s">
        <v>15</v>
      </c>
      <c r="H1255" s="1" t="str">
        <f>"10"</f>
        <v>10</v>
      </c>
      <c r="I1255" s="3">
        <v>96.33</v>
      </c>
      <c r="J1255" s="4">
        <v>46082</v>
      </c>
      <c r="K1255" s="1" t="s">
        <v>3258</v>
      </c>
    </row>
    <row r="1256" spans="1:11" x14ac:dyDescent="0.35">
      <c r="A1256" s="1" t="s">
        <v>2641</v>
      </c>
      <c r="B1256" s="1" t="s">
        <v>3117</v>
      </c>
      <c r="C1256" s="1" t="s">
        <v>3122</v>
      </c>
      <c r="D1256" s="1" t="str">
        <f>"5855"</f>
        <v>5855</v>
      </c>
      <c r="E1256" s="1" t="str">
        <f>"015388121"</f>
        <v>015388121</v>
      </c>
      <c r="F1256" s="1" t="s">
        <v>1188</v>
      </c>
      <c r="G1256" s="1" t="s">
        <v>15</v>
      </c>
      <c r="H1256" s="1" t="str">
        <f>"1"</f>
        <v>1</v>
      </c>
      <c r="I1256" s="3">
        <v>7939.42</v>
      </c>
      <c r="J1256" s="4">
        <v>46084</v>
      </c>
      <c r="K1256" s="1" t="s">
        <v>3123</v>
      </c>
    </row>
    <row r="1257" spans="1:11" x14ac:dyDescent="0.35">
      <c r="A1257" s="1" t="s">
        <v>2641</v>
      </c>
      <c r="B1257" s="1" t="s">
        <v>3117</v>
      </c>
      <c r="C1257" s="1" t="s">
        <v>3120</v>
      </c>
      <c r="D1257" s="1" t="str">
        <f>"5855"</f>
        <v>5855</v>
      </c>
      <c r="E1257" s="1" t="str">
        <f>"015345931"</f>
        <v>015345931</v>
      </c>
      <c r="F1257" s="1" t="s">
        <v>742</v>
      </c>
      <c r="G1257" s="1" t="s">
        <v>15</v>
      </c>
      <c r="H1257" s="1" t="str">
        <f>"25"</f>
        <v>25</v>
      </c>
      <c r="I1257" s="3" t="str">
        <f>"970"</f>
        <v>970</v>
      </c>
      <c r="J1257" s="4">
        <v>46086</v>
      </c>
      <c r="K1257" s="1" t="s">
        <v>3121</v>
      </c>
    </row>
    <row r="1258" spans="1:11" x14ac:dyDescent="0.35">
      <c r="A1258" s="1" t="s">
        <v>2641</v>
      </c>
      <c r="B1258" s="1" t="s">
        <v>2656</v>
      </c>
      <c r="C1258" s="1" t="s">
        <v>2660</v>
      </c>
      <c r="D1258" s="1" t="str">
        <f>"7010"</f>
        <v>7010</v>
      </c>
      <c r="E1258" s="1" t="s">
        <v>1203</v>
      </c>
      <c r="F1258" s="1" t="s">
        <v>1204</v>
      </c>
      <c r="G1258" s="1" t="s">
        <v>15</v>
      </c>
      <c r="H1258" s="1" t="str">
        <f>"5"</f>
        <v>5</v>
      </c>
      <c r="I1258" s="3" t="str">
        <f>"1384"</f>
        <v>1384</v>
      </c>
      <c r="J1258" s="4">
        <v>46087</v>
      </c>
      <c r="K1258" s="1" t="s">
        <v>2661</v>
      </c>
    </row>
    <row r="1259" spans="1:11" x14ac:dyDescent="0.35">
      <c r="A1259" s="1" t="s">
        <v>2641</v>
      </c>
      <c r="B1259" s="1" t="s">
        <v>2656</v>
      </c>
      <c r="C1259" s="1" t="s">
        <v>2662</v>
      </c>
      <c r="D1259" s="1" t="str">
        <f t="shared" ref="D1259:D1268" si="58">"8415"</f>
        <v>8415</v>
      </c>
      <c r="E1259" s="1" t="str">
        <f>"015467444"</f>
        <v>015467444</v>
      </c>
      <c r="F1259" s="1" t="s">
        <v>761</v>
      </c>
      <c r="G1259" s="1" t="s">
        <v>15</v>
      </c>
      <c r="H1259" s="1" t="str">
        <f>"1"</f>
        <v>1</v>
      </c>
      <c r="I1259" s="3">
        <v>65.03</v>
      </c>
      <c r="J1259" s="4">
        <v>46087</v>
      </c>
      <c r="K1259" s="1" t="s">
        <v>2663</v>
      </c>
    </row>
    <row r="1260" spans="1:11" x14ac:dyDescent="0.35">
      <c r="A1260" s="1" t="s">
        <v>2641</v>
      </c>
      <c r="B1260" s="1" t="s">
        <v>2656</v>
      </c>
      <c r="C1260" s="1" t="s">
        <v>2664</v>
      </c>
      <c r="D1260" s="1" t="str">
        <f t="shared" si="58"/>
        <v>8415</v>
      </c>
      <c r="E1260" s="1" t="str">
        <f>"015386300"</f>
        <v>015386300</v>
      </c>
      <c r="F1260" s="1" t="s">
        <v>2097</v>
      </c>
      <c r="G1260" s="1" t="s">
        <v>15</v>
      </c>
      <c r="H1260" s="1" t="str">
        <f>"1"</f>
        <v>1</v>
      </c>
      <c r="I1260" s="3">
        <v>137.97999999999999</v>
      </c>
      <c r="J1260" s="4">
        <v>46087</v>
      </c>
      <c r="K1260" s="1" t="s">
        <v>2663</v>
      </c>
    </row>
    <row r="1261" spans="1:11" x14ac:dyDescent="0.35">
      <c r="A1261" s="1" t="s">
        <v>2641</v>
      </c>
      <c r="B1261" s="1" t="s">
        <v>2656</v>
      </c>
      <c r="C1261" s="1" t="s">
        <v>2665</v>
      </c>
      <c r="D1261" s="1" t="str">
        <f t="shared" si="58"/>
        <v>8415</v>
      </c>
      <c r="E1261" s="1" t="str">
        <f>"015386278"</f>
        <v>015386278</v>
      </c>
      <c r="F1261" s="1" t="s">
        <v>2097</v>
      </c>
      <c r="G1261" s="1" t="s">
        <v>15</v>
      </c>
      <c r="H1261" s="1" t="str">
        <f>"1"</f>
        <v>1</v>
      </c>
      <c r="I1261" s="3">
        <v>137.97999999999999</v>
      </c>
      <c r="J1261" s="4">
        <v>46087</v>
      </c>
      <c r="K1261" s="1" t="s">
        <v>2666</v>
      </c>
    </row>
    <row r="1262" spans="1:11" x14ac:dyDescent="0.35">
      <c r="A1262" s="1" t="s">
        <v>2641</v>
      </c>
      <c r="B1262" s="1" t="s">
        <v>2656</v>
      </c>
      <c r="C1262" s="1" t="s">
        <v>2667</v>
      </c>
      <c r="D1262" s="1" t="str">
        <f t="shared" si="58"/>
        <v>8415</v>
      </c>
      <c r="E1262" s="1" t="str">
        <f>"015801348"</f>
        <v>015801348</v>
      </c>
      <c r="F1262" s="1" t="s">
        <v>761</v>
      </c>
      <c r="G1262" s="1" t="s">
        <v>15</v>
      </c>
      <c r="H1262" s="1" t="str">
        <f>"1"</f>
        <v>1</v>
      </c>
      <c r="I1262" s="3">
        <v>80.94</v>
      </c>
      <c r="J1262" s="4">
        <v>46087</v>
      </c>
      <c r="K1262" s="1" t="s">
        <v>2663</v>
      </c>
    </row>
    <row r="1263" spans="1:11" x14ac:dyDescent="0.35">
      <c r="A1263" s="1" t="s">
        <v>2641</v>
      </c>
      <c r="B1263" s="1" t="s">
        <v>2656</v>
      </c>
      <c r="C1263" s="1" t="s">
        <v>2668</v>
      </c>
      <c r="D1263" s="1" t="str">
        <f t="shared" si="58"/>
        <v>8415</v>
      </c>
      <c r="E1263" s="1" t="str">
        <f>"015466722"</f>
        <v>015466722</v>
      </c>
      <c r="F1263" s="1" t="s">
        <v>761</v>
      </c>
      <c r="G1263" s="1" t="s">
        <v>15</v>
      </c>
      <c r="H1263" s="1" t="str">
        <f>"1"</f>
        <v>1</v>
      </c>
      <c r="I1263" s="3">
        <v>63.88</v>
      </c>
      <c r="J1263" s="4">
        <v>46087</v>
      </c>
      <c r="K1263" s="1" t="s">
        <v>2663</v>
      </c>
    </row>
    <row r="1264" spans="1:11" x14ac:dyDescent="0.35">
      <c r="A1264" s="1" t="s">
        <v>2641</v>
      </c>
      <c r="B1264" s="1" t="s">
        <v>2656</v>
      </c>
      <c r="C1264" s="1" t="s">
        <v>2669</v>
      </c>
      <c r="D1264" s="1" t="str">
        <f t="shared" si="58"/>
        <v>8415</v>
      </c>
      <c r="E1264" s="1" t="str">
        <f>"015386289"</f>
        <v>015386289</v>
      </c>
      <c r="F1264" s="1" t="s">
        <v>2097</v>
      </c>
      <c r="G1264" s="1" t="s">
        <v>15</v>
      </c>
      <c r="H1264" s="1" t="str">
        <f>"2"</f>
        <v>2</v>
      </c>
      <c r="I1264" s="3">
        <v>137.97999999999999</v>
      </c>
      <c r="J1264" s="4">
        <v>46087</v>
      </c>
      <c r="K1264" s="1" t="s">
        <v>2670</v>
      </c>
    </row>
    <row r="1265" spans="1:11" x14ac:dyDescent="0.35">
      <c r="A1265" s="1" t="s">
        <v>2641</v>
      </c>
      <c r="B1265" s="1" t="s">
        <v>2656</v>
      </c>
      <c r="C1265" s="1" t="s">
        <v>2671</v>
      </c>
      <c r="D1265" s="1" t="str">
        <f t="shared" si="58"/>
        <v>8415</v>
      </c>
      <c r="E1265" s="1" t="str">
        <f>"015801341"</f>
        <v>015801341</v>
      </c>
      <c r="F1265" s="1" t="s">
        <v>761</v>
      </c>
      <c r="G1265" s="1" t="s">
        <v>15</v>
      </c>
      <c r="H1265" s="1" t="str">
        <f>"2"</f>
        <v>2</v>
      </c>
      <c r="I1265" s="3">
        <v>80.94</v>
      </c>
      <c r="J1265" s="4">
        <v>46087</v>
      </c>
      <c r="K1265" s="1" t="s">
        <v>2670</v>
      </c>
    </row>
    <row r="1266" spans="1:11" x14ac:dyDescent="0.35">
      <c r="A1266" s="1" t="s">
        <v>2641</v>
      </c>
      <c r="B1266" s="1" t="s">
        <v>2656</v>
      </c>
      <c r="C1266" s="1" t="s">
        <v>2672</v>
      </c>
      <c r="D1266" s="1" t="str">
        <f t="shared" si="58"/>
        <v>8415</v>
      </c>
      <c r="E1266" s="1" t="str">
        <f>"015466721"</f>
        <v>015466721</v>
      </c>
      <c r="F1266" s="1" t="s">
        <v>761</v>
      </c>
      <c r="G1266" s="1" t="s">
        <v>15</v>
      </c>
      <c r="H1266" s="1" t="str">
        <f>"1"</f>
        <v>1</v>
      </c>
      <c r="I1266" s="3">
        <v>63.88</v>
      </c>
      <c r="J1266" s="4">
        <v>46087</v>
      </c>
      <c r="K1266" s="1" t="s">
        <v>2663</v>
      </c>
    </row>
    <row r="1267" spans="1:11" x14ac:dyDescent="0.35">
      <c r="A1267" s="1" t="s">
        <v>2641</v>
      </c>
      <c r="B1267" s="1" t="s">
        <v>2656</v>
      </c>
      <c r="C1267" s="1" t="s">
        <v>2673</v>
      </c>
      <c r="D1267" s="1" t="str">
        <f t="shared" si="58"/>
        <v>8415</v>
      </c>
      <c r="E1267" s="1" t="str">
        <f>"015386739"</f>
        <v>015386739</v>
      </c>
      <c r="F1267" s="1" t="s">
        <v>761</v>
      </c>
      <c r="G1267" s="1" t="s">
        <v>15</v>
      </c>
      <c r="H1267" s="1" t="str">
        <f>"1"</f>
        <v>1</v>
      </c>
      <c r="I1267" s="3">
        <v>70.05</v>
      </c>
      <c r="J1267" s="4">
        <v>46087</v>
      </c>
      <c r="K1267" s="1" t="s">
        <v>2663</v>
      </c>
    </row>
    <row r="1268" spans="1:11" x14ac:dyDescent="0.35">
      <c r="A1268" s="1" t="s">
        <v>2641</v>
      </c>
      <c r="B1268" s="1" t="s">
        <v>2656</v>
      </c>
      <c r="C1268" s="1" t="s">
        <v>2674</v>
      </c>
      <c r="D1268" s="1" t="str">
        <f t="shared" si="58"/>
        <v>8415</v>
      </c>
      <c r="E1268" s="1" t="str">
        <f>"015458724"</f>
        <v>015458724</v>
      </c>
      <c r="F1268" s="1" t="s">
        <v>2097</v>
      </c>
      <c r="G1268" s="1" t="s">
        <v>15</v>
      </c>
      <c r="H1268" s="1" t="str">
        <f>"1"</f>
        <v>1</v>
      </c>
      <c r="I1268" s="3">
        <v>137.97999999999999</v>
      </c>
      <c r="J1268" s="4">
        <v>46087</v>
      </c>
      <c r="K1268" s="1" t="s">
        <v>2663</v>
      </c>
    </row>
    <row r="1269" spans="1:11" x14ac:dyDescent="0.35">
      <c r="A1269" s="1" t="s">
        <v>2641</v>
      </c>
      <c r="B1269" s="1" t="s">
        <v>2656</v>
      </c>
      <c r="C1269" s="1" t="s">
        <v>2675</v>
      </c>
      <c r="D1269" s="1" t="str">
        <f>"8465"</f>
        <v>8465</v>
      </c>
      <c r="E1269" s="1" t="str">
        <f>"015801560"</f>
        <v>015801560</v>
      </c>
      <c r="F1269" s="1" t="s">
        <v>2628</v>
      </c>
      <c r="G1269" s="1" t="s">
        <v>15</v>
      </c>
      <c r="H1269" s="1" t="str">
        <f>"2"</f>
        <v>2</v>
      </c>
      <c r="I1269" s="3">
        <v>77.33</v>
      </c>
      <c r="J1269" s="4">
        <v>46087</v>
      </c>
      <c r="K1269" s="1" t="s">
        <v>2676</v>
      </c>
    </row>
    <row r="1270" spans="1:11" x14ac:dyDescent="0.35">
      <c r="A1270" s="1" t="s">
        <v>2641</v>
      </c>
      <c r="B1270" s="1" t="s">
        <v>2656</v>
      </c>
      <c r="C1270" s="1" t="s">
        <v>2677</v>
      </c>
      <c r="D1270" s="1" t="str">
        <f>"8465"</f>
        <v>8465</v>
      </c>
      <c r="E1270" s="1" t="str">
        <f>"015851512"</f>
        <v>015851512</v>
      </c>
      <c r="F1270" s="1" t="s">
        <v>1645</v>
      </c>
      <c r="G1270" s="1" t="s">
        <v>257</v>
      </c>
      <c r="H1270" s="1" t="str">
        <f t="shared" ref="H1270:H1279" si="59">"1"</f>
        <v>1</v>
      </c>
      <c r="I1270" s="3">
        <v>115.92</v>
      </c>
      <c r="J1270" s="4">
        <v>46087</v>
      </c>
      <c r="K1270" s="1" t="s">
        <v>2678</v>
      </c>
    </row>
    <row r="1271" spans="1:11" x14ac:dyDescent="0.35">
      <c r="A1271" s="1" t="s">
        <v>2641</v>
      </c>
      <c r="B1271" s="1" t="s">
        <v>3117</v>
      </c>
      <c r="C1271" s="1" t="s">
        <v>3118</v>
      </c>
      <c r="D1271" s="1" t="str">
        <f>"2360"</f>
        <v>2360</v>
      </c>
      <c r="E1271" s="1" t="str">
        <f>"015900772"</f>
        <v>015900772</v>
      </c>
      <c r="F1271" s="1" t="s">
        <v>1344</v>
      </c>
      <c r="G1271" s="1" t="s">
        <v>15</v>
      </c>
      <c r="H1271" s="1" t="str">
        <f t="shared" si="59"/>
        <v>1</v>
      </c>
      <c r="I1271" s="3" t="str">
        <f>"232404"</f>
        <v>232404</v>
      </c>
      <c r="J1271" s="4">
        <v>46087</v>
      </c>
      <c r="K1271" s="1" t="s">
        <v>3119</v>
      </c>
    </row>
    <row r="1272" spans="1:11" x14ac:dyDescent="0.35">
      <c r="A1272" s="1" t="s">
        <v>2641</v>
      </c>
      <c r="B1272" s="1" t="s">
        <v>3124</v>
      </c>
      <c r="C1272" s="1" t="s">
        <v>3144</v>
      </c>
      <c r="D1272" s="1" t="str">
        <f t="shared" ref="D1272:D1296" si="60">"8415"</f>
        <v>8415</v>
      </c>
      <c r="E1272" s="1" t="str">
        <f>"015801355"</f>
        <v>015801355</v>
      </c>
      <c r="F1272" s="1" t="s">
        <v>761</v>
      </c>
      <c r="G1272" s="1" t="s">
        <v>15</v>
      </c>
      <c r="H1272" s="1" t="str">
        <f t="shared" si="59"/>
        <v>1</v>
      </c>
      <c r="I1272" s="3">
        <v>80.94</v>
      </c>
      <c r="J1272" s="4">
        <v>46087</v>
      </c>
      <c r="K1272" s="1" t="s">
        <v>3145</v>
      </c>
    </row>
    <row r="1273" spans="1:11" x14ac:dyDescent="0.35">
      <c r="A1273" s="1" t="s">
        <v>2641</v>
      </c>
      <c r="B1273" s="1" t="s">
        <v>3124</v>
      </c>
      <c r="C1273" s="1" t="s">
        <v>3146</v>
      </c>
      <c r="D1273" s="1" t="str">
        <f t="shared" si="60"/>
        <v>8415</v>
      </c>
      <c r="E1273" s="1" t="str">
        <f>"015802502"</f>
        <v>015802502</v>
      </c>
      <c r="F1273" s="1" t="s">
        <v>22</v>
      </c>
      <c r="G1273" s="1" t="s">
        <v>47</v>
      </c>
      <c r="H1273" s="1" t="str">
        <f t="shared" si="59"/>
        <v>1</v>
      </c>
      <c r="I1273" s="3">
        <v>120.1</v>
      </c>
      <c r="J1273" s="4">
        <v>46087</v>
      </c>
      <c r="K1273" s="1" t="s">
        <v>3145</v>
      </c>
    </row>
    <row r="1274" spans="1:11" x14ac:dyDescent="0.35">
      <c r="A1274" s="1" t="s">
        <v>2641</v>
      </c>
      <c r="B1274" s="1" t="s">
        <v>3124</v>
      </c>
      <c r="C1274" s="1" t="s">
        <v>3147</v>
      </c>
      <c r="D1274" s="1" t="str">
        <f t="shared" si="60"/>
        <v>8415</v>
      </c>
      <c r="E1274" s="1" t="str">
        <f>"015802984"</f>
        <v>015802984</v>
      </c>
      <c r="F1274" s="1" t="s">
        <v>758</v>
      </c>
      <c r="G1274" s="1" t="s">
        <v>47</v>
      </c>
      <c r="H1274" s="1" t="str">
        <f t="shared" si="59"/>
        <v>1</v>
      </c>
      <c r="I1274" s="3">
        <v>113.3</v>
      </c>
      <c r="J1274" s="4">
        <v>46087</v>
      </c>
      <c r="K1274" s="1" t="s">
        <v>3145</v>
      </c>
    </row>
    <row r="1275" spans="1:11" x14ac:dyDescent="0.35">
      <c r="A1275" s="1" t="s">
        <v>2641</v>
      </c>
      <c r="B1275" s="1" t="s">
        <v>3124</v>
      </c>
      <c r="C1275" s="1" t="s">
        <v>3148</v>
      </c>
      <c r="D1275" s="1" t="str">
        <f t="shared" si="60"/>
        <v>8415</v>
      </c>
      <c r="E1275" s="1" t="str">
        <f>"015802854"</f>
        <v>015802854</v>
      </c>
      <c r="F1275" s="1" t="s">
        <v>18</v>
      </c>
      <c r="G1275" s="1" t="s">
        <v>15</v>
      </c>
      <c r="H1275" s="1" t="str">
        <f t="shared" si="59"/>
        <v>1</v>
      </c>
      <c r="I1275" s="3">
        <v>146.83000000000001</v>
      </c>
      <c r="J1275" s="4">
        <v>46087</v>
      </c>
      <c r="K1275" s="1" t="s">
        <v>3145</v>
      </c>
    </row>
    <row r="1276" spans="1:11" x14ac:dyDescent="0.35">
      <c r="A1276" s="1" t="s">
        <v>2641</v>
      </c>
      <c r="B1276" s="1" t="s">
        <v>3124</v>
      </c>
      <c r="C1276" s="1" t="s">
        <v>3149</v>
      </c>
      <c r="D1276" s="1" t="str">
        <f t="shared" si="60"/>
        <v>8415</v>
      </c>
      <c r="E1276" s="1" t="str">
        <f>"015802468"</f>
        <v>015802468</v>
      </c>
      <c r="F1276" s="1" t="s">
        <v>22</v>
      </c>
      <c r="G1276" s="1" t="s">
        <v>47</v>
      </c>
      <c r="H1276" s="1" t="str">
        <f t="shared" si="59"/>
        <v>1</v>
      </c>
      <c r="I1276" s="3">
        <v>120.1</v>
      </c>
      <c r="J1276" s="4">
        <v>46087</v>
      </c>
      <c r="K1276" s="1" t="s">
        <v>3145</v>
      </c>
    </row>
    <row r="1277" spans="1:11" x14ac:dyDescent="0.35">
      <c r="A1277" s="1" t="s">
        <v>2641</v>
      </c>
      <c r="B1277" s="1" t="s">
        <v>3124</v>
      </c>
      <c r="C1277" s="1" t="s">
        <v>3150</v>
      </c>
      <c r="D1277" s="1" t="str">
        <f t="shared" si="60"/>
        <v>8415</v>
      </c>
      <c r="E1277" s="1" t="str">
        <f>"015802468"</f>
        <v>015802468</v>
      </c>
      <c r="F1277" s="1" t="s">
        <v>22</v>
      </c>
      <c r="G1277" s="1" t="s">
        <v>47</v>
      </c>
      <c r="H1277" s="1" t="str">
        <f t="shared" si="59"/>
        <v>1</v>
      </c>
      <c r="I1277" s="3">
        <v>120.1</v>
      </c>
      <c r="J1277" s="4">
        <v>46087</v>
      </c>
      <c r="K1277" s="1" t="s">
        <v>3145</v>
      </c>
    </row>
    <row r="1278" spans="1:11" x14ac:dyDescent="0.35">
      <c r="A1278" s="1" t="s">
        <v>2641</v>
      </c>
      <c r="B1278" s="1" t="s">
        <v>3124</v>
      </c>
      <c r="C1278" s="1" t="s">
        <v>3151</v>
      </c>
      <c r="D1278" s="1" t="str">
        <f t="shared" si="60"/>
        <v>8415</v>
      </c>
      <c r="E1278" s="1" t="str">
        <f>"015802493"</f>
        <v>015802493</v>
      </c>
      <c r="F1278" s="1" t="s">
        <v>22</v>
      </c>
      <c r="G1278" s="1" t="s">
        <v>47</v>
      </c>
      <c r="H1278" s="1" t="str">
        <f t="shared" si="59"/>
        <v>1</v>
      </c>
      <c r="I1278" s="3">
        <v>123.49</v>
      </c>
      <c r="J1278" s="4">
        <v>46087</v>
      </c>
      <c r="K1278" s="1" t="s">
        <v>3145</v>
      </c>
    </row>
    <row r="1279" spans="1:11" x14ac:dyDescent="0.35">
      <c r="A1279" s="1" t="s">
        <v>2641</v>
      </c>
      <c r="B1279" s="1" t="s">
        <v>3124</v>
      </c>
      <c r="C1279" s="1" t="s">
        <v>3152</v>
      </c>
      <c r="D1279" s="1" t="str">
        <f t="shared" si="60"/>
        <v>8415</v>
      </c>
      <c r="E1279" s="1" t="str">
        <f>"015802778"</f>
        <v>015802778</v>
      </c>
      <c r="F1279" s="1" t="s">
        <v>18</v>
      </c>
      <c r="G1279" s="1" t="s">
        <v>15</v>
      </c>
      <c r="H1279" s="1" t="str">
        <f t="shared" si="59"/>
        <v>1</v>
      </c>
      <c r="I1279" s="3">
        <v>150.29</v>
      </c>
      <c r="J1279" s="4">
        <v>46087</v>
      </c>
      <c r="K1279" s="1" t="s">
        <v>3145</v>
      </c>
    </row>
    <row r="1280" spans="1:11" x14ac:dyDescent="0.35">
      <c r="A1280" s="1" t="s">
        <v>2641</v>
      </c>
      <c r="B1280" s="1" t="s">
        <v>3124</v>
      </c>
      <c r="C1280" s="1" t="s">
        <v>3153</v>
      </c>
      <c r="D1280" s="1" t="str">
        <f t="shared" si="60"/>
        <v>8415</v>
      </c>
      <c r="E1280" s="1" t="str">
        <f>"015802782"</f>
        <v>015802782</v>
      </c>
      <c r="F1280" s="1" t="s">
        <v>18</v>
      </c>
      <c r="G1280" s="1" t="s">
        <v>15</v>
      </c>
      <c r="H1280" s="1" t="str">
        <f>"3"</f>
        <v>3</v>
      </c>
      <c r="I1280" s="3">
        <v>146.81</v>
      </c>
      <c r="J1280" s="4">
        <v>46087</v>
      </c>
      <c r="K1280" s="1" t="s">
        <v>3145</v>
      </c>
    </row>
    <row r="1281" spans="1:11" x14ac:dyDescent="0.35">
      <c r="A1281" s="1" t="s">
        <v>2641</v>
      </c>
      <c r="B1281" s="1" t="s">
        <v>3124</v>
      </c>
      <c r="C1281" s="1" t="s">
        <v>3154</v>
      </c>
      <c r="D1281" s="1" t="str">
        <f t="shared" si="60"/>
        <v>8415</v>
      </c>
      <c r="E1281" s="1" t="str">
        <f>"015802788"</f>
        <v>015802788</v>
      </c>
      <c r="F1281" s="1" t="s">
        <v>18</v>
      </c>
      <c r="G1281" s="1" t="s">
        <v>15</v>
      </c>
      <c r="H1281" s="1" t="str">
        <f>"3"</f>
        <v>3</v>
      </c>
      <c r="I1281" s="3">
        <v>146.81</v>
      </c>
      <c r="J1281" s="4">
        <v>46087</v>
      </c>
      <c r="K1281" s="1" t="s">
        <v>3145</v>
      </c>
    </row>
    <row r="1282" spans="1:11" x14ac:dyDescent="0.35">
      <c r="A1282" s="1" t="s">
        <v>2641</v>
      </c>
      <c r="B1282" s="1" t="s">
        <v>3124</v>
      </c>
      <c r="C1282" s="1" t="s">
        <v>3155</v>
      </c>
      <c r="D1282" s="1" t="str">
        <f t="shared" si="60"/>
        <v>8415</v>
      </c>
      <c r="E1282" s="1" t="str">
        <f>"015386289"</f>
        <v>015386289</v>
      </c>
      <c r="F1282" s="1" t="s">
        <v>2097</v>
      </c>
      <c r="G1282" s="1" t="s">
        <v>15</v>
      </c>
      <c r="H1282" s="1" t="str">
        <f>"10"</f>
        <v>10</v>
      </c>
      <c r="I1282" s="3">
        <v>137.97999999999999</v>
      </c>
      <c r="J1282" s="4">
        <v>46087</v>
      </c>
      <c r="K1282" s="1" t="s">
        <v>3145</v>
      </c>
    </row>
    <row r="1283" spans="1:11" x14ac:dyDescent="0.35">
      <c r="A1283" s="1" t="s">
        <v>2641</v>
      </c>
      <c r="B1283" s="1" t="s">
        <v>3124</v>
      </c>
      <c r="C1283" s="1" t="s">
        <v>3156</v>
      </c>
      <c r="D1283" s="1" t="str">
        <f t="shared" si="60"/>
        <v>8415</v>
      </c>
      <c r="E1283" s="1" t="s">
        <v>836</v>
      </c>
      <c r="F1283" s="1" t="s">
        <v>837</v>
      </c>
      <c r="G1283" s="1" t="s">
        <v>47</v>
      </c>
      <c r="H1283" s="1" t="str">
        <f>"40"</f>
        <v>40</v>
      </c>
      <c r="I1283" s="3" t="str">
        <f>"50"</f>
        <v>50</v>
      </c>
      <c r="J1283" s="4">
        <v>46087</v>
      </c>
      <c r="K1283" s="1" t="s">
        <v>3145</v>
      </c>
    </row>
    <row r="1284" spans="1:11" x14ac:dyDescent="0.35">
      <c r="A1284" s="1" t="s">
        <v>2641</v>
      </c>
      <c r="B1284" s="1" t="s">
        <v>3124</v>
      </c>
      <c r="C1284" s="1" t="s">
        <v>3157</v>
      </c>
      <c r="D1284" s="1" t="str">
        <f t="shared" si="60"/>
        <v>8415</v>
      </c>
      <c r="E1284" s="1" t="str">
        <f>"015802788"</f>
        <v>015802788</v>
      </c>
      <c r="F1284" s="1" t="s">
        <v>18</v>
      </c>
      <c r="G1284" s="1" t="s">
        <v>15</v>
      </c>
      <c r="H1284" s="1" t="str">
        <f>"2"</f>
        <v>2</v>
      </c>
      <c r="I1284" s="3">
        <v>146.81</v>
      </c>
      <c r="J1284" s="4">
        <v>46087</v>
      </c>
      <c r="K1284" s="1" t="s">
        <v>3145</v>
      </c>
    </row>
    <row r="1285" spans="1:11" x14ac:dyDescent="0.35">
      <c r="A1285" s="1" t="s">
        <v>2641</v>
      </c>
      <c r="B1285" s="1" t="s">
        <v>3124</v>
      </c>
      <c r="C1285" s="1" t="s">
        <v>3158</v>
      </c>
      <c r="D1285" s="1" t="str">
        <f t="shared" si="60"/>
        <v>8415</v>
      </c>
      <c r="E1285" s="1" t="str">
        <f>"015802782"</f>
        <v>015802782</v>
      </c>
      <c r="F1285" s="1" t="s">
        <v>18</v>
      </c>
      <c r="G1285" s="1" t="s">
        <v>15</v>
      </c>
      <c r="H1285" s="1" t="str">
        <f>"2"</f>
        <v>2</v>
      </c>
      <c r="I1285" s="3">
        <v>146.81</v>
      </c>
      <c r="J1285" s="4">
        <v>46087</v>
      </c>
      <c r="K1285" s="1" t="s">
        <v>3145</v>
      </c>
    </row>
    <row r="1286" spans="1:11" x14ac:dyDescent="0.35">
      <c r="A1286" s="1" t="s">
        <v>2641</v>
      </c>
      <c r="B1286" s="1" t="s">
        <v>3124</v>
      </c>
      <c r="C1286" s="1" t="s">
        <v>3159</v>
      </c>
      <c r="D1286" s="1" t="str">
        <f t="shared" si="60"/>
        <v>8415</v>
      </c>
      <c r="E1286" s="1" t="str">
        <f>"015802502"</f>
        <v>015802502</v>
      </c>
      <c r="F1286" s="1" t="s">
        <v>22</v>
      </c>
      <c r="G1286" s="1" t="s">
        <v>47</v>
      </c>
      <c r="H1286" s="1" t="str">
        <f>"1"</f>
        <v>1</v>
      </c>
      <c r="I1286" s="3">
        <v>120.1</v>
      </c>
      <c r="J1286" s="4">
        <v>46087</v>
      </c>
      <c r="K1286" s="1" t="s">
        <v>3145</v>
      </c>
    </row>
    <row r="1287" spans="1:11" x14ac:dyDescent="0.35">
      <c r="A1287" s="1" t="s">
        <v>2641</v>
      </c>
      <c r="B1287" s="1" t="s">
        <v>3124</v>
      </c>
      <c r="C1287" s="1" t="s">
        <v>3225</v>
      </c>
      <c r="D1287" s="1" t="str">
        <f t="shared" si="60"/>
        <v>8415</v>
      </c>
      <c r="E1287" s="1" t="str">
        <f>"015802984"</f>
        <v>015802984</v>
      </c>
      <c r="F1287" s="1" t="s">
        <v>758</v>
      </c>
      <c r="G1287" s="1" t="s">
        <v>47</v>
      </c>
      <c r="H1287" s="1" t="str">
        <f>"3"</f>
        <v>3</v>
      </c>
      <c r="I1287" s="3">
        <v>113.3</v>
      </c>
      <c r="J1287" s="4">
        <v>46087</v>
      </c>
      <c r="K1287" s="1" t="s">
        <v>3145</v>
      </c>
    </row>
    <row r="1288" spans="1:11" x14ac:dyDescent="0.35">
      <c r="A1288" s="1" t="s">
        <v>2641</v>
      </c>
      <c r="B1288" s="1" t="s">
        <v>3124</v>
      </c>
      <c r="C1288" s="1" t="s">
        <v>3226</v>
      </c>
      <c r="D1288" s="1" t="str">
        <f t="shared" si="60"/>
        <v>8415</v>
      </c>
      <c r="E1288" s="1" t="str">
        <f>"015802984"</f>
        <v>015802984</v>
      </c>
      <c r="F1288" s="1" t="s">
        <v>758</v>
      </c>
      <c r="G1288" s="1" t="s">
        <v>47</v>
      </c>
      <c r="H1288" s="1" t="str">
        <f t="shared" ref="H1288:H1294" si="61">"1"</f>
        <v>1</v>
      </c>
      <c r="I1288" s="3">
        <v>113.3</v>
      </c>
      <c r="J1288" s="4">
        <v>46087</v>
      </c>
      <c r="K1288" s="1" t="s">
        <v>3145</v>
      </c>
    </row>
    <row r="1289" spans="1:11" x14ac:dyDescent="0.35">
      <c r="A1289" s="1" t="s">
        <v>2641</v>
      </c>
      <c r="B1289" s="1" t="s">
        <v>3124</v>
      </c>
      <c r="C1289" s="1" t="s">
        <v>3227</v>
      </c>
      <c r="D1289" s="1" t="str">
        <f t="shared" si="60"/>
        <v>8415</v>
      </c>
      <c r="E1289" s="1" t="str">
        <f>"015802782"</f>
        <v>015802782</v>
      </c>
      <c r="F1289" s="1" t="s">
        <v>18</v>
      </c>
      <c r="G1289" s="1" t="s">
        <v>15</v>
      </c>
      <c r="H1289" s="1" t="str">
        <f t="shared" si="61"/>
        <v>1</v>
      </c>
      <c r="I1289" s="3">
        <v>146.81</v>
      </c>
      <c r="J1289" s="4">
        <v>46087</v>
      </c>
      <c r="K1289" s="1" t="s">
        <v>3218</v>
      </c>
    </row>
    <row r="1290" spans="1:11" x14ac:dyDescent="0.35">
      <c r="A1290" s="1" t="s">
        <v>2641</v>
      </c>
      <c r="B1290" s="1" t="s">
        <v>3124</v>
      </c>
      <c r="C1290" s="1" t="s">
        <v>3228</v>
      </c>
      <c r="D1290" s="1" t="str">
        <f t="shared" si="60"/>
        <v>8415</v>
      </c>
      <c r="E1290" s="1" t="str">
        <f>"015802468"</f>
        <v>015802468</v>
      </c>
      <c r="F1290" s="1" t="s">
        <v>22</v>
      </c>
      <c r="G1290" s="1" t="s">
        <v>47</v>
      </c>
      <c r="H1290" s="1" t="str">
        <f t="shared" si="61"/>
        <v>1</v>
      </c>
      <c r="I1290" s="3">
        <v>120.1</v>
      </c>
      <c r="J1290" s="4">
        <v>46087</v>
      </c>
      <c r="K1290" s="1" t="s">
        <v>3145</v>
      </c>
    </row>
    <row r="1291" spans="1:11" x14ac:dyDescent="0.35">
      <c r="A1291" s="1" t="s">
        <v>2641</v>
      </c>
      <c r="B1291" s="1" t="s">
        <v>3124</v>
      </c>
      <c r="C1291" s="1" t="s">
        <v>3229</v>
      </c>
      <c r="D1291" s="1" t="str">
        <f t="shared" si="60"/>
        <v>8415</v>
      </c>
      <c r="E1291" s="1" t="str">
        <f>"016411821"</f>
        <v>016411821</v>
      </c>
      <c r="F1291" s="1" t="s">
        <v>822</v>
      </c>
      <c r="G1291" s="1" t="s">
        <v>15</v>
      </c>
      <c r="H1291" s="1" t="str">
        <f t="shared" si="61"/>
        <v>1</v>
      </c>
      <c r="I1291" s="3">
        <v>45.09</v>
      </c>
      <c r="J1291" s="4">
        <v>46087</v>
      </c>
      <c r="K1291" s="1" t="s">
        <v>3145</v>
      </c>
    </row>
    <row r="1292" spans="1:11" x14ac:dyDescent="0.35">
      <c r="A1292" s="1" t="s">
        <v>2641</v>
      </c>
      <c r="B1292" s="1" t="s">
        <v>3124</v>
      </c>
      <c r="C1292" s="1" t="s">
        <v>3230</v>
      </c>
      <c r="D1292" s="1" t="str">
        <f t="shared" si="60"/>
        <v>8415</v>
      </c>
      <c r="E1292" s="1" t="str">
        <f>"015802984"</f>
        <v>015802984</v>
      </c>
      <c r="F1292" s="1" t="s">
        <v>758</v>
      </c>
      <c r="G1292" s="1" t="s">
        <v>47</v>
      </c>
      <c r="H1292" s="1" t="str">
        <f t="shared" si="61"/>
        <v>1</v>
      </c>
      <c r="I1292" s="3">
        <v>113.3</v>
      </c>
      <c r="J1292" s="4">
        <v>46087</v>
      </c>
      <c r="K1292" s="1" t="s">
        <v>3145</v>
      </c>
    </row>
    <row r="1293" spans="1:11" x14ac:dyDescent="0.35">
      <c r="A1293" s="1" t="s">
        <v>2641</v>
      </c>
      <c r="B1293" s="1" t="s">
        <v>3124</v>
      </c>
      <c r="C1293" s="1" t="s">
        <v>3231</v>
      </c>
      <c r="D1293" s="1" t="str">
        <f t="shared" si="60"/>
        <v>8415</v>
      </c>
      <c r="E1293" s="1" t="str">
        <f>"015802854"</f>
        <v>015802854</v>
      </c>
      <c r="F1293" s="1" t="s">
        <v>18</v>
      </c>
      <c r="G1293" s="1" t="s">
        <v>15</v>
      </c>
      <c r="H1293" s="1" t="str">
        <f t="shared" si="61"/>
        <v>1</v>
      </c>
      <c r="I1293" s="3">
        <v>146.83000000000001</v>
      </c>
      <c r="J1293" s="4">
        <v>46087</v>
      </c>
      <c r="K1293" s="1" t="s">
        <v>3145</v>
      </c>
    </row>
    <row r="1294" spans="1:11" x14ac:dyDescent="0.35">
      <c r="A1294" s="1" t="s">
        <v>2641</v>
      </c>
      <c r="B1294" s="1" t="s">
        <v>3124</v>
      </c>
      <c r="C1294" s="1" t="s">
        <v>3232</v>
      </c>
      <c r="D1294" s="1" t="str">
        <f t="shared" si="60"/>
        <v>8415</v>
      </c>
      <c r="E1294" s="1" t="str">
        <f>"015802856"</f>
        <v>015802856</v>
      </c>
      <c r="F1294" s="1" t="s">
        <v>18</v>
      </c>
      <c r="G1294" s="1" t="s">
        <v>15</v>
      </c>
      <c r="H1294" s="1" t="str">
        <f t="shared" si="61"/>
        <v>1</v>
      </c>
      <c r="I1294" s="3">
        <v>146.16</v>
      </c>
      <c r="J1294" s="4">
        <v>46087</v>
      </c>
      <c r="K1294" s="1" t="s">
        <v>3145</v>
      </c>
    </row>
    <row r="1295" spans="1:11" x14ac:dyDescent="0.35">
      <c r="A1295" s="1" t="s">
        <v>2641</v>
      </c>
      <c r="B1295" s="1" t="s">
        <v>3124</v>
      </c>
      <c r="C1295" s="1" t="s">
        <v>3233</v>
      </c>
      <c r="D1295" s="1" t="str">
        <f t="shared" si="60"/>
        <v>8415</v>
      </c>
      <c r="E1295" s="1" t="str">
        <f>"015802856"</f>
        <v>015802856</v>
      </c>
      <c r="F1295" s="1" t="s">
        <v>18</v>
      </c>
      <c r="G1295" s="1" t="s">
        <v>15</v>
      </c>
      <c r="H1295" s="1" t="str">
        <f>"2"</f>
        <v>2</v>
      </c>
      <c r="I1295" s="3">
        <v>146.16</v>
      </c>
      <c r="J1295" s="4">
        <v>46087</v>
      </c>
      <c r="K1295" s="1" t="s">
        <v>3145</v>
      </c>
    </row>
    <row r="1296" spans="1:11" x14ac:dyDescent="0.35">
      <c r="A1296" s="1" t="s">
        <v>2641</v>
      </c>
      <c r="B1296" s="1" t="s">
        <v>3124</v>
      </c>
      <c r="C1296" s="1" t="s">
        <v>3234</v>
      </c>
      <c r="D1296" s="1" t="str">
        <f t="shared" si="60"/>
        <v>8415</v>
      </c>
      <c r="E1296" s="1" t="str">
        <f>"015802861"</f>
        <v>015802861</v>
      </c>
      <c r="F1296" s="1" t="s">
        <v>18</v>
      </c>
      <c r="G1296" s="1" t="s">
        <v>15</v>
      </c>
      <c r="H1296" s="1" t="str">
        <f>"1"</f>
        <v>1</v>
      </c>
      <c r="I1296" s="3">
        <v>146.81</v>
      </c>
      <c r="J1296" s="4">
        <v>46087</v>
      </c>
      <c r="K1296" s="1" t="s">
        <v>3145</v>
      </c>
    </row>
    <row r="1297" spans="1:11" x14ac:dyDescent="0.35">
      <c r="A1297" s="1" t="s">
        <v>2641</v>
      </c>
      <c r="B1297" s="1" t="s">
        <v>2690</v>
      </c>
      <c r="C1297" s="1" t="s">
        <v>2716</v>
      </c>
      <c r="D1297" s="1" t="str">
        <f>"3433"</f>
        <v>3433</v>
      </c>
      <c r="E1297" s="1" t="s">
        <v>238</v>
      </c>
      <c r="F1297" s="1" t="s">
        <v>239</v>
      </c>
      <c r="G1297" s="1" t="s">
        <v>15</v>
      </c>
      <c r="H1297" s="1" t="str">
        <f>"1"</f>
        <v>1</v>
      </c>
      <c r="I1297" s="3" t="str">
        <f>"1225"</f>
        <v>1225</v>
      </c>
      <c r="J1297" s="4">
        <v>46090</v>
      </c>
      <c r="K1297" s="1" t="s">
        <v>2717</v>
      </c>
    </row>
    <row r="1298" spans="1:11" x14ac:dyDescent="0.35">
      <c r="A1298" s="1" t="s">
        <v>2641</v>
      </c>
      <c r="B1298" s="1" t="s">
        <v>2690</v>
      </c>
      <c r="C1298" s="1" t="s">
        <v>2727</v>
      </c>
      <c r="D1298" s="1" t="str">
        <f>"4240"</f>
        <v>4240</v>
      </c>
      <c r="E1298" s="1" t="s">
        <v>372</v>
      </c>
      <c r="F1298" s="1" t="s">
        <v>373</v>
      </c>
      <c r="G1298" s="1" t="s">
        <v>15</v>
      </c>
      <c r="H1298" s="1" t="str">
        <f>"3"</f>
        <v>3</v>
      </c>
      <c r="I1298" s="3" t="str">
        <f>"20"</f>
        <v>20</v>
      </c>
      <c r="J1298" s="4">
        <v>46090</v>
      </c>
      <c r="K1298" s="1" t="s">
        <v>2728</v>
      </c>
    </row>
    <row r="1299" spans="1:11" x14ac:dyDescent="0.35">
      <c r="A1299" s="1" t="s">
        <v>2641</v>
      </c>
      <c r="B1299" s="1" t="s">
        <v>2690</v>
      </c>
      <c r="C1299" s="1" t="s">
        <v>2729</v>
      </c>
      <c r="D1299" s="1" t="str">
        <f>"4240"</f>
        <v>4240</v>
      </c>
      <c r="E1299" s="1" t="s">
        <v>372</v>
      </c>
      <c r="F1299" s="1" t="s">
        <v>373</v>
      </c>
      <c r="G1299" s="1" t="s">
        <v>15</v>
      </c>
      <c r="H1299" s="1" t="str">
        <f>"2"</f>
        <v>2</v>
      </c>
      <c r="I1299" s="3" t="str">
        <f>"25"</f>
        <v>25</v>
      </c>
      <c r="J1299" s="4">
        <v>46090</v>
      </c>
      <c r="K1299" s="1" t="s">
        <v>2728</v>
      </c>
    </row>
    <row r="1300" spans="1:11" x14ac:dyDescent="0.35">
      <c r="A1300" s="1" t="s">
        <v>2641</v>
      </c>
      <c r="B1300" s="1" t="s">
        <v>2690</v>
      </c>
      <c r="C1300" s="1" t="s">
        <v>2732</v>
      </c>
      <c r="D1300" s="1" t="str">
        <f>"4240"</f>
        <v>4240</v>
      </c>
      <c r="E1300" s="1" t="s">
        <v>372</v>
      </c>
      <c r="F1300" s="1" t="s">
        <v>373</v>
      </c>
      <c r="G1300" s="1" t="s">
        <v>15</v>
      </c>
      <c r="H1300" s="1" t="str">
        <f t="shared" ref="H1300:H1308" si="62">"1"</f>
        <v>1</v>
      </c>
      <c r="I1300" s="3" t="str">
        <f>"500"</f>
        <v>500</v>
      </c>
      <c r="J1300" s="4">
        <v>46090</v>
      </c>
      <c r="K1300" s="1" t="s">
        <v>2728</v>
      </c>
    </row>
    <row r="1301" spans="1:11" x14ac:dyDescent="0.35">
      <c r="A1301" s="1" t="s">
        <v>2641</v>
      </c>
      <c r="B1301" s="1" t="s">
        <v>2690</v>
      </c>
      <c r="C1301" s="1" t="s">
        <v>2743</v>
      </c>
      <c r="D1301" s="1" t="str">
        <f>"4940"</f>
        <v>4940</v>
      </c>
      <c r="E1301" s="1" t="s">
        <v>2479</v>
      </c>
      <c r="F1301" s="1" t="s">
        <v>2480</v>
      </c>
      <c r="G1301" s="1" t="s">
        <v>15</v>
      </c>
      <c r="H1301" s="1" t="str">
        <f t="shared" si="62"/>
        <v>1</v>
      </c>
      <c r="I1301" s="3" t="str">
        <f>"100"</f>
        <v>100</v>
      </c>
      <c r="J1301" s="4">
        <v>46090</v>
      </c>
      <c r="K1301" s="1" t="s">
        <v>2717</v>
      </c>
    </row>
    <row r="1302" spans="1:11" x14ac:dyDescent="0.35">
      <c r="A1302" s="1" t="s">
        <v>2641</v>
      </c>
      <c r="B1302" s="1" t="s">
        <v>2690</v>
      </c>
      <c r="C1302" s="1" t="s">
        <v>2747</v>
      </c>
      <c r="D1302" s="1" t="str">
        <f>"5110"</f>
        <v>5110</v>
      </c>
      <c r="E1302" s="1" t="s">
        <v>2748</v>
      </c>
      <c r="F1302" s="1" t="s">
        <v>2749</v>
      </c>
      <c r="G1302" s="1" t="s">
        <v>15</v>
      </c>
      <c r="H1302" s="1" t="str">
        <f t="shared" si="62"/>
        <v>1</v>
      </c>
      <c r="I1302" s="3" t="str">
        <f>"50"</f>
        <v>50</v>
      </c>
      <c r="J1302" s="4">
        <v>46090</v>
      </c>
      <c r="K1302" s="1" t="s">
        <v>2750</v>
      </c>
    </row>
    <row r="1303" spans="1:11" x14ac:dyDescent="0.35">
      <c r="A1303" s="1" t="s">
        <v>2641</v>
      </c>
      <c r="B1303" s="1" t="s">
        <v>2690</v>
      </c>
      <c r="C1303" s="1" t="s">
        <v>2757</v>
      </c>
      <c r="D1303" s="1" t="str">
        <f t="shared" ref="D1303:D1309" si="63">"5120"</f>
        <v>5120</v>
      </c>
      <c r="E1303" s="1" t="s">
        <v>2758</v>
      </c>
      <c r="F1303" s="1" t="s">
        <v>2759</v>
      </c>
      <c r="G1303" s="1" t="s">
        <v>15</v>
      </c>
      <c r="H1303" s="1" t="str">
        <f t="shared" si="62"/>
        <v>1</v>
      </c>
      <c r="I1303" s="3" t="str">
        <f>"50"</f>
        <v>50</v>
      </c>
      <c r="J1303" s="4">
        <v>46090</v>
      </c>
      <c r="K1303" s="1" t="s">
        <v>2760</v>
      </c>
    </row>
    <row r="1304" spans="1:11" x14ac:dyDescent="0.35">
      <c r="A1304" s="1" t="s">
        <v>2641</v>
      </c>
      <c r="B1304" s="1" t="s">
        <v>2690</v>
      </c>
      <c r="C1304" s="1" t="s">
        <v>2789</v>
      </c>
      <c r="D1304" s="1" t="str">
        <f t="shared" si="63"/>
        <v>5120</v>
      </c>
      <c r="E1304" s="1" t="s">
        <v>2085</v>
      </c>
      <c r="F1304" s="1" t="s">
        <v>2086</v>
      </c>
      <c r="G1304" s="1" t="s">
        <v>15</v>
      </c>
      <c r="H1304" s="1" t="str">
        <f t="shared" si="62"/>
        <v>1</v>
      </c>
      <c r="I1304" s="3" t="str">
        <f>"200"</f>
        <v>200</v>
      </c>
      <c r="J1304" s="4">
        <v>46090</v>
      </c>
      <c r="K1304" s="1" t="s">
        <v>2717</v>
      </c>
    </row>
    <row r="1305" spans="1:11" x14ac:dyDescent="0.35">
      <c r="A1305" s="1" t="s">
        <v>2641</v>
      </c>
      <c r="B1305" s="1" t="s">
        <v>2690</v>
      </c>
      <c r="C1305" s="1" t="s">
        <v>2790</v>
      </c>
      <c r="D1305" s="1" t="str">
        <f t="shared" si="63"/>
        <v>5120</v>
      </c>
      <c r="E1305" s="1" t="s">
        <v>2085</v>
      </c>
      <c r="F1305" s="1" t="s">
        <v>2086</v>
      </c>
      <c r="G1305" s="1" t="s">
        <v>15</v>
      </c>
      <c r="H1305" s="1" t="str">
        <f t="shared" si="62"/>
        <v>1</v>
      </c>
      <c r="I1305" s="3" t="str">
        <f>"90"</f>
        <v>90</v>
      </c>
      <c r="J1305" s="4">
        <v>46090</v>
      </c>
      <c r="K1305" s="1" t="s">
        <v>2717</v>
      </c>
    </row>
    <row r="1306" spans="1:11" x14ac:dyDescent="0.35">
      <c r="A1306" s="1" t="s">
        <v>2641</v>
      </c>
      <c r="B1306" s="1" t="s">
        <v>2690</v>
      </c>
      <c r="C1306" s="1" t="s">
        <v>2791</v>
      </c>
      <c r="D1306" s="1" t="str">
        <f t="shared" si="63"/>
        <v>5120</v>
      </c>
      <c r="E1306" s="1" t="s">
        <v>2085</v>
      </c>
      <c r="F1306" s="1" t="s">
        <v>2086</v>
      </c>
      <c r="G1306" s="1" t="s">
        <v>15</v>
      </c>
      <c r="H1306" s="1" t="str">
        <f t="shared" si="62"/>
        <v>1</v>
      </c>
      <c r="I1306" s="3" t="str">
        <f>"100"</f>
        <v>100</v>
      </c>
      <c r="J1306" s="4">
        <v>46090</v>
      </c>
      <c r="K1306" s="1" t="s">
        <v>2717</v>
      </c>
    </row>
    <row r="1307" spans="1:11" x14ac:dyDescent="0.35">
      <c r="A1307" s="1" t="s">
        <v>2641</v>
      </c>
      <c r="B1307" s="1" t="s">
        <v>2690</v>
      </c>
      <c r="C1307" s="1" t="s">
        <v>2792</v>
      </c>
      <c r="D1307" s="1" t="str">
        <f t="shared" si="63"/>
        <v>5120</v>
      </c>
      <c r="E1307" s="1" t="s">
        <v>2085</v>
      </c>
      <c r="F1307" s="1" t="s">
        <v>2086</v>
      </c>
      <c r="G1307" s="1" t="s">
        <v>15</v>
      </c>
      <c r="H1307" s="1" t="str">
        <f t="shared" si="62"/>
        <v>1</v>
      </c>
      <c r="I1307" s="3" t="str">
        <f>"100"</f>
        <v>100</v>
      </c>
      <c r="J1307" s="4">
        <v>46090</v>
      </c>
      <c r="K1307" s="1" t="s">
        <v>2717</v>
      </c>
    </row>
    <row r="1308" spans="1:11" x14ac:dyDescent="0.35">
      <c r="A1308" s="1" t="s">
        <v>2641</v>
      </c>
      <c r="B1308" s="1" t="s">
        <v>2690</v>
      </c>
      <c r="C1308" s="1" t="s">
        <v>2793</v>
      </c>
      <c r="D1308" s="1" t="str">
        <f t="shared" si="63"/>
        <v>5120</v>
      </c>
      <c r="E1308" s="1" t="s">
        <v>2085</v>
      </c>
      <c r="F1308" s="1" t="s">
        <v>2086</v>
      </c>
      <c r="G1308" s="1" t="s">
        <v>15</v>
      </c>
      <c r="H1308" s="1" t="str">
        <f t="shared" si="62"/>
        <v>1</v>
      </c>
      <c r="I1308" s="3" t="str">
        <f>"75"</f>
        <v>75</v>
      </c>
      <c r="J1308" s="4">
        <v>46090</v>
      </c>
      <c r="K1308" s="1" t="s">
        <v>2717</v>
      </c>
    </row>
    <row r="1309" spans="1:11" x14ac:dyDescent="0.35">
      <c r="A1309" s="1" t="s">
        <v>2641</v>
      </c>
      <c r="B1309" s="1" t="s">
        <v>2690</v>
      </c>
      <c r="C1309" s="1" t="s">
        <v>2794</v>
      </c>
      <c r="D1309" s="1" t="str">
        <f t="shared" si="63"/>
        <v>5120</v>
      </c>
      <c r="E1309" s="1" t="s">
        <v>2085</v>
      </c>
      <c r="F1309" s="1" t="s">
        <v>2086</v>
      </c>
      <c r="G1309" s="1" t="s">
        <v>15</v>
      </c>
      <c r="H1309" s="1" t="str">
        <f>"6"</f>
        <v>6</v>
      </c>
      <c r="I1309" s="3" t="str">
        <f>"60"</f>
        <v>60</v>
      </c>
      <c r="J1309" s="4">
        <v>46090</v>
      </c>
      <c r="K1309" s="1" t="s">
        <v>2717</v>
      </c>
    </row>
    <row r="1310" spans="1:11" x14ac:dyDescent="0.35">
      <c r="A1310" s="1" t="s">
        <v>2641</v>
      </c>
      <c r="B1310" s="1" t="s">
        <v>2690</v>
      </c>
      <c r="C1310" s="1" t="s">
        <v>2799</v>
      </c>
      <c r="D1310" s="1" t="str">
        <f>"5130"</f>
        <v>5130</v>
      </c>
      <c r="E1310" s="1" t="str">
        <f>"002931846"</f>
        <v>002931846</v>
      </c>
      <c r="F1310" s="1" t="s">
        <v>1697</v>
      </c>
      <c r="G1310" s="1" t="s">
        <v>15</v>
      </c>
      <c r="H1310" s="1" t="str">
        <f>"3"</f>
        <v>3</v>
      </c>
      <c r="I1310" s="3">
        <v>236.46</v>
      </c>
      <c r="J1310" s="4">
        <v>46090</v>
      </c>
      <c r="K1310" s="1" t="s">
        <v>2800</v>
      </c>
    </row>
    <row r="1311" spans="1:11" x14ac:dyDescent="0.35">
      <c r="A1311" s="1" t="s">
        <v>2641</v>
      </c>
      <c r="B1311" s="1" t="s">
        <v>2690</v>
      </c>
      <c r="C1311" s="1" t="s">
        <v>2842</v>
      </c>
      <c r="D1311" s="1" t="str">
        <f>"5965"</f>
        <v>5965</v>
      </c>
      <c r="E1311" s="1" t="s">
        <v>2843</v>
      </c>
      <c r="F1311" s="1" t="s">
        <v>2844</v>
      </c>
      <c r="G1311" s="1" t="s">
        <v>15</v>
      </c>
      <c r="H1311" s="1" t="str">
        <f>"1"</f>
        <v>1</v>
      </c>
      <c r="I1311" s="3" t="str">
        <f>"1500"</f>
        <v>1500</v>
      </c>
      <c r="J1311" s="4">
        <v>46090</v>
      </c>
      <c r="K1311" s="1" t="s">
        <v>2845</v>
      </c>
    </row>
    <row r="1312" spans="1:11" x14ac:dyDescent="0.35">
      <c r="A1312" s="1" t="s">
        <v>2641</v>
      </c>
      <c r="B1312" s="1" t="s">
        <v>2690</v>
      </c>
      <c r="C1312" s="1" t="s">
        <v>2853</v>
      </c>
      <c r="D1312" s="1" t="str">
        <f>"5995"</f>
        <v>5995</v>
      </c>
      <c r="E1312" s="1" t="s">
        <v>2854</v>
      </c>
      <c r="F1312" s="1" t="s">
        <v>2855</v>
      </c>
      <c r="G1312" s="1" t="s">
        <v>15</v>
      </c>
      <c r="H1312" s="1" t="str">
        <f>"1"</f>
        <v>1</v>
      </c>
      <c r="I1312" s="3" t="str">
        <f>"500"</f>
        <v>500</v>
      </c>
      <c r="J1312" s="4">
        <v>46090</v>
      </c>
      <c r="K1312" s="1" t="s">
        <v>2856</v>
      </c>
    </row>
    <row r="1313" spans="1:11" x14ac:dyDescent="0.35">
      <c r="A1313" s="1" t="s">
        <v>2641</v>
      </c>
      <c r="B1313" s="1" t="s">
        <v>2690</v>
      </c>
      <c r="C1313" s="1" t="s">
        <v>2890</v>
      </c>
      <c r="D1313" s="1" t="str">
        <f>"7025"</f>
        <v>7025</v>
      </c>
      <c r="E1313" s="1" t="s">
        <v>1739</v>
      </c>
      <c r="F1313" s="1" t="s">
        <v>1740</v>
      </c>
      <c r="G1313" s="1" t="s">
        <v>15</v>
      </c>
      <c r="H1313" s="1" t="str">
        <f>"1"</f>
        <v>1</v>
      </c>
      <c r="I1313" s="3">
        <v>99.99</v>
      </c>
      <c r="J1313" s="4">
        <v>46090</v>
      </c>
      <c r="K1313" s="1" t="s">
        <v>2891</v>
      </c>
    </row>
    <row r="1314" spans="1:11" x14ac:dyDescent="0.35">
      <c r="A1314" s="1" t="s">
        <v>2641</v>
      </c>
      <c r="B1314" s="1" t="s">
        <v>2690</v>
      </c>
      <c r="C1314" s="1" t="s">
        <v>2937</v>
      </c>
      <c r="D1314" s="1" t="str">
        <f>"7490"</f>
        <v>7490</v>
      </c>
      <c r="E1314" s="1" t="s">
        <v>2938</v>
      </c>
      <c r="F1314" s="1" t="s">
        <v>2939</v>
      </c>
      <c r="G1314" s="1" t="s">
        <v>15</v>
      </c>
      <c r="H1314" s="1" t="str">
        <f>"1"</f>
        <v>1</v>
      </c>
      <c r="I1314" s="3" t="str">
        <f>"210"</f>
        <v>210</v>
      </c>
      <c r="J1314" s="4">
        <v>46090</v>
      </c>
      <c r="K1314" s="1" t="s">
        <v>2940</v>
      </c>
    </row>
    <row r="1315" spans="1:11" x14ac:dyDescent="0.35">
      <c r="A1315" s="1" t="s">
        <v>2641</v>
      </c>
      <c r="B1315" s="1" t="s">
        <v>2690</v>
      </c>
      <c r="C1315" s="1" t="s">
        <v>2941</v>
      </c>
      <c r="D1315" s="1" t="str">
        <f>"8020"</f>
        <v>8020</v>
      </c>
      <c r="E1315" s="1" t="s">
        <v>2942</v>
      </c>
      <c r="F1315" s="1" t="s">
        <v>2943</v>
      </c>
      <c r="G1315" s="1" t="s">
        <v>15</v>
      </c>
      <c r="H1315" s="1" t="str">
        <f>"11"</f>
        <v>11</v>
      </c>
      <c r="I1315" s="3" t="str">
        <f>"5"</f>
        <v>5</v>
      </c>
      <c r="J1315" s="4">
        <v>46090</v>
      </c>
      <c r="K1315" s="1" t="s">
        <v>2750</v>
      </c>
    </row>
    <row r="1316" spans="1:11" x14ac:dyDescent="0.35">
      <c r="A1316" s="1" t="s">
        <v>2641</v>
      </c>
      <c r="B1316" s="1" t="s">
        <v>2690</v>
      </c>
      <c r="C1316" s="1" t="s">
        <v>2950</v>
      </c>
      <c r="D1316" s="1" t="str">
        <f>"8115"</f>
        <v>8115</v>
      </c>
      <c r="E1316" s="1" t="s">
        <v>412</v>
      </c>
      <c r="F1316" s="1" t="s">
        <v>413</v>
      </c>
      <c r="G1316" s="1" t="s">
        <v>15</v>
      </c>
      <c r="H1316" s="1" t="str">
        <f>"2"</f>
        <v>2</v>
      </c>
      <c r="I1316" s="3" t="str">
        <f>"500"</f>
        <v>500</v>
      </c>
      <c r="J1316" s="4">
        <v>46090</v>
      </c>
      <c r="K1316" s="1" t="s">
        <v>2951</v>
      </c>
    </row>
    <row r="1317" spans="1:11" x14ac:dyDescent="0.35">
      <c r="A1317" s="1" t="s">
        <v>2641</v>
      </c>
      <c r="B1317" s="1" t="s">
        <v>2690</v>
      </c>
      <c r="C1317" s="1" t="s">
        <v>2952</v>
      </c>
      <c r="D1317" s="1" t="str">
        <f>"8115"</f>
        <v>8115</v>
      </c>
      <c r="E1317" s="1" t="s">
        <v>412</v>
      </c>
      <c r="F1317" s="1" t="s">
        <v>413</v>
      </c>
      <c r="G1317" s="1" t="s">
        <v>15</v>
      </c>
      <c r="H1317" s="1" t="str">
        <f>"3"</f>
        <v>3</v>
      </c>
      <c r="I1317" s="3" t="str">
        <f>"300"</f>
        <v>300</v>
      </c>
      <c r="J1317" s="4">
        <v>46090</v>
      </c>
      <c r="K1317" s="1" t="s">
        <v>2953</v>
      </c>
    </row>
    <row r="1318" spans="1:11" x14ac:dyDescent="0.35">
      <c r="A1318" s="1" t="s">
        <v>2641</v>
      </c>
      <c r="B1318" s="1" t="s">
        <v>2690</v>
      </c>
      <c r="C1318" s="1" t="s">
        <v>2963</v>
      </c>
      <c r="D1318" s="1" t="str">
        <f>"8345"</f>
        <v>8345</v>
      </c>
      <c r="E1318" s="1" t="str">
        <f>"016409597"</f>
        <v>016409597</v>
      </c>
      <c r="F1318" s="1" t="s">
        <v>2349</v>
      </c>
      <c r="G1318" s="1" t="s">
        <v>15</v>
      </c>
      <c r="H1318" s="1" t="str">
        <f>"4"</f>
        <v>4</v>
      </c>
      <c r="I1318" s="3">
        <v>172.88</v>
      </c>
      <c r="J1318" s="4">
        <v>46090</v>
      </c>
      <c r="K1318" s="1" t="s">
        <v>2964</v>
      </c>
    </row>
    <row r="1319" spans="1:11" x14ac:dyDescent="0.35">
      <c r="A1319" s="1" t="s">
        <v>2641</v>
      </c>
      <c r="B1319" s="1" t="s">
        <v>2690</v>
      </c>
      <c r="C1319" s="1" t="s">
        <v>2704</v>
      </c>
      <c r="D1319" s="1" t="str">
        <f>"1080"</f>
        <v>1080</v>
      </c>
      <c r="E1319" s="1" t="str">
        <f>"014572956"</f>
        <v>014572956</v>
      </c>
      <c r="F1319" s="1" t="s">
        <v>2705</v>
      </c>
      <c r="G1319" s="1" t="s">
        <v>15</v>
      </c>
      <c r="H1319" s="1" t="str">
        <f>"1"</f>
        <v>1</v>
      </c>
      <c r="I1319" s="3" t="str">
        <f>"3477"</f>
        <v>3477</v>
      </c>
      <c r="J1319" s="4">
        <v>46094</v>
      </c>
      <c r="K1319" s="1" t="s">
        <v>2706</v>
      </c>
    </row>
    <row r="1320" spans="1:11" x14ac:dyDescent="0.35">
      <c r="A1320" s="1" t="s">
        <v>2641</v>
      </c>
      <c r="B1320" s="1" t="s">
        <v>2690</v>
      </c>
      <c r="C1320" s="1" t="s">
        <v>2803</v>
      </c>
      <c r="D1320" s="1" t="str">
        <f>"5130"</f>
        <v>5130</v>
      </c>
      <c r="E1320" s="1" t="s">
        <v>579</v>
      </c>
      <c r="F1320" s="1" t="s">
        <v>580</v>
      </c>
      <c r="G1320" s="1" t="s">
        <v>15</v>
      </c>
      <c r="H1320" s="1" t="str">
        <f>"10"</f>
        <v>10</v>
      </c>
      <c r="I1320" s="3" t="str">
        <f>"50"</f>
        <v>50</v>
      </c>
      <c r="J1320" s="4">
        <v>46094</v>
      </c>
      <c r="K1320" s="1" t="s">
        <v>2804</v>
      </c>
    </row>
    <row r="1321" spans="1:11" x14ac:dyDescent="0.35">
      <c r="A1321" s="1" t="s">
        <v>2641</v>
      </c>
      <c r="B1321" s="1" t="s">
        <v>2690</v>
      </c>
      <c r="C1321" s="1" t="s">
        <v>2810</v>
      </c>
      <c r="D1321" s="1" t="str">
        <f t="shared" ref="D1321:D1327" si="64">"5180"</f>
        <v>5180</v>
      </c>
      <c r="E1321" s="1" t="str">
        <f>"015513550"</f>
        <v>015513550</v>
      </c>
      <c r="F1321" s="1" t="s">
        <v>2811</v>
      </c>
      <c r="G1321" s="1" t="s">
        <v>168</v>
      </c>
      <c r="H1321" s="1" t="str">
        <f>"1"</f>
        <v>1</v>
      </c>
      <c r="I1321" s="3" t="str">
        <f>"19104"</f>
        <v>19104</v>
      </c>
      <c r="J1321" s="4">
        <v>46094</v>
      </c>
      <c r="K1321" s="1" t="s">
        <v>2812</v>
      </c>
    </row>
    <row r="1322" spans="1:11" x14ac:dyDescent="0.35">
      <c r="A1322" s="1" t="s">
        <v>2641</v>
      </c>
      <c r="B1322" s="1" t="s">
        <v>2690</v>
      </c>
      <c r="C1322" s="1" t="s">
        <v>2813</v>
      </c>
      <c r="D1322" s="1" t="str">
        <f t="shared" si="64"/>
        <v>5180</v>
      </c>
      <c r="E1322" s="1" t="s">
        <v>268</v>
      </c>
      <c r="F1322" s="1" t="s">
        <v>269</v>
      </c>
      <c r="G1322" s="1" t="s">
        <v>15</v>
      </c>
      <c r="H1322" s="1" t="str">
        <f>"5"</f>
        <v>5</v>
      </c>
      <c r="I1322" s="3" t="str">
        <f>"100"</f>
        <v>100</v>
      </c>
      <c r="J1322" s="4">
        <v>46094</v>
      </c>
      <c r="K1322" s="1" t="s">
        <v>2717</v>
      </c>
    </row>
    <row r="1323" spans="1:11" x14ac:dyDescent="0.35">
      <c r="A1323" s="1" t="s">
        <v>2641</v>
      </c>
      <c r="B1323" s="1" t="s">
        <v>2690</v>
      </c>
      <c r="C1323" s="1" t="s">
        <v>2814</v>
      </c>
      <c r="D1323" s="1" t="str">
        <f t="shared" si="64"/>
        <v>5180</v>
      </c>
      <c r="E1323" s="1" t="str">
        <f>"006108177"</f>
        <v>006108177</v>
      </c>
      <c r="F1323" s="1" t="s">
        <v>2490</v>
      </c>
      <c r="G1323" s="1" t="s">
        <v>15</v>
      </c>
      <c r="H1323" s="1" t="str">
        <f>"1"</f>
        <v>1</v>
      </c>
      <c r="I1323" s="3" t="str">
        <f>"2180"</f>
        <v>2180</v>
      </c>
      <c r="J1323" s="4">
        <v>46094</v>
      </c>
      <c r="K1323" s="1" t="s">
        <v>2717</v>
      </c>
    </row>
    <row r="1324" spans="1:11" x14ac:dyDescent="0.35">
      <c r="A1324" s="1" t="s">
        <v>2641</v>
      </c>
      <c r="B1324" s="1" t="s">
        <v>2690</v>
      </c>
      <c r="C1324" s="1" t="s">
        <v>2815</v>
      </c>
      <c r="D1324" s="1" t="str">
        <f t="shared" si="64"/>
        <v>5180</v>
      </c>
      <c r="E1324" s="1" t="s">
        <v>268</v>
      </c>
      <c r="F1324" s="1" t="s">
        <v>269</v>
      </c>
      <c r="G1324" s="1" t="s">
        <v>15</v>
      </c>
      <c r="H1324" s="1" t="str">
        <f>"1"</f>
        <v>1</v>
      </c>
      <c r="I1324" s="3" t="str">
        <f>"815"</f>
        <v>815</v>
      </c>
      <c r="J1324" s="4">
        <v>46094</v>
      </c>
      <c r="K1324" s="1" t="s">
        <v>2816</v>
      </c>
    </row>
    <row r="1325" spans="1:11" x14ac:dyDescent="0.35">
      <c r="A1325" s="1" t="s">
        <v>2641</v>
      </c>
      <c r="B1325" s="1" t="s">
        <v>2690</v>
      </c>
      <c r="C1325" s="1" t="s">
        <v>2817</v>
      </c>
      <c r="D1325" s="1" t="str">
        <f t="shared" si="64"/>
        <v>5180</v>
      </c>
      <c r="E1325" s="1" t="str">
        <f>"003133045"</f>
        <v>003133045</v>
      </c>
      <c r="F1325" s="1" t="s">
        <v>274</v>
      </c>
      <c r="G1325" s="1" t="s">
        <v>168</v>
      </c>
      <c r="H1325" s="1" t="str">
        <f>"1"</f>
        <v>1</v>
      </c>
      <c r="I1325" s="3" t="str">
        <f>"3362"</f>
        <v>3362</v>
      </c>
      <c r="J1325" s="4">
        <v>46094</v>
      </c>
      <c r="K1325" s="1" t="s">
        <v>2818</v>
      </c>
    </row>
    <row r="1326" spans="1:11" x14ac:dyDescent="0.35">
      <c r="A1326" s="1" t="s">
        <v>2641</v>
      </c>
      <c r="B1326" s="1" t="s">
        <v>2690</v>
      </c>
      <c r="C1326" s="1" t="s">
        <v>2819</v>
      </c>
      <c r="D1326" s="1" t="str">
        <f t="shared" si="64"/>
        <v>5180</v>
      </c>
      <c r="E1326" s="1" t="str">
        <f>"014830250"</f>
        <v>014830250</v>
      </c>
      <c r="F1326" s="1" t="s">
        <v>1831</v>
      </c>
      <c r="G1326" s="1" t="s">
        <v>257</v>
      </c>
      <c r="H1326" s="1" t="str">
        <f>"2"</f>
        <v>2</v>
      </c>
      <c r="I1326" s="3" t="str">
        <f>"1803"</f>
        <v>1803</v>
      </c>
      <c r="J1326" s="4">
        <v>46094</v>
      </c>
      <c r="K1326" s="1" t="s">
        <v>2804</v>
      </c>
    </row>
    <row r="1327" spans="1:11" x14ac:dyDescent="0.35">
      <c r="A1327" s="1" t="s">
        <v>2641</v>
      </c>
      <c r="B1327" s="1" t="s">
        <v>2690</v>
      </c>
      <c r="C1327" s="1" t="s">
        <v>2820</v>
      </c>
      <c r="D1327" s="1" t="str">
        <f t="shared" si="64"/>
        <v>5180</v>
      </c>
      <c r="E1327" s="1" t="str">
        <f>"014830249"</f>
        <v>014830249</v>
      </c>
      <c r="F1327" s="1" t="s">
        <v>2821</v>
      </c>
      <c r="G1327" s="1" t="s">
        <v>257</v>
      </c>
      <c r="H1327" s="1" t="str">
        <f>"1"</f>
        <v>1</v>
      </c>
      <c r="I1327" s="3" t="str">
        <f>"1780"</f>
        <v>1780</v>
      </c>
      <c r="J1327" s="4">
        <v>46094</v>
      </c>
      <c r="K1327" s="1" t="s">
        <v>2804</v>
      </c>
    </row>
    <row r="1328" spans="1:11" x14ac:dyDescent="0.35">
      <c r="A1328" s="1" t="s">
        <v>2641</v>
      </c>
      <c r="B1328" s="1" t="s">
        <v>2690</v>
      </c>
      <c r="C1328" s="1" t="s">
        <v>2840</v>
      </c>
      <c r="D1328" s="1" t="str">
        <f>"5845"</f>
        <v>5845</v>
      </c>
      <c r="E1328" s="1" t="str">
        <f>"015856680"</f>
        <v>015856680</v>
      </c>
      <c r="F1328" s="1" t="s">
        <v>2841</v>
      </c>
      <c r="G1328" s="1" t="s">
        <v>15</v>
      </c>
      <c r="H1328" s="1" t="str">
        <f>"2"</f>
        <v>2</v>
      </c>
      <c r="I1328" s="3">
        <v>4802.62</v>
      </c>
      <c r="J1328" s="4">
        <v>46094</v>
      </c>
      <c r="K1328" s="1" t="s">
        <v>2750</v>
      </c>
    </row>
    <row r="1329" spans="1:11" x14ac:dyDescent="0.35">
      <c r="A1329" s="1" t="s">
        <v>2641</v>
      </c>
      <c r="B1329" s="1" t="s">
        <v>2690</v>
      </c>
      <c r="C1329" s="1" t="s">
        <v>2857</v>
      </c>
      <c r="D1329" s="1" t="str">
        <f>"6115"</f>
        <v>6115</v>
      </c>
      <c r="E1329" s="1" t="s">
        <v>157</v>
      </c>
      <c r="F1329" s="1" t="s">
        <v>158</v>
      </c>
      <c r="G1329" s="1" t="s">
        <v>15</v>
      </c>
      <c r="H1329" s="1" t="str">
        <f>"2"</f>
        <v>2</v>
      </c>
      <c r="I1329" s="3" t="str">
        <f>"1000"</f>
        <v>1000</v>
      </c>
      <c r="J1329" s="4">
        <v>46094</v>
      </c>
      <c r="K1329" s="1" t="s">
        <v>2858</v>
      </c>
    </row>
    <row r="1330" spans="1:11" x14ac:dyDescent="0.35">
      <c r="A1330" s="1" t="s">
        <v>2641</v>
      </c>
      <c r="B1330" s="1" t="s">
        <v>2690</v>
      </c>
      <c r="C1330" s="1" t="s">
        <v>2960</v>
      </c>
      <c r="D1330" s="1" t="str">
        <f>"8340"</f>
        <v>8340</v>
      </c>
      <c r="E1330" s="1" t="str">
        <f>"016728427"</f>
        <v>016728427</v>
      </c>
      <c r="F1330" s="1" t="s">
        <v>2958</v>
      </c>
      <c r="G1330" s="1" t="s">
        <v>15</v>
      </c>
      <c r="H1330" s="1" t="str">
        <f>"2"</f>
        <v>2</v>
      </c>
      <c r="I1330" s="3">
        <v>152.96</v>
      </c>
      <c r="J1330" s="4">
        <v>46094</v>
      </c>
      <c r="K1330" s="1" t="s">
        <v>2961</v>
      </c>
    </row>
    <row r="1331" spans="1:11" x14ac:dyDescent="0.35">
      <c r="A1331" s="1" t="s">
        <v>2641</v>
      </c>
      <c r="B1331" s="1" t="s">
        <v>2690</v>
      </c>
      <c r="C1331" s="1" t="s">
        <v>3029</v>
      </c>
      <c r="D1331" s="1" t="str">
        <f>"8415"</f>
        <v>8415</v>
      </c>
      <c r="E1331" s="1" t="str">
        <f>"015272757"</f>
        <v>015272757</v>
      </c>
      <c r="F1331" s="1" t="s">
        <v>1983</v>
      </c>
      <c r="G1331" s="1" t="s">
        <v>47</v>
      </c>
      <c r="H1331" s="1" t="str">
        <f>"2"</f>
        <v>2</v>
      </c>
      <c r="I1331" s="3">
        <v>41.07</v>
      </c>
      <c r="J1331" s="4">
        <v>46094</v>
      </c>
      <c r="K1331" s="1" t="s">
        <v>3030</v>
      </c>
    </row>
    <row r="1332" spans="1:11" x14ac:dyDescent="0.35">
      <c r="A1332" s="1" t="s">
        <v>2641</v>
      </c>
      <c r="B1332" s="1" t="s">
        <v>2690</v>
      </c>
      <c r="C1332" s="1" t="s">
        <v>3060</v>
      </c>
      <c r="D1332" s="1" t="str">
        <f t="shared" ref="D1332:D1348" si="65">"8465"</f>
        <v>8465</v>
      </c>
      <c r="E1332" s="1" t="str">
        <f>"011093369"</f>
        <v>011093369</v>
      </c>
      <c r="F1332" s="1" t="s">
        <v>340</v>
      </c>
      <c r="G1332" s="1" t="s">
        <v>15</v>
      </c>
      <c r="H1332" s="1" t="str">
        <f>"1"</f>
        <v>1</v>
      </c>
      <c r="I1332" s="3">
        <v>12.33</v>
      </c>
      <c r="J1332" s="4">
        <v>46094</v>
      </c>
      <c r="K1332" s="1" t="s">
        <v>3061</v>
      </c>
    </row>
    <row r="1333" spans="1:11" x14ac:dyDescent="0.35">
      <c r="A1333" s="1" t="s">
        <v>2641</v>
      </c>
      <c r="B1333" s="1" t="s">
        <v>2690</v>
      </c>
      <c r="C1333" s="1" t="s">
        <v>3062</v>
      </c>
      <c r="D1333" s="1" t="str">
        <f t="shared" si="65"/>
        <v>8465</v>
      </c>
      <c r="E1333" s="1" t="str">
        <f>"011093369"</f>
        <v>011093369</v>
      </c>
      <c r="F1333" s="1" t="s">
        <v>340</v>
      </c>
      <c r="G1333" s="1" t="s">
        <v>15</v>
      </c>
      <c r="H1333" s="1" t="str">
        <f>"1"</f>
        <v>1</v>
      </c>
      <c r="I1333" s="3">
        <v>12.33</v>
      </c>
      <c r="J1333" s="4">
        <v>46094</v>
      </c>
      <c r="K1333" s="1" t="s">
        <v>3061</v>
      </c>
    </row>
    <row r="1334" spans="1:11" x14ac:dyDescent="0.35">
      <c r="A1334" s="1" t="s">
        <v>2641</v>
      </c>
      <c r="B1334" s="1" t="s">
        <v>2690</v>
      </c>
      <c r="C1334" s="1" t="s">
        <v>3063</v>
      </c>
      <c r="D1334" s="1" t="str">
        <f t="shared" si="65"/>
        <v>8465</v>
      </c>
      <c r="E1334" s="1" t="str">
        <f>"011093369"</f>
        <v>011093369</v>
      </c>
      <c r="F1334" s="1" t="s">
        <v>340</v>
      </c>
      <c r="G1334" s="1" t="s">
        <v>15</v>
      </c>
      <c r="H1334" s="1" t="str">
        <f>"8"</f>
        <v>8</v>
      </c>
      <c r="I1334" s="3">
        <v>12.33</v>
      </c>
      <c r="J1334" s="4">
        <v>46094</v>
      </c>
      <c r="K1334" s="1" t="s">
        <v>3061</v>
      </c>
    </row>
    <row r="1335" spans="1:11" x14ac:dyDescent="0.35">
      <c r="A1335" s="1" t="s">
        <v>2641</v>
      </c>
      <c r="B1335" s="1" t="s">
        <v>2690</v>
      </c>
      <c r="C1335" s="1" t="s">
        <v>3066</v>
      </c>
      <c r="D1335" s="1" t="str">
        <f t="shared" si="65"/>
        <v>8465</v>
      </c>
      <c r="E1335" s="1" t="str">
        <f>"011093369"</f>
        <v>011093369</v>
      </c>
      <c r="F1335" s="1" t="s">
        <v>340</v>
      </c>
      <c r="G1335" s="1" t="s">
        <v>15</v>
      </c>
      <c r="H1335" s="1" t="str">
        <f>"2"</f>
        <v>2</v>
      </c>
      <c r="I1335" s="3">
        <v>12.33</v>
      </c>
      <c r="J1335" s="4">
        <v>46094</v>
      </c>
      <c r="K1335" s="1" t="s">
        <v>3061</v>
      </c>
    </row>
    <row r="1336" spans="1:11" x14ac:dyDescent="0.35">
      <c r="A1336" s="1" t="s">
        <v>2641</v>
      </c>
      <c r="B1336" s="1" t="s">
        <v>2690</v>
      </c>
      <c r="C1336" s="1" t="s">
        <v>3067</v>
      </c>
      <c r="D1336" s="1" t="str">
        <f t="shared" si="65"/>
        <v>8465</v>
      </c>
      <c r="E1336" s="1" t="str">
        <f>"013936515"</f>
        <v>013936515</v>
      </c>
      <c r="F1336" s="1" t="s">
        <v>975</v>
      </c>
      <c r="G1336" s="1" t="s">
        <v>15</v>
      </c>
      <c r="H1336" s="1" t="str">
        <f>"35"</f>
        <v>35</v>
      </c>
      <c r="I1336" s="3">
        <v>68.81</v>
      </c>
      <c r="J1336" s="4">
        <v>46094</v>
      </c>
      <c r="K1336" s="1" t="s">
        <v>3061</v>
      </c>
    </row>
    <row r="1337" spans="1:11" x14ac:dyDescent="0.35">
      <c r="A1337" s="1" t="s">
        <v>2641</v>
      </c>
      <c r="B1337" s="1" t="s">
        <v>2690</v>
      </c>
      <c r="C1337" s="1" t="s">
        <v>3071</v>
      </c>
      <c r="D1337" s="1" t="str">
        <f t="shared" si="65"/>
        <v>8465</v>
      </c>
      <c r="E1337" s="1" t="str">
        <f>"013936515"</f>
        <v>013936515</v>
      </c>
      <c r="F1337" s="1" t="s">
        <v>975</v>
      </c>
      <c r="G1337" s="1" t="s">
        <v>15</v>
      </c>
      <c r="H1337" s="1" t="str">
        <f>"10"</f>
        <v>10</v>
      </c>
      <c r="I1337" s="3">
        <v>68.81</v>
      </c>
      <c r="J1337" s="4">
        <v>46094</v>
      </c>
      <c r="K1337" s="1" t="s">
        <v>3072</v>
      </c>
    </row>
    <row r="1338" spans="1:11" x14ac:dyDescent="0.35">
      <c r="A1338" s="1" t="s">
        <v>2641</v>
      </c>
      <c r="B1338" s="1" t="s">
        <v>2690</v>
      </c>
      <c r="C1338" s="1" t="s">
        <v>3073</v>
      </c>
      <c r="D1338" s="1" t="str">
        <f t="shared" si="65"/>
        <v>8465</v>
      </c>
      <c r="E1338" s="1" t="str">
        <f>"016087503"</f>
        <v>016087503</v>
      </c>
      <c r="F1338" s="1" t="s">
        <v>3074</v>
      </c>
      <c r="G1338" s="1" t="s">
        <v>15</v>
      </c>
      <c r="H1338" s="1" t="str">
        <f>"5"</f>
        <v>5</v>
      </c>
      <c r="I1338" s="3">
        <v>140.44</v>
      </c>
      <c r="J1338" s="4">
        <v>46094</v>
      </c>
      <c r="K1338" s="1" t="s">
        <v>3075</v>
      </c>
    </row>
    <row r="1339" spans="1:11" x14ac:dyDescent="0.35">
      <c r="A1339" s="1" t="s">
        <v>2641</v>
      </c>
      <c r="B1339" s="1" t="s">
        <v>2690</v>
      </c>
      <c r="C1339" s="1" t="s">
        <v>3076</v>
      </c>
      <c r="D1339" s="1" t="str">
        <f t="shared" si="65"/>
        <v>8465</v>
      </c>
      <c r="E1339" s="1" t="str">
        <f>"016416353"</f>
        <v>016416353</v>
      </c>
      <c r="F1339" s="1" t="s">
        <v>2518</v>
      </c>
      <c r="G1339" s="1" t="s">
        <v>257</v>
      </c>
      <c r="H1339" s="1" t="str">
        <f>"1"</f>
        <v>1</v>
      </c>
      <c r="I1339" s="3">
        <v>236.32</v>
      </c>
      <c r="J1339" s="4">
        <v>46094</v>
      </c>
      <c r="K1339" s="1" t="s">
        <v>3077</v>
      </c>
    </row>
    <row r="1340" spans="1:11" x14ac:dyDescent="0.35">
      <c r="A1340" s="1" t="s">
        <v>2641</v>
      </c>
      <c r="B1340" s="1" t="s">
        <v>2690</v>
      </c>
      <c r="C1340" s="1" t="s">
        <v>3103</v>
      </c>
      <c r="D1340" s="1" t="str">
        <f t="shared" si="65"/>
        <v>8465</v>
      </c>
      <c r="E1340" s="1" t="str">
        <f>"015248407"</f>
        <v>015248407</v>
      </c>
      <c r="F1340" s="1" t="s">
        <v>3104</v>
      </c>
      <c r="G1340" s="1" t="s">
        <v>15</v>
      </c>
      <c r="H1340" s="1" t="str">
        <f>"29"</f>
        <v>29</v>
      </c>
      <c r="I1340" s="3">
        <v>19.27</v>
      </c>
      <c r="J1340" s="4">
        <v>46094</v>
      </c>
      <c r="K1340" s="1" t="s">
        <v>3065</v>
      </c>
    </row>
    <row r="1341" spans="1:11" x14ac:dyDescent="0.35">
      <c r="A1341" s="1" t="s">
        <v>2641</v>
      </c>
      <c r="B1341" s="1" t="s">
        <v>2690</v>
      </c>
      <c r="C1341" s="1" t="s">
        <v>3105</v>
      </c>
      <c r="D1341" s="1" t="str">
        <f t="shared" si="65"/>
        <v>8465</v>
      </c>
      <c r="E1341" s="1" t="str">
        <f>"015248407"</f>
        <v>015248407</v>
      </c>
      <c r="F1341" s="1" t="s">
        <v>3104</v>
      </c>
      <c r="G1341" s="1" t="s">
        <v>15</v>
      </c>
      <c r="H1341" s="1" t="str">
        <f>"11"</f>
        <v>11</v>
      </c>
      <c r="I1341" s="3">
        <v>19.27</v>
      </c>
      <c r="J1341" s="4">
        <v>46094</v>
      </c>
      <c r="K1341" s="1" t="s">
        <v>3065</v>
      </c>
    </row>
    <row r="1342" spans="1:11" x14ac:dyDescent="0.35">
      <c r="A1342" s="1" t="s">
        <v>2641</v>
      </c>
      <c r="B1342" s="1" t="s">
        <v>2690</v>
      </c>
      <c r="C1342" s="1" t="s">
        <v>3106</v>
      </c>
      <c r="D1342" s="1" t="str">
        <f t="shared" si="65"/>
        <v>8465</v>
      </c>
      <c r="E1342" s="1" t="str">
        <f>"015248407"</f>
        <v>015248407</v>
      </c>
      <c r="F1342" s="1" t="s">
        <v>3104</v>
      </c>
      <c r="G1342" s="1" t="s">
        <v>15</v>
      </c>
      <c r="H1342" s="1" t="str">
        <f>"25"</f>
        <v>25</v>
      </c>
      <c r="I1342" s="3">
        <v>19.27</v>
      </c>
      <c r="J1342" s="4">
        <v>46094</v>
      </c>
      <c r="K1342" s="1" t="s">
        <v>3065</v>
      </c>
    </row>
    <row r="1343" spans="1:11" x14ac:dyDescent="0.35">
      <c r="A1343" s="1" t="s">
        <v>2641</v>
      </c>
      <c r="B1343" s="1" t="s">
        <v>2690</v>
      </c>
      <c r="C1343" s="1" t="s">
        <v>3107</v>
      </c>
      <c r="D1343" s="1" t="str">
        <f t="shared" si="65"/>
        <v>8465</v>
      </c>
      <c r="E1343" s="1" t="str">
        <f>"015248407"</f>
        <v>015248407</v>
      </c>
      <c r="F1343" s="1" t="s">
        <v>3104</v>
      </c>
      <c r="G1343" s="1" t="s">
        <v>15</v>
      </c>
      <c r="H1343" s="1" t="str">
        <f>"19"</f>
        <v>19</v>
      </c>
      <c r="I1343" s="3">
        <v>19.27</v>
      </c>
      <c r="J1343" s="4">
        <v>46094</v>
      </c>
      <c r="K1343" s="1" t="s">
        <v>3065</v>
      </c>
    </row>
    <row r="1344" spans="1:11" x14ac:dyDescent="0.35">
      <c r="A1344" s="1" t="s">
        <v>2641</v>
      </c>
      <c r="B1344" s="1" t="s">
        <v>2690</v>
      </c>
      <c r="C1344" s="1" t="s">
        <v>3108</v>
      </c>
      <c r="D1344" s="1" t="str">
        <f t="shared" si="65"/>
        <v>8465</v>
      </c>
      <c r="E1344" s="1" t="str">
        <f>"015248407"</f>
        <v>015248407</v>
      </c>
      <c r="F1344" s="1" t="s">
        <v>3104</v>
      </c>
      <c r="G1344" s="1" t="s">
        <v>15</v>
      </c>
      <c r="H1344" s="1" t="str">
        <f>"11"</f>
        <v>11</v>
      </c>
      <c r="I1344" s="3">
        <v>19.27</v>
      </c>
      <c r="J1344" s="4">
        <v>46094</v>
      </c>
      <c r="K1344" s="1" t="s">
        <v>3065</v>
      </c>
    </row>
    <row r="1345" spans="1:11" x14ac:dyDescent="0.35">
      <c r="A1345" s="1" t="s">
        <v>2641</v>
      </c>
      <c r="B1345" s="1" t="s">
        <v>2690</v>
      </c>
      <c r="C1345" s="1" t="s">
        <v>3109</v>
      </c>
      <c r="D1345" s="1" t="str">
        <f t="shared" si="65"/>
        <v>8465</v>
      </c>
      <c r="E1345" s="1" t="str">
        <f>"011093369"</f>
        <v>011093369</v>
      </c>
      <c r="F1345" s="1" t="s">
        <v>340</v>
      </c>
      <c r="G1345" s="1" t="s">
        <v>15</v>
      </c>
      <c r="H1345" s="1" t="str">
        <f>"1"</f>
        <v>1</v>
      </c>
      <c r="I1345" s="3">
        <v>12.33</v>
      </c>
      <c r="J1345" s="4">
        <v>46094</v>
      </c>
      <c r="K1345" s="1" t="s">
        <v>3061</v>
      </c>
    </row>
    <row r="1346" spans="1:11" x14ac:dyDescent="0.35">
      <c r="A1346" s="1" t="s">
        <v>2641</v>
      </c>
      <c r="B1346" s="1" t="s">
        <v>2690</v>
      </c>
      <c r="C1346" s="1" t="s">
        <v>3110</v>
      </c>
      <c r="D1346" s="1" t="str">
        <f t="shared" si="65"/>
        <v>8465</v>
      </c>
      <c r="E1346" s="1" t="str">
        <f>"011093369"</f>
        <v>011093369</v>
      </c>
      <c r="F1346" s="1" t="s">
        <v>340</v>
      </c>
      <c r="G1346" s="1" t="s">
        <v>15</v>
      </c>
      <c r="H1346" s="1" t="str">
        <f>"3"</f>
        <v>3</v>
      </c>
      <c r="I1346" s="3">
        <v>12.33</v>
      </c>
      <c r="J1346" s="4">
        <v>46094</v>
      </c>
      <c r="K1346" s="1" t="s">
        <v>3061</v>
      </c>
    </row>
    <row r="1347" spans="1:11" x14ac:dyDescent="0.35">
      <c r="A1347" s="1" t="s">
        <v>2641</v>
      </c>
      <c r="B1347" s="1" t="s">
        <v>2690</v>
      </c>
      <c r="C1347" s="1" t="s">
        <v>3111</v>
      </c>
      <c r="D1347" s="1" t="str">
        <f t="shared" si="65"/>
        <v>8465</v>
      </c>
      <c r="E1347" s="1" t="str">
        <f>"011093369"</f>
        <v>011093369</v>
      </c>
      <c r="F1347" s="1" t="s">
        <v>340</v>
      </c>
      <c r="G1347" s="1" t="s">
        <v>15</v>
      </c>
      <c r="H1347" s="1" t="str">
        <f>"6"</f>
        <v>6</v>
      </c>
      <c r="I1347" s="3">
        <v>12.33</v>
      </c>
      <c r="J1347" s="4">
        <v>46094</v>
      </c>
      <c r="K1347" s="1" t="s">
        <v>3061</v>
      </c>
    </row>
    <row r="1348" spans="1:11" x14ac:dyDescent="0.35">
      <c r="A1348" s="1" t="s">
        <v>2641</v>
      </c>
      <c r="B1348" s="1" t="s">
        <v>2690</v>
      </c>
      <c r="C1348" s="1" t="s">
        <v>3112</v>
      </c>
      <c r="D1348" s="1" t="str">
        <f t="shared" si="65"/>
        <v>8465</v>
      </c>
      <c r="E1348" s="1" t="str">
        <f>"011093369"</f>
        <v>011093369</v>
      </c>
      <c r="F1348" s="1" t="s">
        <v>340</v>
      </c>
      <c r="G1348" s="1" t="s">
        <v>15</v>
      </c>
      <c r="H1348" s="1" t="str">
        <f>"1"</f>
        <v>1</v>
      </c>
      <c r="I1348" s="3">
        <v>12.33</v>
      </c>
      <c r="J1348" s="4">
        <v>46094</v>
      </c>
      <c r="K1348" s="1" t="s">
        <v>3061</v>
      </c>
    </row>
    <row r="1349" spans="1:11" x14ac:dyDescent="0.35">
      <c r="A1349" s="1" t="s">
        <v>2641</v>
      </c>
      <c r="B1349" s="1" t="s">
        <v>2656</v>
      </c>
      <c r="C1349" s="1" t="s">
        <v>2657</v>
      </c>
      <c r="D1349" s="1" t="str">
        <f>"4130"</f>
        <v>4130</v>
      </c>
      <c r="E1349" s="1" t="str">
        <f>"014825062"</f>
        <v>014825062</v>
      </c>
      <c r="F1349" s="1" t="s">
        <v>2658</v>
      </c>
      <c r="G1349" s="1" t="s">
        <v>15</v>
      </c>
      <c r="H1349" s="1" t="str">
        <f>"2"</f>
        <v>2</v>
      </c>
      <c r="I1349" s="3">
        <v>93.69</v>
      </c>
      <c r="J1349" s="4">
        <v>46102</v>
      </c>
      <c r="K1349" s="1" t="s">
        <v>2659</v>
      </c>
    </row>
    <row r="1350" spans="1:11" x14ac:dyDescent="0.35">
      <c r="A1350" s="1" t="s">
        <v>2641</v>
      </c>
      <c r="B1350" s="1" t="s">
        <v>2656</v>
      </c>
      <c r="C1350" s="1" t="s">
        <v>2681</v>
      </c>
      <c r="D1350" s="1" t="str">
        <f>"8465"</f>
        <v>8465</v>
      </c>
      <c r="E1350" s="1" t="str">
        <f>"015901369"</f>
        <v>015901369</v>
      </c>
      <c r="F1350" s="1" t="s">
        <v>2682</v>
      </c>
      <c r="G1350" s="1" t="s">
        <v>15</v>
      </c>
      <c r="H1350" s="1" t="str">
        <f>"2"</f>
        <v>2</v>
      </c>
      <c r="I1350" s="3">
        <v>17.829999999999998</v>
      </c>
      <c r="J1350" s="4">
        <v>46102</v>
      </c>
      <c r="K1350" s="1" t="s">
        <v>2683</v>
      </c>
    </row>
    <row r="1351" spans="1:11" x14ac:dyDescent="0.35">
      <c r="A1351" s="1" t="s">
        <v>2641</v>
      </c>
      <c r="B1351" s="1" t="s">
        <v>2656</v>
      </c>
      <c r="C1351" s="1" t="s">
        <v>2684</v>
      </c>
      <c r="D1351" s="1" t="str">
        <f>"8465"</f>
        <v>8465</v>
      </c>
      <c r="E1351" s="1" t="str">
        <f>"015800981"</f>
        <v>015800981</v>
      </c>
      <c r="F1351" s="1" t="s">
        <v>343</v>
      </c>
      <c r="G1351" s="1" t="s">
        <v>15</v>
      </c>
      <c r="H1351" s="1" t="str">
        <f>"2"</f>
        <v>2</v>
      </c>
      <c r="I1351" s="3">
        <v>75.150000000000006</v>
      </c>
      <c r="J1351" s="4">
        <v>46102</v>
      </c>
      <c r="K1351" s="1" t="s">
        <v>2685</v>
      </c>
    </row>
    <row r="1352" spans="1:11" x14ac:dyDescent="0.35">
      <c r="A1352" s="1" t="s">
        <v>2641</v>
      </c>
      <c r="B1352" s="1" t="s">
        <v>2656</v>
      </c>
      <c r="C1352" s="1" t="s">
        <v>2686</v>
      </c>
      <c r="D1352" s="1" t="str">
        <f>"8465"</f>
        <v>8465</v>
      </c>
      <c r="E1352" s="1" t="str">
        <f>"016416358"</f>
        <v>016416358</v>
      </c>
      <c r="F1352" s="1" t="s">
        <v>856</v>
      </c>
      <c r="G1352" s="1" t="s">
        <v>15</v>
      </c>
      <c r="H1352" s="1" t="str">
        <f>"2"</f>
        <v>2</v>
      </c>
      <c r="I1352" s="3">
        <v>116.7</v>
      </c>
      <c r="J1352" s="4">
        <v>46102</v>
      </c>
      <c r="K1352" s="1" t="s">
        <v>2685</v>
      </c>
    </row>
    <row r="1353" spans="1:11" x14ac:dyDescent="0.35">
      <c r="A1353" s="1" t="s">
        <v>2641</v>
      </c>
      <c r="B1353" s="1" t="s">
        <v>2690</v>
      </c>
      <c r="C1353" s="1" t="s">
        <v>2954</v>
      </c>
      <c r="D1353" s="1" t="str">
        <f>"8340"</f>
        <v>8340</v>
      </c>
      <c r="E1353" s="1" t="str">
        <f>"016288855"</f>
        <v>016288855</v>
      </c>
      <c r="F1353" s="1" t="s">
        <v>2955</v>
      </c>
      <c r="G1353" s="1" t="s">
        <v>15</v>
      </c>
      <c r="H1353" s="1" t="str">
        <f>"4"</f>
        <v>4</v>
      </c>
      <c r="I1353" s="3">
        <v>396.38</v>
      </c>
      <c r="J1353" s="4">
        <v>46102</v>
      </c>
      <c r="K1353" s="1" t="s">
        <v>2956</v>
      </c>
    </row>
    <row r="1354" spans="1:11" x14ac:dyDescent="0.35">
      <c r="A1354" s="1" t="s">
        <v>2641</v>
      </c>
      <c r="B1354" s="1" t="s">
        <v>2690</v>
      </c>
      <c r="C1354" s="1" t="s">
        <v>2957</v>
      </c>
      <c r="D1354" s="1" t="str">
        <f>"8340"</f>
        <v>8340</v>
      </c>
      <c r="E1354" s="1" t="str">
        <f>"016728427"</f>
        <v>016728427</v>
      </c>
      <c r="F1354" s="1" t="s">
        <v>2958</v>
      </c>
      <c r="G1354" s="1" t="s">
        <v>15</v>
      </c>
      <c r="H1354" s="1" t="str">
        <f>"3"</f>
        <v>3</v>
      </c>
      <c r="I1354" s="3">
        <v>152.96</v>
      </c>
      <c r="J1354" s="4">
        <v>46102</v>
      </c>
      <c r="K1354" s="1" t="s">
        <v>2959</v>
      </c>
    </row>
    <row r="1355" spans="1:11" x14ac:dyDescent="0.35">
      <c r="A1355" s="1" t="s">
        <v>2641</v>
      </c>
      <c r="B1355" s="1" t="s">
        <v>2690</v>
      </c>
      <c r="C1355" s="1" t="s">
        <v>2962</v>
      </c>
      <c r="D1355" s="1" t="str">
        <f>"8340"</f>
        <v>8340</v>
      </c>
      <c r="E1355" s="1" t="str">
        <f>"016288855"</f>
        <v>016288855</v>
      </c>
      <c r="F1355" s="1" t="s">
        <v>2955</v>
      </c>
      <c r="G1355" s="1" t="s">
        <v>15</v>
      </c>
      <c r="H1355" s="1" t="str">
        <f>"2"</f>
        <v>2</v>
      </c>
      <c r="I1355" s="3">
        <v>396.38</v>
      </c>
      <c r="J1355" s="4">
        <v>46102</v>
      </c>
      <c r="K1355" s="1" t="s">
        <v>2956</v>
      </c>
    </row>
    <row r="1356" spans="1:11" x14ac:dyDescent="0.35">
      <c r="A1356" s="1" t="s">
        <v>2641</v>
      </c>
      <c r="B1356" s="1" t="s">
        <v>3124</v>
      </c>
      <c r="C1356" s="1" t="s">
        <v>3137</v>
      </c>
      <c r="D1356" s="1" t="str">
        <f>"5120"</f>
        <v>5120</v>
      </c>
      <c r="E1356" s="1" t="str">
        <f>"002041999"</f>
        <v>002041999</v>
      </c>
      <c r="F1356" s="1" t="s">
        <v>2796</v>
      </c>
      <c r="G1356" s="1" t="s">
        <v>257</v>
      </c>
      <c r="H1356" s="1" t="str">
        <f>"3"</f>
        <v>3</v>
      </c>
      <c r="I1356" s="3">
        <v>818.4</v>
      </c>
      <c r="J1356" s="4">
        <v>46102</v>
      </c>
      <c r="K1356" s="1" t="s">
        <v>3138</v>
      </c>
    </row>
    <row r="1357" spans="1:11" x14ac:dyDescent="0.35">
      <c r="A1357" s="1" t="s">
        <v>2641</v>
      </c>
      <c r="B1357" s="1" t="s">
        <v>3124</v>
      </c>
      <c r="C1357" s="1" t="s">
        <v>3185</v>
      </c>
      <c r="D1357" s="1" t="str">
        <f t="shared" ref="D1357:D1394" si="66">"8415"</f>
        <v>8415</v>
      </c>
      <c r="E1357" s="1" t="str">
        <f>"015802323"</f>
        <v>015802323</v>
      </c>
      <c r="F1357" s="1" t="s">
        <v>49</v>
      </c>
      <c r="G1357" s="1" t="s">
        <v>47</v>
      </c>
      <c r="H1357" s="1" t="str">
        <f>"1"</f>
        <v>1</v>
      </c>
      <c r="I1357" s="3">
        <v>123.49</v>
      </c>
      <c r="J1357" s="4">
        <v>46102</v>
      </c>
      <c r="K1357" s="1" t="s">
        <v>3145</v>
      </c>
    </row>
    <row r="1358" spans="1:11" x14ac:dyDescent="0.35">
      <c r="A1358" s="1" t="s">
        <v>2641</v>
      </c>
      <c r="B1358" s="1" t="s">
        <v>3124</v>
      </c>
      <c r="C1358" s="1" t="s">
        <v>3186</v>
      </c>
      <c r="D1358" s="1" t="str">
        <f t="shared" si="66"/>
        <v>8415</v>
      </c>
      <c r="E1358" s="1" t="str">
        <f>"015802988"</f>
        <v>015802988</v>
      </c>
      <c r="F1358" s="1" t="s">
        <v>758</v>
      </c>
      <c r="G1358" s="1" t="s">
        <v>47</v>
      </c>
      <c r="H1358" s="1" t="str">
        <f>"2"</f>
        <v>2</v>
      </c>
      <c r="I1358" s="3">
        <v>113.3</v>
      </c>
      <c r="J1358" s="4">
        <v>46102</v>
      </c>
      <c r="K1358" s="1" t="s">
        <v>3145</v>
      </c>
    </row>
    <row r="1359" spans="1:11" x14ac:dyDescent="0.35">
      <c r="A1359" s="1" t="s">
        <v>2641</v>
      </c>
      <c r="B1359" s="1" t="s">
        <v>3124</v>
      </c>
      <c r="C1359" s="1" t="s">
        <v>3187</v>
      </c>
      <c r="D1359" s="1" t="str">
        <f t="shared" si="66"/>
        <v>8415</v>
      </c>
      <c r="E1359" s="1" t="str">
        <f>"015802782"</f>
        <v>015802782</v>
      </c>
      <c r="F1359" s="1" t="s">
        <v>18</v>
      </c>
      <c r="G1359" s="1" t="s">
        <v>15</v>
      </c>
      <c r="H1359" s="1" t="str">
        <f>"2"</f>
        <v>2</v>
      </c>
      <c r="I1359" s="3">
        <v>146.81</v>
      </c>
      <c r="J1359" s="4">
        <v>46102</v>
      </c>
      <c r="K1359" s="1" t="s">
        <v>3145</v>
      </c>
    </row>
    <row r="1360" spans="1:11" x14ac:dyDescent="0.35">
      <c r="A1360" s="1" t="s">
        <v>2641</v>
      </c>
      <c r="B1360" s="1" t="s">
        <v>3124</v>
      </c>
      <c r="C1360" s="1" t="s">
        <v>3188</v>
      </c>
      <c r="D1360" s="1" t="str">
        <f t="shared" si="66"/>
        <v>8415</v>
      </c>
      <c r="E1360" s="1" t="str">
        <f>"015802984"</f>
        <v>015802984</v>
      </c>
      <c r="F1360" s="1" t="s">
        <v>758</v>
      </c>
      <c r="G1360" s="1" t="s">
        <v>47</v>
      </c>
      <c r="H1360" s="1" t="str">
        <f>"2"</f>
        <v>2</v>
      </c>
      <c r="I1360" s="3">
        <v>113.3</v>
      </c>
      <c r="J1360" s="4">
        <v>46102</v>
      </c>
      <c r="K1360" s="1" t="s">
        <v>3145</v>
      </c>
    </row>
    <row r="1361" spans="1:11" x14ac:dyDescent="0.35">
      <c r="A1361" s="1" t="s">
        <v>2641</v>
      </c>
      <c r="B1361" s="1" t="s">
        <v>3124</v>
      </c>
      <c r="C1361" s="1" t="s">
        <v>3189</v>
      </c>
      <c r="D1361" s="1" t="str">
        <f t="shared" si="66"/>
        <v>8415</v>
      </c>
      <c r="E1361" s="1" t="str">
        <f>"015802468"</f>
        <v>015802468</v>
      </c>
      <c r="F1361" s="1" t="s">
        <v>22</v>
      </c>
      <c r="G1361" s="1" t="s">
        <v>47</v>
      </c>
      <c r="H1361" s="1" t="str">
        <f>"3"</f>
        <v>3</v>
      </c>
      <c r="I1361" s="3">
        <v>120.1</v>
      </c>
      <c r="J1361" s="4">
        <v>46102</v>
      </c>
      <c r="K1361" s="1" t="s">
        <v>3145</v>
      </c>
    </row>
    <row r="1362" spans="1:11" x14ac:dyDescent="0.35">
      <c r="A1362" s="1" t="s">
        <v>2641</v>
      </c>
      <c r="B1362" s="1" t="s">
        <v>3124</v>
      </c>
      <c r="C1362" s="1" t="s">
        <v>3190</v>
      </c>
      <c r="D1362" s="1" t="str">
        <f t="shared" si="66"/>
        <v>8415</v>
      </c>
      <c r="E1362" s="1" t="str">
        <f>"015802468"</f>
        <v>015802468</v>
      </c>
      <c r="F1362" s="1" t="s">
        <v>22</v>
      </c>
      <c r="G1362" s="1" t="s">
        <v>47</v>
      </c>
      <c r="H1362" s="1" t="str">
        <f>"6"</f>
        <v>6</v>
      </c>
      <c r="I1362" s="3">
        <v>120.1</v>
      </c>
      <c r="J1362" s="4">
        <v>46102</v>
      </c>
      <c r="K1362" s="1" t="s">
        <v>3145</v>
      </c>
    </row>
    <row r="1363" spans="1:11" x14ac:dyDescent="0.35">
      <c r="A1363" s="1" t="s">
        <v>2641</v>
      </c>
      <c r="B1363" s="1" t="s">
        <v>3124</v>
      </c>
      <c r="C1363" s="1" t="s">
        <v>3191</v>
      </c>
      <c r="D1363" s="1" t="str">
        <f t="shared" si="66"/>
        <v>8415</v>
      </c>
      <c r="E1363" s="1" t="str">
        <f>"015802984"</f>
        <v>015802984</v>
      </c>
      <c r="F1363" s="1" t="s">
        <v>758</v>
      </c>
      <c r="G1363" s="1" t="s">
        <v>47</v>
      </c>
      <c r="H1363" s="1" t="str">
        <f>"3"</f>
        <v>3</v>
      </c>
      <c r="I1363" s="3">
        <v>113.3</v>
      </c>
      <c r="J1363" s="4">
        <v>46102</v>
      </c>
      <c r="K1363" s="1" t="s">
        <v>3145</v>
      </c>
    </row>
    <row r="1364" spans="1:11" x14ac:dyDescent="0.35">
      <c r="A1364" s="1" t="s">
        <v>2641</v>
      </c>
      <c r="B1364" s="1" t="s">
        <v>3124</v>
      </c>
      <c r="C1364" s="1" t="s">
        <v>3192</v>
      </c>
      <c r="D1364" s="1" t="str">
        <f t="shared" si="66"/>
        <v>8415</v>
      </c>
      <c r="E1364" s="1" t="str">
        <f>"015802323"</f>
        <v>015802323</v>
      </c>
      <c r="F1364" s="1" t="s">
        <v>49</v>
      </c>
      <c r="G1364" s="1" t="s">
        <v>47</v>
      </c>
      <c r="H1364" s="1" t="str">
        <f>"1"</f>
        <v>1</v>
      </c>
      <c r="I1364" s="3">
        <v>123.49</v>
      </c>
      <c r="J1364" s="4">
        <v>46102</v>
      </c>
      <c r="K1364" s="1" t="s">
        <v>3193</v>
      </c>
    </row>
    <row r="1365" spans="1:11" x14ac:dyDescent="0.35">
      <c r="A1365" s="1" t="s">
        <v>2641</v>
      </c>
      <c r="B1365" s="1" t="s">
        <v>3124</v>
      </c>
      <c r="C1365" s="1" t="s">
        <v>3194</v>
      </c>
      <c r="D1365" s="1" t="str">
        <f t="shared" si="66"/>
        <v>8415</v>
      </c>
      <c r="E1365" s="1" t="str">
        <f>"015802502"</f>
        <v>015802502</v>
      </c>
      <c r="F1365" s="1" t="s">
        <v>22</v>
      </c>
      <c r="G1365" s="1" t="s">
        <v>47</v>
      </c>
      <c r="H1365" s="1" t="str">
        <f>"1"</f>
        <v>1</v>
      </c>
      <c r="I1365" s="3">
        <v>120.1</v>
      </c>
      <c r="J1365" s="4">
        <v>46102</v>
      </c>
      <c r="K1365" s="1" t="s">
        <v>3193</v>
      </c>
    </row>
    <row r="1366" spans="1:11" x14ac:dyDescent="0.35">
      <c r="A1366" s="1" t="s">
        <v>2641</v>
      </c>
      <c r="B1366" s="1" t="s">
        <v>3124</v>
      </c>
      <c r="C1366" s="1" t="s">
        <v>3195</v>
      </c>
      <c r="D1366" s="1" t="str">
        <f t="shared" si="66"/>
        <v>8415</v>
      </c>
      <c r="E1366" s="1" t="str">
        <f>"015802497"</f>
        <v>015802497</v>
      </c>
      <c r="F1366" s="1" t="s">
        <v>22</v>
      </c>
      <c r="G1366" s="1" t="s">
        <v>47</v>
      </c>
      <c r="H1366" s="1" t="str">
        <f>"3"</f>
        <v>3</v>
      </c>
      <c r="I1366" s="3">
        <v>120.1</v>
      </c>
      <c r="J1366" s="4">
        <v>46102</v>
      </c>
      <c r="K1366" s="1" t="s">
        <v>3193</v>
      </c>
    </row>
    <row r="1367" spans="1:11" x14ac:dyDescent="0.35">
      <c r="A1367" s="1" t="s">
        <v>2641</v>
      </c>
      <c r="B1367" s="1" t="s">
        <v>3124</v>
      </c>
      <c r="C1367" s="1" t="s">
        <v>3196</v>
      </c>
      <c r="D1367" s="1" t="str">
        <f t="shared" si="66"/>
        <v>8415</v>
      </c>
      <c r="E1367" s="1" t="str">
        <f>"015802782"</f>
        <v>015802782</v>
      </c>
      <c r="F1367" s="1" t="s">
        <v>18</v>
      </c>
      <c r="G1367" s="1" t="s">
        <v>15</v>
      </c>
      <c r="H1367" s="1" t="str">
        <f>"3"</f>
        <v>3</v>
      </c>
      <c r="I1367" s="3">
        <v>146.81</v>
      </c>
      <c r="J1367" s="4">
        <v>46102</v>
      </c>
      <c r="K1367" s="1" t="s">
        <v>3193</v>
      </c>
    </row>
    <row r="1368" spans="1:11" x14ac:dyDescent="0.35">
      <c r="A1368" s="1" t="s">
        <v>2641</v>
      </c>
      <c r="B1368" s="1" t="s">
        <v>3124</v>
      </c>
      <c r="C1368" s="1" t="s">
        <v>3197</v>
      </c>
      <c r="D1368" s="1" t="str">
        <f t="shared" si="66"/>
        <v>8415</v>
      </c>
      <c r="E1368" s="1" t="str">
        <f>"015802493"</f>
        <v>015802493</v>
      </c>
      <c r="F1368" s="1" t="s">
        <v>22</v>
      </c>
      <c r="G1368" s="1" t="s">
        <v>47</v>
      </c>
      <c r="H1368" s="1" t="str">
        <f>"2"</f>
        <v>2</v>
      </c>
      <c r="I1368" s="3">
        <v>123.49</v>
      </c>
      <c r="J1368" s="4">
        <v>46102</v>
      </c>
      <c r="K1368" s="1" t="s">
        <v>3193</v>
      </c>
    </row>
    <row r="1369" spans="1:11" x14ac:dyDescent="0.35">
      <c r="A1369" s="1" t="s">
        <v>2641</v>
      </c>
      <c r="B1369" s="1" t="s">
        <v>3124</v>
      </c>
      <c r="C1369" s="1" t="s">
        <v>3198</v>
      </c>
      <c r="D1369" s="1" t="str">
        <f t="shared" si="66"/>
        <v>8415</v>
      </c>
      <c r="E1369" s="1" t="str">
        <f>"015802861"</f>
        <v>015802861</v>
      </c>
      <c r="F1369" s="1" t="s">
        <v>18</v>
      </c>
      <c r="G1369" s="1" t="s">
        <v>15</v>
      </c>
      <c r="H1369" s="1" t="str">
        <f>"1"</f>
        <v>1</v>
      </c>
      <c r="I1369" s="3">
        <v>146.81</v>
      </c>
      <c r="J1369" s="4">
        <v>46102</v>
      </c>
      <c r="K1369" s="1" t="s">
        <v>3193</v>
      </c>
    </row>
    <row r="1370" spans="1:11" x14ac:dyDescent="0.35">
      <c r="A1370" s="1" t="s">
        <v>2641</v>
      </c>
      <c r="B1370" s="1" t="s">
        <v>3124</v>
      </c>
      <c r="C1370" s="1" t="s">
        <v>3199</v>
      </c>
      <c r="D1370" s="1" t="str">
        <f t="shared" si="66"/>
        <v>8415</v>
      </c>
      <c r="E1370" s="1" t="str">
        <f>"015802854"</f>
        <v>015802854</v>
      </c>
      <c r="F1370" s="1" t="s">
        <v>18</v>
      </c>
      <c r="G1370" s="1" t="s">
        <v>15</v>
      </c>
      <c r="H1370" s="1" t="str">
        <f>"3"</f>
        <v>3</v>
      </c>
      <c r="I1370" s="3">
        <v>146.83000000000001</v>
      </c>
      <c r="J1370" s="4">
        <v>46102</v>
      </c>
      <c r="K1370" s="1" t="s">
        <v>3193</v>
      </c>
    </row>
    <row r="1371" spans="1:11" x14ac:dyDescent="0.35">
      <c r="A1371" s="1" t="s">
        <v>2641</v>
      </c>
      <c r="B1371" s="1" t="s">
        <v>3124</v>
      </c>
      <c r="C1371" s="1" t="s">
        <v>3200</v>
      </c>
      <c r="D1371" s="1" t="str">
        <f t="shared" si="66"/>
        <v>8415</v>
      </c>
      <c r="E1371" s="1" t="str">
        <f>"015802788"</f>
        <v>015802788</v>
      </c>
      <c r="F1371" s="1" t="s">
        <v>18</v>
      </c>
      <c r="G1371" s="1" t="s">
        <v>15</v>
      </c>
      <c r="H1371" s="1" t="str">
        <f>"3"</f>
        <v>3</v>
      </c>
      <c r="I1371" s="3">
        <v>146.81</v>
      </c>
      <c r="J1371" s="4">
        <v>46102</v>
      </c>
      <c r="K1371" s="1" t="s">
        <v>3193</v>
      </c>
    </row>
    <row r="1372" spans="1:11" x14ac:dyDescent="0.35">
      <c r="A1372" s="1" t="s">
        <v>2641</v>
      </c>
      <c r="B1372" s="1" t="s">
        <v>3124</v>
      </c>
      <c r="C1372" s="1" t="s">
        <v>3201</v>
      </c>
      <c r="D1372" s="1" t="str">
        <f t="shared" si="66"/>
        <v>8415</v>
      </c>
      <c r="E1372" s="1" t="str">
        <f>"015802502"</f>
        <v>015802502</v>
      </c>
      <c r="F1372" s="1" t="s">
        <v>22</v>
      </c>
      <c r="G1372" s="1" t="s">
        <v>47</v>
      </c>
      <c r="H1372" s="1" t="str">
        <f>"1"</f>
        <v>1</v>
      </c>
      <c r="I1372" s="3">
        <v>120.1</v>
      </c>
      <c r="J1372" s="4">
        <v>46102</v>
      </c>
      <c r="K1372" s="1" t="s">
        <v>3193</v>
      </c>
    </row>
    <row r="1373" spans="1:11" x14ac:dyDescent="0.35">
      <c r="A1373" s="1" t="s">
        <v>2641</v>
      </c>
      <c r="B1373" s="1" t="s">
        <v>3124</v>
      </c>
      <c r="C1373" s="1" t="s">
        <v>3202</v>
      </c>
      <c r="D1373" s="1" t="str">
        <f t="shared" si="66"/>
        <v>8415</v>
      </c>
      <c r="E1373" s="1" t="str">
        <f>"015802988"</f>
        <v>015802988</v>
      </c>
      <c r="F1373" s="1" t="s">
        <v>758</v>
      </c>
      <c r="G1373" s="1" t="s">
        <v>47</v>
      </c>
      <c r="H1373" s="1" t="str">
        <f>"2"</f>
        <v>2</v>
      </c>
      <c r="I1373" s="3">
        <v>113.3</v>
      </c>
      <c r="J1373" s="4">
        <v>46102</v>
      </c>
      <c r="K1373" s="1" t="s">
        <v>3193</v>
      </c>
    </row>
    <row r="1374" spans="1:11" x14ac:dyDescent="0.35">
      <c r="A1374" s="1" t="s">
        <v>2641</v>
      </c>
      <c r="B1374" s="1" t="s">
        <v>3124</v>
      </c>
      <c r="C1374" s="1" t="s">
        <v>3203</v>
      </c>
      <c r="D1374" s="1" t="str">
        <f t="shared" si="66"/>
        <v>8415</v>
      </c>
      <c r="E1374" s="1" t="str">
        <f>"015802468"</f>
        <v>015802468</v>
      </c>
      <c r="F1374" s="1" t="s">
        <v>22</v>
      </c>
      <c r="G1374" s="1" t="s">
        <v>47</v>
      </c>
      <c r="H1374" s="1" t="str">
        <f>"1"</f>
        <v>1</v>
      </c>
      <c r="I1374" s="3">
        <v>120.1</v>
      </c>
      <c r="J1374" s="4">
        <v>46102</v>
      </c>
      <c r="K1374" s="1" t="s">
        <v>3193</v>
      </c>
    </row>
    <row r="1375" spans="1:11" x14ac:dyDescent="0.35">
      <c r="A1375" s="1" t="s">
        <v>2641</v>
      </c>
      <c r="B1375" s="1" t="s">
        <v>3124</v>
      </c>
      <c r="C1375" s="1" t="s">
        <v>3204</v>
      </c>
      <c r="D1375" s="1" t="str">
        <f t="shared" si="66"/>
        <v>8415</v>
      </c>
      <c r="E1375" s="1" t="str">
        <f>"015802468"</f>
        <v>015802468</v>
      </c>
      <c r="F1375" s="1" t="s">
        <v>22</v>
      </c>
      <c r="G1375" s="1" t="s">
        <v>47</v>
      </c>
      <c r="H1375" s="1" t="str">
        <f>"2"</f>
        <v>2</v>
      </c>
      <c r="I1375" s="3">
        <v>120.1</v>
      </c>
      <c r="J1375" s="4">
        <v>46102</v>
      </c>
      <c r="K1375" s="1" t="s">
        <v>3193</v>
      </c>
    </row>
    <row r="1376" spans="1:11" x14ac:dyDescent="0.35">
      <c r="A1376" s="1" t="s">
        <v>2641</v>
      </c>
      <c r="B1376" s="1" t="s">
        <v>3124</v>
      </c>
      <c r="C1376" s="1" t="s">
        <v>3205</v>
      </c>
      <c r="D1376" s="1" t="str">
        <f t="shared" si="66"/>
        <v>8415</v>
      </c>
      <c r="E1376" s="1" t="str">
        <f>"015802984"</f>
        <v>015802984</v>
      </c>
      <c r="F1376" s="1" t="s">
        <v>758</v>
      </c>
      <c r="G1376" s="1" t="s">
        <v>47</v>
      </c>
      <c r="H1376" s="1" t="str">
        <f>"1"</f>
        <v>1</v>
      </c>
      <c r="I1376" s="3">
        <v>113.3</v>
      </c>
      <c r="J1376" s="4">
        <v>46102</v>
      </c>
      <c r="K1376" s="1" t="s">
        <v>3193</v>
      </c>
    </row>
    <row r="1377" spans="1:11" x14ac:dyDescent="0.35">
      <c r="A1377" s="1" t="s">
        <v>2641</v>
      </c>
      <c r="B1377" s="1" t="s">
        <v>3124</v>
      </c>
      <c r="C1377" s="1" t="s">
        <v>3206</v>
      </c>
      <c r="D1377" s="1" t="str">
        <f t="shared" si="66"/>
        <v>8415</v>
      </c>
      <c r="E1377" s="1" t="str">
        <f>"015802493"</f>
        <v>015802493</v>
      </c>
      <c r="F1377" s="1" t="s">
        <v>22</v>
      </c>
      <c r="G1377" s="1" t="s">
        <v>47</v>
      </c>
      <c r="H1377" s="1" t="str">
        <f>"1"</f>
        <v>1</v>
      </c>
      <c r="I1377" s="3">
        <v>123.49</v>
      </c>
      <c r="J1377" s="4">
        <v>46102</v>
      </c>
      <c r="K1377" s="1" t="s">
        <v>3193</v>
      </c>
    </row>
    <row r="1378" spans="1:11" x14ac:dyDescent="0.35">
      <c r="A1378" s="1" t="s">
        <v>2641</v>
      </c>
      <c r="B1378" s="1" t="s">
        <v>3124</v>
      </c>
      <c r="C1378" s="1" t="s">
        <v>3207</v>
      </c>
      <c r="D1378" s="1" t="str">
        <f t="shared" si="66"/>
        <v>8415</v>
      </c>
      <c r="E1378" s="1" t="str">
        <f>"015802788"</f>
        <v>015802788</v>
      </c>
      <c r="F1378" s="1" t="s">
        <v>18</v>
      </c>
      <c r="G1378" s="1" t="s">
        <v>15</v>
      </c>
      <c r="H1378" s="1" t="str">
        <f>"2"</f>
        <v>2</v>
      </c>
      <c r="I1378" s="3">
        <v>146.81</v>
      </c>
      <c r="J1378" s="4">
        <v>46102</v>
      </c>
      <c r="K1378" s="1" t="s">
        <v>3193</v>
      </c>
    </row>
    <row r="1379" spans="1:11" x14ac:dyDescent="0.35">
      <c r="A1379" s="1" t="s">
        <v>2641</v>
      </c>
      <c r="B1379" s="1" t="s">
        <v>3124</v>
      </c>
      <c r="C1379" s="1" t="s">
        <v>3208</v>
      </c>
      <c r="D1379" s="1" t="str">
        <f t="shared" si="66"/>
        <v>8415</v>
      </c>
      <c r="E1379" s="1" t="str">
        <f>"015802497"</f>
        <v>015802497</v>
      </c>
      <c r="F1379" s="1" t="s">
        <v>22</v>
      </c>
      <c r="G1379" s="1" t="s">
        <v>47</v>
      </c>
      <c r="H1379" s="1" t="str">
        <f>"4"</f>
        <v>4</v>
      </c>
      <c r="I1379" s="3">
        <v>120.1</v>
      </c>
      <c r="J1379" s="4">
        <v>46102</v>
      </c>
      <c r="K1379" s="1" t="s">
        <v>3193</v>
      </c>
    </row>
    <row r="1380" spans="1:11" x14ac:dyDescent="0.35">
      <c r="A1380" s="1" t="s">
        <v>2641</v>
      </c>
      <c r="B1380" s="1" t="s">
        <v>3124</v>
      </c>
      <c r="C1380" s="1" t="s">
        <v>3209</v>
      </c>
      <c r="D1380" s="1" t="str">
        <f t="shared" si="66"/>
        <v>8415</v>
      </c>
      <c r="E1380" s="1" t="str">
        <f>"015801358"</f>
        <v>015801358</v>
      </c>
      <c r="F1380" s="1" t="s">
        <v>761</v>
      </c>
      <c r="G1380" s="1" t="s">
        <v>15</v>
      </c>
      <c r="H1380" s="1" t="str">
        <f>"3"</f>
        <v>3</v>
      </c>
      <c r="I1380" s="3">
        <v>80.94</v>
      </c>
      <c r="J1380" s="4">
        <v>46102</v>
      </c>
      <c r="K1380" s="1" t="s">
        <v>3145</v>
      </c>
    </row>
    <row r="1381" spans="1:11" x14ac:dyDescent="0.35">
      <c r="A1381" s="1" t="s">
        <v>2641</v>
      </c>
      <c r="B1381" s="1" t="s">
        <v>3124</v>
      </c>
      <c r="C1381" s="1" t="s">
        <v>3210</v>
      </c>
      <c r="D1381" s="1" t="str">
        <f t="shared" si="66"/>
        <v>8415</v>
      </c>
      <c r="E1381" s="1" t="str">
        <f>"015802782"</f>
        <v>015802782</v>
      </c>
      <c r="F1381" s="1" t="s">
        <v>18</v>
      </c>
      <c r="G1381" s="1" t="s">
        <v>15</v>
      </c>
      <c r="H1381" s="1" t="str">
        <f>"4"</f>
        <v>4</v>
      </c>
      <c r="I1381" s="3">
        <v>146.81</v>
      </c>
      <c r="J1381" s="4">
        <v>46102</v>
      </c>
      <c r="K1381" s="1" t="s">
        <v>3145</v>
      </c>
    </row>
    <row r="1382" spans="1:11" x14ac:dyDescent="0.35">
      <c r="A1382" s="1" t="s">
        <v>2641</v>
      </c>
      <c r="B1382" s="1" t="s">
        <v>3124</v>
      </c>
      <c r="C1382" s="1" t="s">
        <v>3211</v>
      </c>
      <c r="D1382" s="1" t="str">
        <f t="shared" si="66"/>
        <v>8415</v>
      </c>
      <c r="E1382" s="1" t="str">
        <f>"015802854"</f>
        <v>015802854</v>
      </c>
      <c r="F1382" s="1" t="s">
        <v>18</v>
      </c>
      <c r="G1382" s="1" t="s">
        <v>15</v>
      </c>
      <c r="H1382" s="1" t="str">
        <f>"3"</f>
        <v>3</v>
      </c>
      <c r="I1382" s="3">
        <v>146.83000000000001</v>
      </c>
      <c r="J1382" s="4">
        <v>46102</v>
      </c>
      <c r="K1382" s="1" t="s">
        <v>3145</v>
      </c>
    </row>
    <row r="1383" spans="1:11" x14ac:dyDescent="0.35">
      <c r="A1383" s="1" t="s">
        <v>2641</v>
      </c>
      <c r="B1383" s="1" t="s">
        <v>3124</v>
      </c>
      <c r="C1383" s="1" t="s">
        <v>3212</v>
      </c>
      <c r="D1383" s="1" t="str">
        <f t="shared" si="66"/>
        <v>8415</v>
      </c>
      <c r="E1383" s="1" t="str">
        <f>"015802788"</f>
        <v>015802788</v>
      </c>
      <c r="F1383" s="1" t="s">
        <v>18</v>
      </c>
      <c r="G1383" s="1" t="s">
        <v>15</v>
      </c>
      <c r="H1383" s="1" t="str">
        <f>"2"</f>
        <v>2</v>
      </c>
      <c r="I1383" s="3">
        <v>146.81</v>
      </c>
      <c r="J1383" s="4">
        <v>46102</v>
      </c>
      <c r="K1383" s="1" t="s">
        <v>3145</v>
      </c>
    </row>
    <row r="1384" spans="1:11" x14ac:dyDescent="0.35">
      <c r="A1384" s="1" t="s">
        <v>2641</v>
      </c>
      <c r="B1384" s="1" t="s">
        <v>3124</v>
      </c>
      <c r="C1384" s="1" t="s">
        <v>3213</v>
      </c>
      <c r="D1384" s="1" t="str">
        <f t="shared" si="66"/>
        <v>8415</v>
      </c>
      <c r="E1384" s="1" t="str">
        <f>"015802861"</f>
        <v>015802861</v>
      </c>
      <c r="F1384" s="1" t="s">
        <v>18</v>
      </c>
      <c r="G1384" s="1" t="s">
        <v>15</v>
      </c>
      <c r="H1384" s="1" t="str">
        <f>"1"</f>
        <v>1</v>
      </c>
      <c r="I1384" s="3">
        <v>146.81</v>
      </c>
      <c r="J1384" s="4">
        <v>46102</v>
      </c>
      <c r="K1384" s="1" t="s">
        <v>3145</v>
      </c>
    </row>
    <row r="1385" spans="1:11" x14ac:dyDescent="0.35">
      <c r="A1385" s="1" t="s">
        <v>2641</v>
      </c>
      <c r="B1385" s="1" t="s">
        <v>3124</v>
      </c>
      <c r="C1385" s="1" t="s">
        <v>3214</v>
      </c>
      <c r="D1385" s="1" t="str">
        <f t="shared" si="66"/>
        <v>8415</v>
      </c>
      <c r="E1385" s="1" t="str">
        <f>"015802984"</f>
        <v>015802984</v>
      </c>
      <c r="F1385" s="1" t="s">
        <v>758</v>
      </c>
      <c r="G1385" s="1" t="s">
        <v>47</v>
      </c>
      <c r="H1385" s="1" t="str">
        <f>"2"</f>
        <v>2</v>
      </c>
      <c r="I1385" s="3">
        <v>113.3</v>
      </c>
      <c r="J1385" s="4">
        <v>46102</v>
      </c>
      <c r="K1385" s="1" t="s">
        <v>3145</v>
      </c>
    </row>
    <row r="1386" spans="1:11" x14ac:dyDescent="0.35">
      <c r="A1386" s="1" t="s">
        <v>2641</v>
      </c>
      <c r="B1386" s="1" t="s">
        <v>3124</v>
      </c>
      <c r="C1386" s="1" t="s">
        <v>3215</v>
      </c>
      <c r="D1386" s="1" t="str">
        <f t="shared" si="66"/>
        <v>8415</v>
      </c>
      <c r="E1386" s="1" t="str">
        <f>"015802778"</f>
        <v>015802778</v>
      </c>
      <c r="F1386" s="1" t="s">
        <v>18</v>
      </c>
      <c r="G1386" s="1" t="s">
        <v>15</v>
      </c>
      <c r="H1386" s="1" t="str">
        <f>"1"</f>
        <v>1</v>
      </c>
      <c r="I1386" s="3">
        <v>150.29</v>
      </c>
      <c r="J1386" s="4">
        <v>46102</v>
      </c>
      <c r="K1386" s="1" t="s">
        <v>3145</v>
      </c>
    </row>
    <row r="1387" spans="1:11" x14ac:dyDescent="0.35">
      <c r="A1387" s="1" t="s">
        <v>2641</v>
      </c>
      <c r="B1387" s="1" t="s">
        <v>3124</v>
      </c>
      <c r="C1387" s="1" t="s">
        <v>3216</v>
      </c>
      <c r="D1387" s="1" t="str">
        <f t="shared" si="66"/>
        <v>8415</v>
      </c>
      <c r="E1387" s="1" t="str">
        <f>"015802502"</f>
        <v>015802502</v>
      </c>
      <c r="F1387" s="1" t="s">
        <v>22</v>
      </c>
      <c r="G1387" s="1" t="s">
        <v>47</v>
      </c>
      <c r="H1387" s="1" t="str">
        <f>"2"</f>
        <v>2</v>
      </c>
      <c r="I1387" s="3">
        <v>120.1</v>
      </c>
      <c r="J1387" s="4">
        <v>46102</v>
      </c>
      <c r="K1387" s="1" t="s">
        <v>3145</v>
      </c>
    </row>
    <row r="1388" spans="1:11" x14ac:dyDescent="0.35">
      <c r="A1388" s="1" t="s">
        <v>2641</v>
      </c>
      <c r="B1388" s="1" t="s">
        <v>3124</v>
      </c>
      <c r="C1388" s="1" t="s">
        <v>3217</v>
      </c>
      <c r="D1388" s="1" t="str">
        <f t="shared" si="66"/>
        <v>8415</v>
      </c>
      <c r="E1388" s="1" t="str">
        <f>"015802984"</f>
        <v>015802984</v>
      </c>
      <c r="F1388" s="1" t="s">
        <v>758</v>
      </c>
      <c r="G1388" s="1" t="s">
        <v>47</v>
      </c>
      <c r="H1388" s="1" t="str">
        <f>"20"</f>
        <v>20</v>
      </c>
      <c r="I1388" s="3">
        <v>113.3</v>
      </c>
      <c r="J1388" s="4">
        <v>46102</v>
      </c>
      <c r="K1388" s="1" t="s">
        <v>3218</v>
      </c>
    </row>
    <row r="1389" spans="1:11" x14ac:dyDescent="0.35">
      <c r="A1389" s="1" t="s">
        <v>2641</v>
      </c>
      <c r="B1389" s="1" t="s">
        <v>3124</v>
      </c>
      <c r="C1389" s="1" t="s">
        <v>3219</v>
      </c>
      <c r="D1389" s="1" t="str">
        <f t="shared" si="66"/>
        <v>8415</v>
      </c>
      <c r="E1389" s="1" t="str">
        <f>"015802782"</f>
        <v>015802782</v>
      </c>
      <c r="F1389" s="1" t="s">
        <v>18</v>
      </c>
      <c r="G1389" s="1" t="s">
        <v>15</v>
      </c>
      <c r="H1389" s="1" t="str">
        <f>"3"</f>
        <v>3</v>
      </c>
      <c r="I1389" s="3">
        <v>146.81</v>
      </c>
      <c r="J1389" s="4">
        <v>46102</v>
      </c>
      <c r="K1389" s="1" t="s">
        <v>3145</v>
      </c>
    </row>
    <row r="1390" spans="1:11" x14ac:dyDescent="0.35">
      <c r="A1390" s="1" t="s">
        <v>2641</v>
      </c>
      <c r="B1390" s="1" t="s">
        <v>3124</v>
      </c>
      <c r="C1390" s="1" t="s">
        <v>3220</v>
      </c>
      <c r="D1390" s="1" t="str">
        <f t="shared" si="66"/>
        <v>8415</v>
      </c>
      <c r="E1390" s="1" t="str">
        <f>"015802788"</f>
        <v>015802788</v>
      </c>
      <c r="F1390" s="1" t="s">
        <v>18</v>
      </c>
      <c r="G1390" s="1" t="s">
        <v>15</v>
      </c>
      <c r="H1390" s="1" t="str">
        <f>"1"</f>
        <v>1</v>
      </c>
      <c r="I1390" s="3">
        <v>146.81</v>
      </c>
      <c r="J1390" s="4">
        <v>46102</v>
      </c>
      <c r="K1390" s="1" t="s">
        <v>3145</v>
      </c>
    </row>
    <row r="1391" spans="1:11" x14ac:dyDescent="0.35">
      <c r="A1391" s="1" t="s">
        <v>2641</v>
      </c>
      <c r="B1391" s="1" t="s">
        <v>3124</v>
      </c>
      <c r="C1391" s="1" t="s">
        <v>3221</v>
      </c>
      <c r="D1391" s="1" t="str">
        <f t="shared" si="66"/>
        <v>8415</v>
      </c>
      <c r="E1391" s="1" t="str">
        <f>"015802782"</f>
        <v>015802782</v>
      </c>
      <c r="F1391" s="1" t="s">
        <v>18</v>
      </c>
      <c r="G1391" s="1" t="s">
        <v>15</v>
      </c>
      <c r="H1391" s="1" t="str">
        <f>"1"</f>
        <v>1</v>
      </c>
      <c r="I1391" s="3">
        <v>146.81</v>
      </c>
      <c r="J1391" s="4">
        <v>46102</v>
      </c>
      <c r="K1391" s="1" t="s">
        <v>3218</v>
      </c>
    </row>
    <row r="1392" spans="1:11" x14ac:dyDescent="0.35">
      <c r="A1392" s="1" t="s">
        <v>2641</v>
      </c>
      <c r="B1392" s="1" t="s">
        <v>3124</v>
      </c>
      <c r="C1392" s="1" t="s">
        <v>3222</v>
      </c>
      <c r="D1392" s="1" t="str">
        <f t="shared" si="66"/>
        <v>8415</v>
      </c>
      <c r="E1392" s="1" t="str">
        <f>"015802854"</f>
        <v>015802854</v>
      </c>
      <c r="F1392" s="1" t="s">
        <v>18</v>
      </c>
      <c r="G1392" s="1" t="s">
        <v>15</v>
      </c>
      <c r="H1392" s="1" t="str">
        <f>"2"</f>
        <v>2</v>
      </c>
      <c r="I1392" s="3">
        <v>146.83000000000001</v>
      </c>
      <c r="J1392" s="4">
        <v>46102</v>
      </c>
      <c r="K1392" s="1" t="s">
        <v>3145</v>
      </c>
    </row>
    <row r="1393" spans="1:11" x14ac:dyDescent="0.35">
      <c r="A1393" s="1" t="s">
        <v>2641</v>
      </c>
      <c r="B1393" s="1" t="s">
        <v>3124</v>
      </c>
      <c r="C1393" s="1" t="s">
        <v>3223</v>
      </c>
      <c r="D1393" s="1" t="str">
        <f t="shared" si="66"/>
        <v>8415</v>
      </c>
      <c r="E1393" s="1" t="str">
        <f>"015802497"</f>
        <v>015802497</v>
      </c>
      <c r="F1393" s="1" t="s">
        <v>22</v>
      </c>
      <c r="G1393" s="1" t="s">
        <v>47</v>
      </c>
      <c r="H1393" s="1" t="str">
        <f>"3"</f>
        <v>3</v>
      </c>
      <c r="I1393" s="3">
        <v>120.1</v>
      </c>
      <c r="J1393" s="4">
        <v>46102</v>
      </c>
      <c r="K1393" s="1" t="s">
        <v>3145</v>
      </c>
    </row>
    <row r="1394" spans="1:11" x14ac:dyDescent="0.35">
      <c r="A1394" s="1" t="s">
        <v>2641</v>
      </c>
      <c r="B1394" s="1" t="s">
        <v>3124</v>
      </c>
      <c r="C1394" s="1" t="s">
        <v>3224</v>
      </c>
      <c r="D1394" s="1" t="str">
        <f t="shared" si="66"/>
        <v>8415</v>
      </c>
      <c r="E1394" s="1" t="str">
        <f>"015802468"</f>
        <v>015802468</v>
      </c>
      <c r="F1394" s="1" t="s">
        <v>22</v>
      </c>
      <c r="G1394" s="1" t="s">
        <v>47</v>
      </c>
      <c r="H1394" s="1" t="str">
        <f>"2"</f>
        <v>2</v>
      </c>
      <c r="I1394" s="3">
        <v>120.1</v>
      </c>
      <c r="J1394" s="4">
        <v>46102</v>
      </c>
      <c r="K1394" s="1" t="s">
        <v>3145</v>
      </c>
    </row>
    <row r="1395" spans="1:11" x14ac:dyDescent="0.35">
      <c r="A1395" s="1" t="s">
        <v>2641</v>
      </c>
      <c r="B1395" s="1" t="s">
        <v>3124</v>
      </c>
      <c r="C1395" s="1" t="s">
        <v>3235</v>
      </c>
      <c r="D1395" s="1" t="str">
        <f t="shared" ref="D1395:D1405" si="67">"8430"</f>
        <v>8430</v>
      </c>
      <c r="E1395" s="1" t="str">
        <f>"016308557"</f>
        <v>016308557</v>
      </c>
      <c r="F1395" s="1" t="s">
        <v>3236</v>
      </c>
      <c r="G1395" s="1" t="s">
        <v>47</v>
      </c>
      <c r="H1395" s="1" t="str">
        <f>"3"</f>
        <v>3</v>
      </c>
      <c r="I1395" s="3">
        <v>311.42</v>
      </c>
      <c r="J1395" s="4">
        <v>46102</v>
      </c>
      <c r="K1395" s="1" t="s">
        <v>3237</v>
      </c>
    </row>
    <row r="1396" spans="1:11" x14ac:dyDescent="0.35">
      <c r="A1396" s="1" t="s">
        <v>2641</v>
      </c>
      <c r="B1396" s="1" t="s">
        <v>3124</v>
      </c>
      <c r="C1396" s="1" t="s">
        <v>3238</v>
      </c>
      <c r="D1396" s="1" t="str">
        <f t="shared" si="67"/>
        <v>8430</v>
      </c>
      <c r="E1396" s="1" t="str">
        <f>"016308557"</f>
        <v>016308557</v>
      </c>
      <c r="F1396" s="1" t="s">
        <v>3236</v>
      </c>
      <c r="G1396" s="1" t="s">
        <v>47</v>
      </c>
      <c r="H1396" s="1" t="str">
        <f>"2"</f>
        <v>2</v>
      </c>
      <c r="I1396" s="3">
        <v>311.42</v>
      </c>
      <c r="J1396" s="4">
        <v>46102</v>
      </c>
      <c r="K1396" s="1" t="s">
        <v>3237</v>
      </c>
    </row>
    <row r="1397" spans="1:11" x14ac:dyDescent="0.35">
      <c r="A1397" s="1" t="s">
        <v>2641</v>
      </c>
      <c r="B1397" s="1" t="s">
        <v>3124</v>
      </c>
      <c r="C1397" s="1" t="s">
        <v>3239</v>
      </c>
      <c r="D1397" s="1" t="str">
        <f t="shared" si="67"/>
        <v>8430</v>
      </c>
      <c r="E1397" s="1" t="str">
        <f>"016308562"</f>
        <v>016308562</v>
      </c>
      <c r="F1397" s="1" t="s">
        <v>3240</v>
      </c>
      <c r="G1397" s="1" t="s">
        <v>47</v>
      </c>
      <c r="H1397" s="1" t="str">
        <f>"2"</f>
        <v>2</v>
      </c>
      <c r="I1397" s="3">
        <v>311.42</v>
      </c>
      <c r="J1397" s="4">
        <v>46102</v>
      </c>
      <c r="K1397" s="1" t="s">
        <v>3237</v>
      </c>
    </row>
    <row r="1398" spans="1:11" x14ac:dyDescent="0.35">
      <c r="A1398" s="1" t="s">
        <v>2641</v>
      </c>
      <c r="B1398" s="1" t="s">
        <v>3124</v>
      </c>
      <c r="C1398" s="1" t="s">
        <v>3241</v>
      </c>
      <c r="D1398" s="1" t="str">
        <f t="shared" si="67"/>
        <v>8430</v>
      </c>
      <c r="E1398" s="1" t="str">
        <f>"016308566"</f>
        <v>016308566</v>
      </c>
      <c r="F1398" s="1" t="s">
        <v>3240</v>
      </c>
      <c r="G1398" s="1" t="s">
        <v>47</v>
      </c>
      <c r="H1398" s="1" t="str">
        <f>"3"</f>
        <v>3</v>
      </c>
      <c r="I1398" s="3">
        <v>311.42</v>
      </c>
      <c r="J1398" s="4">
        <v>46102</v>
      </c>
      <c r="K1398" s="1" t="s">
        <v>3237</v>
      </c>
    </row>
    <row r="1399" spans="1:11" x14ac:dyDescent="0.35">
      <c r="A1399" s="1" t="s">
        <v>2641</v>
      </c>
      <c r="B1399" s="1" t="s">
        <v>3124</v>
      </c>
      <c r="C1399" s="1" t="s">
        <v>3242</v>
      </c>
      <c r="D1399" s="1" t="str">
        <f t="shared" si="67"/>
        <v>8430</v>
      </c>
      <c r="E1399" s="1" t="str">
        <f>"016308230"</f>
        <v>016308230</v>
      </c>
      <c r="F1399" s="1" t="s">
        <v>3236</v>
      </c>
      <c r="G1399" s="1" t="s">
        <v>47</v>
      </c>
      <c r="H1399" s="1" t="str">
        <f>"3"</f>
        <v>3</v>
      </c>
      <c r="I1399" s="3">
        <v>311.42</v>
      </c>
      <c r="J1399" s="4">
        <v>46102</v>
      </c>
      <c r="K1399" s="1" t="s">
        <v>3237</v>
      </c>
    </row>
    <row r="1400" spans="1:11" x14ac:dyDescent="0.35">
      <c r="A1400" s="1" t="s">
        <v>2641</v>
      </c>
      <c r="B1400" s="1" t="s">
        <v>3124</v>
      </c>
      <c r="C1400" s="1" t="s">
        <v>3243</v>
      </c>
      <c r="D1400" s="1" t="str">
        <f t="shared" si="67"/>
        <v>8430</v>
      </c>
      <c r="E1400" s="1" t="str">
        <f>"016308232"</f>
        <v>016308232</v>
      </c>
      <c r="F1400" s="1" t="s">
        <v>3240</v>
      </c>
      <c r="G1400" s="1" t="s">
        <v>47</v>
      </c>
      <c r="H1400" s="1" t="str">
        <f>"8"</f>
        <v>8</v>
      </c>
      <c r="I1400" s="3">
        <v>311.42</v>
      </c>
      <c r="J1400" s="4">
        <v>46102</v>
      </c>
      <c r="K1400" s="1" t="s">
        <v>3193</v>
      </c>
    </row>
    <row r="1401" spans="1:11" x14ac:dyDescent="0.35">
      <c r="A1401" s="1" t="s">
        <v>2641</v>
      </c>
      <c r="B1401" s="1" t="s">
        <v>3124</v>
      </c>
      <c r="C1401" s="1" t="s">
        <v>3244</v>
      </c>
      <c r="D1401" s="1" t="str">
        <f t="shared" si="67"/>
        <v>8430</v>
      </c>
      <c r="E1401" s="1" t="str">
        <f>"016308232"</f>
        <v>016308232</v>
      </c>
      <c r="F1401" s="1" t="s">
        <v>3240</v>
      </c>
      <c r="G1401" s="1" t="s">
        <v>47</v>
      </c>
      <c r="H1401" s="1" t="str">
        <f>"6"</f>
        <v>6</v>
      </c>
      <c r="I1401" s="3">
        <v>311.42</v>
      </c>
      <c r="J1401" s="4">
        <v>46102</v>
      </c>
      <c r="K1401" s="1" t="s">
        <v>3237</v>
      </c>
    </row>
    <row r="1402" spans="1:11" x14ac:dyDescent="0.35">
      <c r="A1402" s="1" t="s">
        <v>2641</v>
      </c>
      <c r="B1402" s="1" t="s">
        <v>3124</v>
      </c>
      <c r="C1402" s="1" t="s">
        <v>3245</v>
      </c>
      <c r="D1402" s="1" t="str">
        <f t="shared" si="67"/>
        <v>8430</v>
      </c>
      <c r="E1402" s="1" t="str">
        <f>"016308575"</f>
        <v>016308575</v>
      </c>
      <c r="F1402" s="1" t="s">
        <v>3240</v>
      </c>
      <c r="G1402" s="1" t="s">
        <v>47</v>
      </c>
      <c r="H1402" s="1" t="str">
        <f>"1"</f>
        <v>1</v>
      </c>
      <c r="I1402" s="3">
        <v>311.42</v>
      </c>
      <c r="J1402" s="4">
        <v>46102</v>
      </c>
      <c r="K1402" s="1" t="s">
        <v>3237</v>
      </c>
    </row>
    <row r="1403" spans="1:11" x14ac:dyDescent="0.35">
      <c r="A1403" s="1" t="s">
        <v>2641</v>
      </c>
      <c r="B1403" s="1" t="s">
        <v>3124</v>
      </c>
      <c r="C1403" s="1" t="s">
        <v>3246</v>
      </c>
      <c r="D1403" s="1" t="str">
        <f t="shared" si="67"/>
        <v>8430</v>
      </c>
      <c r="E1403" s="1" t="str">
        <f>"016308575"</f>
        <v>016308575</v>
      </c>
      <c r="F1403" s="1" t="s">
        <v>3240</v>
      </c>
      <c r="G1403" s="1" t="s">
        <v>47</v>
      </c>
      <c r="H1403" s="1" t="str">
        <f>"1"</f>
        <v>1</v>
      </c>
      <c r="I1403" s="3">
        <v>311.42</v>
      </c>
      <c r="J1403" s="4">
        <v>46102</v>
      </c>
      <c r="K1403" s="1" t="s">
        <v>3237</v>
      </c>
    </row>
    <row r="1404" spans="1:11" x14ac:dyDescent="0.35">
      <c r="A1404" s="1" t="s">
        <v>2641</v>
      </c>
      <c r="B1404" s="1" t="s">
        <v>3124</v>
      </c>
      <c r="C1404" s="1" t="s">
        <v>3247</v>
      </c>
      <c r="D1404" s="1" t="str">
        <f t="shared" si="67"/>
        <v>8430</v>
      </c>
      <c r="E1404" s="1" t="str">
        <f>"016308569"</f>
        <v>016308569</v>
      </c>
      <c r="F1404" s="1" t="s">
        <v>3240</v>
      </c>
      <c r="G1404" s="1" t="s">
        <v>47</v>
      </c>
      <c r="H1404" s="1" t="str">
        <f>"1"</f>
        <v>1</v>
      </c>
      <c r="I1404" s="3">
        <v>311.42</v>
      </c>
      <c r="J1404" s="4">
        <v>46102</v>
      </c>
      <c r="K1404" s="1" t="s">
        <v>3237</v>
      </c>
    </row>
    <row r="1405" spans="1:11" x14ac:dyDescent="0.35">
      <c r="A1405" s="1" t="s">
        <v>2641</v>
      </c>
      <c r="B1405" s="1" t="s">
        <v>3124</v>
      </c>
      <c r="C1405" s="1" t="s">
        <v>3248</v>
      </c>
      <c r="D1405" s="1" t="str">
        <f t="shared" si="67"/>
        <v>8430</v>
      </c>
      <c r="E1405" s="1" t="str">
        <f>"016308232"</f>
        <v>016308232</v>
      </c>
      <c r="F1405" s="1" t="s">
        <v>3240</v>
      </c>
      <c r="G1405" s="1" t="s">
        <v>47</v>
      </c>
      <c r="H1405" s="1" t="str">
        <f>"3"</f>
        <v>3</v>
      </c>
      <c r="I1405" s="3">
        <v>311.42</v>
      </c>
      <c r="J1405" s="4">
        <v>46102</v>
      </c>
      <c r="K1405" s="1" t="s">
        <v>3237</v>
      </c>
    </row>
    <row r="1406" spans="1:11" x14ac:dyDescent="0.35">
      <c r="A1406" s="1" t="s">
        <v>2641</v>
      </c>
      <c r="B1406" s="1" t="s">
        <v>3124</v>
      </c>
      <c r="C1406" s="1" t="s">
        <v>3260</v>
      </c>
      <c r="D1406" s="1" t="str">
        <f t="shared" ref="D1406:D1411" si="68">"8465"</f>
        <v>8465</v>
      </c>
      <c r="E1406" s="1" t="str">
        <f t="shared" ref="E1406:E1411" si="69">"015196490"</f>
        <v>015196490</v>
      </c>
      <c r="F1406" s="1" t="s">
        <v>3261</v>
      </c>
      <c r="G1406" s="1" t="s">
        <v>15</v>
      </c>
      <c r="H1406" s="1" t="str">
        <f>"1"</f>
        <v>1</v>
      </c>
      <c r="I1406" s="3">
        <v>125.58</v>
      </c>
      <c r="J1406" s="4">
        <v>46102</v>
      </c>
      <c r="K1406" s="1" t="s">
        <v>3262</v>
      </c>
    </row>
    <row r="1407" spans="1:11" x14ac:dyDescent="0.35">
      <c r="A1407" s="1" t="s">
        <v>2641</v>
      </c>
      <c r="B1407" s="1" t="s">
        <v>3124</v>
      </c>
      <c r="C1407" s="1" t="s">
        <v>3263</v>
      </c>
      <c r="D1407" s="1" t="str">
        <f t="shared" si="68"/>
        <v>8465</v>
      </c>
      <c r="E1407" s="1" t="str">
        <f t="shared" si="69"/>
        <v>015196490</v>
      </c>
      <c r="F1407" s="1" t="s">
        <v>3261</v>
      </c>
      <c r="G1407" s="1" t="s">
        <v>15</v>
      </c>
      <c r="H1407" s="1" t="str">
        <f>"3"</f>
        <v>3</v>
      </c>
      <c r="I1407" s="3">
        <v>125.58</v>
      </c>
      <c r="J1407" s="4">
        <v>46102</v>
      </c>
      <c r="K1407" s="1" t="s">
        <v>3262</v>
      </c>
    </row>
    <row r="1408" spans="1:11" x14ac:dyDescent="0.35">
      <c r="A1408" s="1" t="s">
        <v>2641</v>
      </c>
      <c r="B1408" s="1" t="s">
        <v>3124</v>
      </c>
      <c r="C1408" s="1" t="s">
        <v>3264</v>
      </c>
      <c r="D1408" s="1" t="str">
        <f t="shared" si="68"/>
        <v>8465</v>
      </c>
      <c r="E1408" s="1" t="str">
        <f t="shared" si="69"/>
        <v>015196490</v>
      </c>
      <c r="F1408" s="1" t="s">
        <v>3261</v>
      </c>
      <c r="G1408" s="1" t="s">
        <v>15</v>
      </c>
      <c r="H1408" s="1" t="str">
        <f>"1"</f>
        <v>1</v>
      </c>
      <c r="I1408" s="3">
        <v>125.58</v>
      </c>
      <c r="J1408" s="4">
        <v>46102</v>
      </c>
      <c r="K1408" s="1" t="s">
        <v>3262</v>
      </c>
    </row>
    <row r="1409" spans="1:11" x14ac:dyDescent="0.35">
      <c r="A1409" s="1" t="s">
        <v>2641</v>
      </c>
      <c r="B1409" s="1" t="s">
        <v>3124</v>
      </c>
      <c r="C1409" s="1" t="s">
        <v>3265</v>
      </c>
      <c r="D1409" s="1" t="str">
        <f t="shared" si="68"/>
        <v>8465</v>
      </c>
      <c r="E1409" s="1" t="str">
        <f t="shared" si="69"/>
        <v>015196490</v>
      </c>
      <c r="F1409" s="1" t="s">
        <v>3261</v>
      </c>
      <c r="G1409" s="1" t="s">
        <v>15</v>
      </c>
      <c r="H1409" s="1" t="str">
        <f>"2"</f>
        <v>2</v>
      </c>
      <c r="I1409" s="3">
        <v>125.58</v>
      </c>
      <c r="J1409" s="4">
        <v>46102</v>
      </c>
      <c r="K1409" s="1" t="s">
        <v>3262</v>
      </c>
    </row>
    <row r="1410" spans="1:11" x14ac:dyDescent="0.35">
      <c r="A1410" s="1" t="s">
        <v>2641</v>
      </c>
      <c r="B1410" s="1" t="s">
        <v>3124</v>
      </c>
      <c r="C1410" s="1" t="s">
        <v>3266</v>
      </c>
      <c r="D1410" s="1" t="str">
        <f t="shared" si="68"/>
        <v>8465</v>
      </c>
      <c r="E1410" s="1" t="str">
        <f t="shared" si="69"/>
        <v>015196490</v>
      </c>
      <c r="F1410" s="1" t="s">
        <v>3261</v>
      </c>
      <c r="G1410" s="1" t="s">
        <v>15</v>
      </c>
      <c r="H1410" s="1" t="str">
        <f>"6"</f>
        <v>6</v>
      </c>
      <c r="I1410" s="3">
        <v>125.58</v>
      </c>
      <c r="J1410" s="4">
        <v>46102</v>
      </c>
      <c r="K1410" s="1" t="s">
        <v>3262</v>
      </c>
    </row>
    <row r="1411" spans="1:11" x14ac:dyDescent="0.35">
      <c r="A1411" s="1" t="s">
        <v>2641</v>
      </c>
      <c r="B1411" s="1" t="s">
        <v>3124</v>
      </c>
      <c r="C1411" s="1" t="s">
        <v>3267</v>
      </c>
      <c r="D1411" s="1" t="str">
        <f t="shared" si="68"/>
        <v>8465</v>
      </c>
      <c r="E1411" s="1" t="str">
        <f t="shared" si="69"/>
        <v>015196490</v>
      </c>
      <c r="F1411" s="1" t="s">
        <v>3261</v>
      </c>
      <c r="G1411" s="1" t="s">
        <v>15</v>
      </c>
      <c r="H1411" s="1" t="str">
        <f>"1"</f>
        <v>1</v>
      </c>
      <c r="I1411" s="3">
        <v>125.58</v>
      </c>
      <c r="J1411" s="4">
        <v>46102</v>
      </c>
      <c r="K1411" s="1" t="s">
        <v>3262</v>
      </c>
    </row>
    <row r="1412" spans="1:11" x14ac:dyDescent="0.35">
      <c r="A1412" s="1" t="s">
        <v>2641</v>
      </c>
      <c r="B1412" s="1" t="s">
        <v>2642</v>
      </c>
      <c r="C1412" s="1" t="s">
        <v>2648</v>
      </c>
      <c r="D1412" s="1" t="str">
        <f>"7021"</f>
        <v>7021</v>
      </c>
      <c r="E1412" s="1" t="s">
        <v>1173</v>
      </c>
      <c r="F1412" s="1" t="s">
        <v>1174</v>
      </c>
      <c r="G1412" s="1" t="s">
        <v>15</v>
      </c>
      <c r="H1412" s="1" t="str">
        <f>"12"</f>
        <v>12</v>
      </c>
      <c r="I1412" s="3" t="str">
        <f>"300"</f>
        <v>300</v>
      </c>
      <c r="J1412" s="4">
        <v>46104</v>
      </c>
      <c r="K1412" s="1" t="s">
        <v>2649</v>
      </c>
    </row>
    <row r="1413" spans="1:11" x14ac:dyDescent="0.35">
      <c r="A1413" s="1" t="s">
        <v>2641</v>
      </c>
      <c r="B1413" s="1" t="s">
        <v>3124</v>
      </c>
      <c r="C1413" s="1" t="s">
        <v>3133</v>
      </c>
      <c r="D1413" s="1" t="str">
        <f>"5120"</f>
        <v>5120</v>
      </c>
      <c r="E1413" s="1" t="s">
        <v>2758</v>
      </c>
      <c r="F1413" s="1" t="s">
        <v>2759</v>
      </c>
      <c r="G1413" s="1" t="s">
        <v>15</v>
      </c>
      <c r="H1413" s="1" t="str">
        <f>"3"</f>
        <v>3</v>
      </c>
      <c r="I1413" s="3" t="str">
        <f>"15"</f>
        <v>15</v>
      </c>
      <c r="J1413" s="4">
        <v>46106</v>
      </c>
      <c r="K1413" s="1" t="s">
        <v>3134</v>
      </c>
    </row>
    <row r="1414" spans="1:11" x14ac:dyDescent="0.35">
      <c r="A1414" s="1" t="s">
        <v>2641</v>
      </c>
      <c r="B1414" s="1" t="s">
        <v>3124</v>
      </c>
      <c r="C1414" s="1" t="s">
        <v>3135</v>
      </c>
      <c r="D1414" s="1" t="str">
        <f>"5120"</f>
        <v>5120</v>
      </c>
      <c r="E1414" s="1" t="str">
        <f>"016896995"</f>
        <v>016896995</v>
      </c>
      <c r="F1414" s="1" t="s">
        <v>3136</v>
      </c>
      <c r="G1414" s="1" t="s">
        <v>15</v>
      </c>
      <c r="H1414" s="1" t="str">
        <f>"1"</f>
        <v>1</v>
      </c>
      <c r="I1414" s="3">
        <v>178.34</v>
      </c>
      <c r="J1414" s="4">
        <v>46106</v>
      </c>
      <c r="K1414" s="1" t="s">
        <v>3134</v>
      </c>
    </row>
    <row r="1415" spans="1:11" x14ac:dyDescent="0.35">
      <c r="A1415" s="1" t="s">
        <v>2641</v>
      </c>
      <c r="B1415" s="1" t="s">
        <v>2690</v>
      </c>
      <c r="C1415" s="1" t="s">
        <v>2739</v>
      </c>
      <c r="D1415" s="1" t="str">
        <f>"4910"</f>
        <v>4910</v>
      </c>
      <c r="E1415" s="1" t="s">
        <v>2740</v>
      </c>
      <c r="F1415" s="1" t="s">
        <v>2741</v>
      </c>
      <c r="G1415" s="1" t="s">
        <v>15</v>
      </c>
      <c r="H1415" s="1" t="str">
        <f>"2"</f>
        <v>2</v>
      </c>
      <c r="I1415" s="3" t="str">
        <f>"75"</f>
        <v>75</v>
      </c>
      <c r="J1415" s="4">
        <v>46107</v>
      </c>
      <c r="K1415" s="1" t="s">
        <v>2742</v>
      </c>
    </row>
    <row r="1416" spans="1:11" x14ac:dyDescent="0.35">
      <c r="A1416" s="1" t="s">
        <v>2641</v>
      </c>
      <c r="B1416" s="1" t="s">
        <v>2690</v>
      </c>
      <c r="C1416" s="1" t="s">
        <v>2744</v>
      </c>
      <c r="D1416" s="1" t="str">
        <f>"5110"</f>
        <v>5110</v>
      </c>
      <c r="E1416" s="1" t="str">
        <f>"002236370"</f>
        <v>002236370</v>
      </c>
      <c r="F1416" s="1" t="s">
        <v>2745</v>
      </c>
      <c r="G1416" s="1" t="s">
        <v>15</v>
      </c>
      <c r="H1416" s="1" t="str">
        <f>"10"</f>
        <v>10</v>
      </c>
      <c r="I1416" s="3">
        <v>33.71</v>
      </c>
      <c r="J1416" s="4">
        <v>46107</v>
      </c>
      <c r="K1416" s="1" t="s">
        <v>2746</v>
      </c>
    </row>
    <row r="1417" spans="1:11" x14ac:dyDescent="0.35">
      <c r="A1417" s="1" t="s">
        <v>2641</v>
      </c>
      <c r="B1417" s="1" t="s">
        <v>2690</v>
      </c>
      <c r="C1417" s="1" t="s">
        <v>2751</v>
      </c>
      <c r="D1417" s="1" t="str">
        <f t="shared" ref="D1417:D1438" si="70">"5120"</f>
        <v>5120</v>
      </c>
      <c r="E1417" s="1" t="s">
        <v>2752</v>
      </c>
      <c r="F1417" s="1" t="s">
        <v>2753</v>
      </c>
      <c r="G1417" s="1" t="s">
        <v>15</v>
      </c>
      <c r="H1417" s="1" t="str">
        <f>"3"</f>
        <v>3</v>
      </c>
      <c r="I1417" s="3" t="str">
        <f>"10"</f>
        <v>10</v>
      </c>
      <c r="J1417" s="4">
        <v>46107</v>
      </c>
      <c r="K1417" s="1" t="s">
        <v>2754</v>
      </c>
    </row>
    <row r="1418" spans="1:11" x14ac:dyDescent="0.35">
      <c r="A1418" s="1" t="s">
        <v>2641</v>
      </c>
      <c r="B1418" s="1" t="s">
        <v>2690</v>
      </c>
      <c r="C1418" s="1" t="s">
        <v>2761</v>
      </c>
      <c r="D1418" s="1" t="str">
        <f t="shared" si="70"/>
        <v>5120</v>
      </c>
      <c r="E1418" s="1" t="str">
        <f>"002932319"</f>
        <v>002932319</v>
      </c>
      <c r="F1418" s="1" t="s">
        <v>2762</v>
      </c>
      <c r="G1418" s="1" t="s">
        <v>15</v>
      </c>
      <c r="H1418" s="1" t="str">
        <f>"6"</f>
        <v>6</v>
      </c>
      <c r="I1418" s="3">
        <v>62.69</v>
      </c>
      <c r="J1418" s="4">
        <v>46107</v>
      </c>
      <c r="K1418" s="1" t="s">
        <v>2763</v>
      </c>
    </row>
    <row r="1419" spans="1:11" x14ac:dyDescent="0.35">
      <c r="A1419" s="1" t="s">
        <v>2641</v>
      </c>
      <c r="B1419" s="1" t="s">
        <v>2690</v>
      </c>
      <c r="C1419" s="1" t="s">
        <v>2764</v>
      </c>
      <c r="D1419" s="1" t="str">
        <f t="shared" si="70"/>
        <v>5120</v>
      </c>
      <c r="E1419" s="1" t="str">
        <f>"002782423"</f>
        <v>002782423</v>
      </c>
      <c r="F1419" s="1" t="s">
        <v>2762</v>
      </c>
      <c r="G1419" s="1" t="s">
        <v>15</v>
      </c>
      <c r="H1419" s="1" t="str">
        <f>"6"</f>
        <v>6</v>
      </c>
      <c r="I1419" s="3">
        <v>29.22</v>
      </c>
      <c r="J1419" s="4">
        <v>46107</v>
      </c>
      <c r="K1419" s="1" t="s">
        <v>2763</v>
      </c>
    </row>
    <row r="1420" spans="1:11" x14ac:dyDescent="0.35">
      <c r="A1420" s="1" t="s">
        <v>2641</v>
      </c>
      <c r="B1420" s="1" t="s">
        <v>2690</v>
      </c>
      <c r="C1420" s="1" t="s">
        <v>2765</v>
      </c>
      <c r="D1420" s="1" t="str">
        <f t="shared" si="70"/>
        <v>5120</v>
      </c>
      <c r="E1420" s="1" t="str">
        <f>"007817891"</f>
        <v>007817891</v>
      </c>
      <c r="F1420" s="1" t="s">
        <v>2766</v>
      </c>
      <c r="G1420" s="1" t="s">
        <v>15</v>
      </c>
      <c r="H1420" s="1" t="str">
        <f>"6"</f>
        <v>6</v>
      </c>
      <c r="I1420" s="3">
        <v>333.28</v>
      </c>
      <c r="J1420" s="4">
        <v>46107</v>
      </c>
      <c r="K1420" s="1" t="s">
        <v>2763</v>
      </c>
    </row>
    <row r="1421" spans="1:11" x14ac:dyDescent="0.35">
      <c r="A1421" s="1" t="s">
        <v>2641</v>
      </c>
      <c r="B1421" s="1" t="s">
        <v>2690</v>
      </c>
      <c r="C1421" s="1" t="s">
        <v>2767</v>
      </c>
      <c r="D1421" s="1" t="str">
        <f t="shared" si="70"/>
        <v>5120</v>
      </c>
      <c r="E1421" s="1" t="s">
        <v>2085</v>
      </c>
      <c r="F1421" s="1" t="s">
        <v>2086</v>
      </c>
      <c r="G1421" s="1" t="s">
        <v>15</v>
      </c>
      <c r="H1421" s="1" t="str">
        <f>"1"</f>
        <v>1</v>
      </c>
      <c r="I1421" s="3" t="str">
        <f>"75"</f>
        <v>75</v>
      </c>
      <c r="J1421" s="4">
        <v>46107</v>
      </c>
      <c r="K1421" s="1" t="s">
        <v>2768</v>
      </c>
    </row>
    <row r="1422" spans="1:11" x14ac:dyDescent="0.35">
      <c r="A1422" s="1" t="s">
        <v>2641</v>
      </c>
      <c r="B1422" s="1" t="s">
        <v>2690</v>
      </c>
      <c r="C1422" s="1" t="s">
        <v>2769</v>
      </c>
      <c r="D1422" s="1" t="str">
        <f t="shared" si="70"/>
        <v>5120</v>
      </c>
      <c r="E1422" s="1" t="s">
        <v>2085</v>
      </c>
      <c r="F1422" s="1" t="s">
        <v>2086</v>
      </c>
      <c r="G1422" s="1" t="s">
        <v>15</v>
      </c>
      <c r="H1422" s="1" t="str">
        <f>"1"</f>
        <v>1</v>
      </c>
      <c r="I1422" s="3" t="str">
        <f>"30"</f>
        <v>30</v>
      </c>
      <c r="J1422" s="4">
        <v>46107</v>
      </c>
      <c r="K1422" s="1" t="s">
        <v>2768</v>
      </c>
    </row>
    <row r="1423" spans="1:11" x14ac:dyDescent="0.35">
      <c r="A1423" s="1" t="s">
        <v>2641</v>
      </c>
      <c r="B1423" s="1" t="s">
        <v>2690</v>
      </c>
      <c r="C1423" s="1" t="s">
        <v>2770</v>
      </c>
      <c r="D1423" s="1" t="str">
        <f t="shared" si="70"/>
        <v>5120</v>
      </c>
      <c r="E1423" s="1" t="s">
        <v>2085</v>
      </c>
      <c r="F1423" s="1" t="s">
        <v>2086</v>
      </c>
      <c r="G1423" s="1" t="s">
        <v>15</v>
      </c>
      <c r="H1423" s="1" t="str">
        <f>"7"</f>
        <v>7</v>
      </c>
      <c r="I1423" s="3" t="str">
        <f>"5"</f>
        <v>5</v>
      </c>
      <c r="J1423" s="4">
        <v>46107</v>
      </c>
      <c r="K1423" s="1" t="s">
        <v>2768</v>
      </c>
    </row>
    <row r="1424" spans="1:11" x14ac:dyDescent="0.35">
      <c r="A1424" s="1" t="s">
        <v>2641</v>
      </c>
      <c r="B1424" s="1" t="s">
        <v>2690</v>
      </c>
      <c r="C1424" s="1" t="s">
        <v>2771</v>
      </c>
      <c r="D1424" s="1" t="str">
        <f t="shared" si="70"/>
        <v>5120</v>
      </c>
      <c r="E1424" s="1" t="s">
        <v>2085</v>
      </c>
      <c r="F1424" s="1" t="s">
        <v>2086</v>
      </c>
      <c r="G1424" s="1" t="s">
        <v>15</v>
      </c>
      <c r="H1424" s="1" t="str">
        <f>"1"</f>
        <v>1</v>
      </c>
      <c r="I1424" s="3" t="str">
        <f>"25"</f>
        <v>25</v>
      </c>
      <c r="J1424" s="4">
        <v>46107</v>
      </c>
      <c r="K1424" s="1" t="s">
        <v>2768</v>
      </c>
    </row>
    <row r="1425" spans="1:11" x14ac:dyDescent="0.35">
      <c r="A1425" s="1" t="s">
        <v>2641</v>
      </c>
      <c r="B1425" s="1" t="s">
        <v>2690</v>
      </c>
      <c r="C1425" s="1" t="s">
        <v>2772</v>
      </c>
      <c r="D1425" s="1" t="str">
        <f t="shared" si="70"/>
        <v>5120</v>
      </c>
      <c r="E1425" s="1" t="s">
        <v>2085</v>
      </c>
      <c r="F1425" s="1" t="s">
        <v>2086</v>
      </c>
      <c r="G1425" s="1" t="s">
        <v>15</v>
      </c>
      <c r="H1425" s="1" t="str">
        <f>"9"</f>
        <v>9</v>
      </c>
      <c r="I1425" s="3" t="str">
        <f>"9"</f>
        <v>9</v>
      </c>
      <c r="J1425" s="4">
        <v>46107</v>
      </c>
      <c r="K1425" s="1" t="s">
        <v>2768</v>
      </c>
    </row>
    <row r="1426" spans="1:11" x14ac:dyDescent="0.35">
      <c r="A1426" s="1" t="s">
        <v>2641</v>
      </c>
      <c r="B1426" s="1" t="s">
        <v>2690</v>
      </c>
      <c r="C1426" s="1" t="s">
        <v>2773</v>
      </c>
      <c r="D1426" s="1" t="str">
        <f t="shared" si="70"/>
        <v>5120</v>
      </c>
      <c r="E1426" s="1" t="s">
        <v>2085</v>
      </c>
      <c r="F1426" s="1" t="s">
        <v>2086</v>
      </c>
      <c r="G1426" s="1" t="s">
        <v>15</v>
      </c>
      <c r="H1426" s="1" t="str">
        <f>"1"</f>
        <v>1</v>
      </c>
      <c r="I1426" s="3" t="str">
        <f>"200"</f>
        <v>200</v>
      </c>
      <c r="J1426" s="4">
        <v>46107</v>
      </c>
      <c r="K1426" s="1" t="s">
        <v>2768</v>
      </c>
    </row>
    <row r="1427" spans="1:11" x14ac:dyDescent="0.35">
      <c r="A1427" s="1" t="s">
        <v>2641</v>
      </c>
      <c r="B1427" s="1" t="s">
        <v>2690</v>
      </c>
      <c r="C1427" s="1" t="s">
        <v>2774</v>
      </c>
      <c r="D1427" s="1" t="str">
        <f t="shared" si="70"/>
        <v>5120</v>
      </c>
      <c r="E1427" s="1" t="str">
        <f>"016501311"</f>
        <v>016501311</v>
      </c>
      <c r="F1427" s="1" t="s">
        <v>2762</v>
      </c>
      <c r="G1427" s="1" t="s">
        <v>15</v>
      </c>
      <c r="H1427" s="1" t="str">
        <f>"1"</f>
        <v>1</v>
      </c>
      <c r="I1427" s="3">
        <v>640.79999999999995</v>
      </c>
      <c r="J1427" s="4">
        <v>46107</v>
      </c>
      <c r="K1427" s="1" t="s">
        <v>2768</v>
      </c>
    </row>
    <row r="1428" spans="1:11" x14ac:dyDescent="0.35">
      <c r="A1428" s="1" t="s">
        <v>2641</v>
      </c>
      <c r="B1428" s="1" t="s">
        <v>2690</v>
      </c>
      <c r="C1428" s="1" t="s">
        <v>2775</v>
      </c>
      <c r="D1428" s="1" t="str">
        <f t="shared" si="70"/>
        <v>5120</v>
      </c>
      <c r="E1428" s="1" t="s">
        <v>2085</v>
      </c>
      <c r="F1428" s="1" t="s">
        <v>2086</v>
      </c>
      <c r="G1428" s="1" t="s">
        <v>15</v>
      </c>
      <c r="H1428" s="1" t="str">
        <f>"2"</f>
        <v>2</v>
      </c>
      <c r="I1428" s="3" t="str">
        <f>"125"</f>
        <v>125</v>
      </c>
      <c r="J1428" s="4">
        <v>46107</v>
      </c>
      <c r="K1428" s="1" t="s">
        <v>2768</v>
      </c>
    </row>
    <row r="1429" spans="1:11" x14ac:dyDescent="0.35">
      <c r="A1429" s="1" t="s">
        <v>2641</v>
      </c>
      <c r="B1429" s="1" t="s">
        <v>2690</v>
      </c>
      <c r="C1429" s="1" t="s">
        <v>2776</v>
      </c>
      <c r="D1429" s="1" t="str">
        <f t="shared" si="70"/>
        <v>5120</v>
      </c>
      <c r="E1429" s="1" t="s">
        <v>2085</v>
      </c>
      <c r="F1429" s="1" t="s">
        <v>2086</v>
      </c>
      <c r="G1429" s="1" t="s">
        <v>15</v>
      </c>
      <c r="H1429" s="1" t="str">
        <f>"1"</f>
        <v>1</v>
      </c>
      <c r="I1429" s="3" t="str">
        <f>"100"</f>
        <v>100</v>
      </c>
      <c r="J1429" s="4">
        <v>46107</v>
      </c>
      <c r="K1429" s="1" t="s">
        <v>2768</v>
      </c>
    </row>
    <row r="1430" spans="1:11" x14ac:dyDescent="0.35">
      <c r="A1430" s="1" t="s">
        <v>2641</v>
      </c>
      <c r="B1430" s="1" t="s">
        <v>2690</v>
      </c>
      <c r="C1430" s="1" t="s">
        <v>2777</v>
      </c>
      <c r="D1430" s="1" t="str">
        <f t="shared" si="70"/>
        <v>5120</v>
      </c>
      <c r="E1430" s="1" t="str">
        <f>"000618546"</f>
        <v>000618546</v>
      </c>
      <c r="F1430" s="1" t="s">
        <v>2778</v>
      </c>
      <c r="G1430" s="1" t="s">
        <v>15</v>
      </c>
      <c r="H1430" s="1" t="str">
        <f>"12"</f>
        <v>12</v>
      </c>
      <c r="I1430" s="3">
        <v>32.47</v>
      </c>
      <c r="J1430" s="4">
        <v>46107</v>
      </c>
      <c r="K1430" s="1" t="s">
        <v>2746</v>
      </c>
    </row>
    <row r="1431" spans="1:11" x14ac:dyDescent="0.35">
      <c r="A1431" s="1" t="s">
        <v>2641</v>
      </c>
      <c r="B1431" s="1" t="s">
        <v>2690</v>
      </c>
      <c r="C1431" s="1" t="s">
        <v>2779</v>
      </c>
      <c r="D1431" s="1" t="str">
        <f t="shared" si="70"/>
        <v>5120</v>
      </c>
      <c r="E1431" s="1" t="s">
        <v>2780</v>
      </c>
      <c r="F1431" s="1" t="s">
        <v>807</v>
      </c>
      <c r="G1431" s="1" t="s">
        <v>15</v>
      </c>
      <c r="H1431" s="1" t="str">
        <f>"7"</f>
        <v>7</v>
      </c>
      <c r="I1431" s="3" t="str">
        <f>"50"</f>
        <v>50</v>
      </c>
      <c r="J1431" s="4">
        <v>46107</v>
      </c>
      <c r="K1431" s="1" t="s">
        <v>2746</v>
      </c>
    </row>
    <row r="1432" spans="1:11" x14ac:dyDescent="0.35">
      <c r="A1432" s="1" t="s">
        <v>2641</v>
      </c>
      <c r="B1432" s="1" t="s">
        <v>2690</v>
      </c>
      <c r="C1432" s="1" t="s">
        <v>2781</v>
      </c>
      <c r="D1432" s="1" t="str">
        <f t="shared" si="70"/>
        <v>5120</v>
      </c>
      <c r="E1432" s="1" t="str">
        <f>"011485455"</f>
        <v>011485455</v>
      </c>
      <c r="F1432" s="1" t="s">
        <v>2782</v>
      </c>
      <c r="G1432" s="1" t="s">
        <v>15</v>
      </c>
      <c r="H1432" s="1" t="str">
        <f>"12"</f>
        <v>12</v>
      </c>
      <c r="I1432" s="3">
        <v>12.79</v>
      </c>
      <c r="J1432" s="4">
        <v>46107</v>
      </c>
      <c r="K1432" s="1" t="s">
        <v>2746</v>
      </c>
    </row>
    <row r="1433" spans="1:11" x14ac:dyDescent="0.35">
      <c r="A1433" s="1" t="s">
        <v>2641</v>
      </c>
      <c r="B1433" s="1" t="s">
        <v>2690</v>
      </c>
      <c r="C1433" s="1" t="s">
        <v>2783</v>
      </c>
      <c r="D1433" s="1" t="str">
        <f t="shared" si="70"/>
        <v>5120</v>
      </c>
      <c r="E1433" s="1" t="str">
        <f>"011151151"</f>
        <v>011151151</v>
      </c>
      <c r="F1433" s="1" t="s">
        <v>2784</v>
      </c>
      <c r="G1433" s="1" t="s">
        <v>257</v>
      </c>
      <c r="H1433" s="1" t="str">
        <f>"20"</f>
        <v>20</v>
      </c>
      <c r="I1433" s="3">
        <v>153.52000000000001</v>
      </c>
      <c r="J1433" s="4">
        <v>46107</v>
      </c>
      <c r="K1433" s="1" t="s">
        <v>2746</v>
      </c>
    </row>
    <row r="1434" spans="1:11" x14ac:dyDescent="0.35">
      <c r="A1434" s="1" t="s">
        <v>2641</v>
      </c>
      <c r="B1434" s="1" t="s">
        <v>2690</v>
      </c>
      <c r="C1434" s="1" t="s">
        <v>2785</v>
      </c>
      <c r="D1434" s="1" t="str">
        <f t="shared" si="70"/>
        <v>5120</v>
      </c>
      <c r="E1434" s="1" t="str">
        <f>"002932319"</f>
        <v>002932319</v>
      </c>
      <c r="F1434" s="1" t="s">
        <v>2762</v>
      </c>
      <c r="G1434" s="1" t="s">
        <v>15</v>
      </c>
      <c r="H1434" s="1" t="str">
        <f>"12"</f>
        <v>12</v>
      </c>
      <c r="I1434" s="3">
        <v>62.69</v>
      </c>
      <c r="J1434" s="4">
        <v>46107</v>
      </c>
      <c r="K1434" s="1" t="s">
        <v>2746</v>
      </c>
    </row>
    <row r="1435" spans="1:11" x14ac:dyDescent="0.35">
      <c r="A1435" s="1" t="s">
        <v>2641</v>
      </c>
      <c r="B1435" s="1" t="s">
        <v>2690</v>
      </c>
      <c r="C1435" s="1" t="s">
        <v>2786</v>
      </c>
      <c r="D1435" s="1" t="str">
        <f t="shared" si="70"/>
        <v>5120</v>
      </c>
      <c r="E1435" s="1" t="str">
        <f>"014287855"</f>
        <v>014287855</v>
      </c>
      <c r="F1435" s="1" t="s">
        <v>807</v>
      </c>
      <c r="G1435" s="1" t="s">
        <v>15</v>
      </c>
      <c r="H1435" s="1" t="str">
        <f>"18"</f>
        <v>18</v>
      </c>
      <c r="I1435" s="3">
        <v>63.87</v>
      </c>
      <c r="J1435" s="4">
        <v>46107</v>
      </c>
      <c r="K1435" s="1" t="s">
        <v>2746</v>
      </c>
    </row>
    <row r="1436" spans="1:11" x14ac:dyDescent="0.35">
      <c r="A1436" s="1" t="s">
        <v>2641</v>
      </c>
      <c r="B1436" s="1" t="s">
        <v>2690</v>
      </c>
      <c r="C1436" s="1" t="s">
        <v>2787</v>
      </c>
      <c r="D1436" s="1" t="str">
        <f t="shared" si="70"/>
        <v>5120</v>
      </c>
      <c r="E1436" s="1" t="str">
        <f>"004941889"</f>
        <v>004941889</v>
      </c>
      <c r="F1436" s="1" t="s">
        <v>2788</v>
      </c>
      <c r="G1436" s="1" t="s">
        <v>15</v>
      </c>
      <c r="H1436" s="1" t="str">
        <f>"10"</f>
        <v>10</v>
      </c>
      <c r="I1436" s="3">
        <v>19.05</v>
      </c>
      <c r="J1436" s="4">
        <v>46107</v>
      </c>
      <c r="K1436" s="1" t="s">
        <v>2746</v>
      </c>
    </row>
    <row r="1437" spans="1:11" x14ac:dyDescent="0.35">
      <c r="A1437" s="1" t="s">
        <v>2641</v>
      </c>
      <c r="B1437" s="1" t="s">
        <v>2690</v>
      </c>
      <c r="C1437" s="1" t="s">
        <v>2795</v>
      </c>
      <c r="D1437" s="1" t="str">
        <f t="shared" si="70"/>
        <v>5120</v>
      </c>
      <c r="E1437" s="1" t="str">
        <f>"003226231"</f>
        <v>003226231</v>
      </c>
      <c r="F1437" s="1" t="s">
        <v>2796</v>
      </c>
      <c r="G1437" s="1" t="s">
        <v>257</v>
      </c>
      <c r="H1437" s="1" t="str">
        <f>"14"</f>
        <v>14</v>
      </c>
      <c r="I1437" s="3">
        <v>146.79</v>
      </c>
      <c r="J1437" s="4">
        <v>46107</v>
      </c>
      <c r="K1437" s="1" t="s">
        <v>2746</v>
      </c>
    </row>
    <row r="1438" spans="1:11" x14ac:dyDescent="0.35">
      <c r="A1438" s="1" t="s">
        <v>2641</v>
      </c>
      <c r="B1438" s="1" t="s">
        <v>2690</v>
      </c>
      <c r="C1438" s="1" t="s">
        <v>2797</v>
      </c>
      <c r="D1438" s="1" t="str">
        <f t="shared" si="70"/>
        <v>5120</v>
      </c>
      <c r="E1438" s="1" t="s">
        <v>537</v>
      </c>
      <c r="F1438" s="1" t="s">
        <v>538</v>
      </c>
      <c r="G1438" s="1" t="s">
        <v>15</v>
      </c>
      <c r="H1438" s="1" t="str">
        <f>"17"</f>
        <v>17</v>
      </c>
      <c r="I1438" s="3" t="str">
        <f>"10"</f>
        <v>10</v>
      </c>
      <c r="J1438" s="4">
        <v>46107</v>
      </c>
      <c r="K1438" s="1" t="s">
        <v>2798</v>
      </c>
    </row>
    <row r="1439" spans="1:11" x14ac:dyDescent="0.35">
      <c r="A1439" s="1" t="s">
        <v>2641</v>
      </c>
      <c r="B1439" s="1" t="s">
        <v>2690</v>
      </c>
      <c r="C1439" s="1" t="s">
        <v>2801</v>
      </c>
      <c r="D1439" s="1" t="str">
        <f>"5130"</f>
        <v>5130</v>
      </c>
      <c r="E1439" s="1" t="s">
        <v>579</v>
      </c>
      <c r="F1439" s="1" t="s">
        <v>580</v>
      </c>
      <c r="G1439" s="1" t="s">
        <v>15</v>
      </c>
      <c r="H1439" s="1" t="str">
        <f>"6"</f>
        <v>6</v>
      </c>
      <c r="I1439" s="3" t="str">
        <f>"15"</f>
        <v>15</v>
      </c>
      <c r="J1439" s="4">
        <v>46107</v>
      </c>
      <c r="K1439" s="1" t="s">
        <v>2763</v>
      </c>
    </row>
    <row r="1440" spans="1:11" x14ac:dyDescent="0.35">
      <c r="A1440" s="1" t="s">
        <v>2641</v>
      </c>
      <c r="B1440" s="1" t="s">
        <v>2690</v>
      </c>
      <c r="C1440" s="1" t="s">
        <v>2802</v>
      </c>
      <c r="D1440" s="1" t="str">
        <f>"5130"</f>
        <v>5130</v>
      </c>
      <c r="E1440" s="1" t="s">
        <v>579</v>
      </c>
      <c r="F1440" s="1" t="s">
        <v>580</v>
      </c>
      <c r="G1440" s="1" t="s">
        <v>15</v>
      </c>
      <c r="H1440" s="1" t="str">
        <f>"6"</f>
        <v>6</v>
      </c>
      <c r="I1440" s="3">
        <v>34.71</v>
      </c>
      <c r="J1440" s="4">
        <v>46107</v>
      </c>
      <c r="K1440" s="1" t="s">
        <v>2763</v>
      </c>
    </row>
    <row r="1441" spans="1:11" x14ac:dyDescent="0.35">
      <c r="A1441" s="1" t="s">
        <v>2641</v>
      </c>
      <c r="B1441" s="1" t="s">
        <v>2690</v>
      </c>
      <c r="C1441" s="1" t="s">
        <v>2805</v>
      </c>
      <c r="D1441" s="1" t="str">
        <f>"5130"</f>
        <v>5130</v>
      </c>
      <c r="E1441" s="1" t="str">
        <f>"010146856"</f>
        <v>010146856</v>
      </c>
      <c r="F1441" s="1" t="s">
        <v>2806</v>
      </c>
      <c r="G1441" s="1" t="s">
        <v>168</v>
      </c>
      <c r="H1441" s="1" t="str">
        <f>"6"</f>
        <v>6</v>
      </c>
      <c r="I1441" s="3">
        <v>78.760000000000005</v>
      </c>
      <c r="J1441" s="4">
        <v>46107</v>
      </c>
      <c r="K1441" s="1" t="s">
        <v>2763</v>
      </c>
    </row>
    <row r="1442" spans="1:11" x14ac:dyDescent="0.35">
      <c r="A1442" s="1" t="s">
        <v>2641</v>
      </c>
      <c r="B1442" s="1" t="s">
        <v>2690</v>
      </c>
      <c r="C1442" s="1" t="s">
        <v>2807</v>
      </c>
      <c r="D1442" s="1" t="str">
        <f>"5130"</f>
        <v>5130</v>
      </c>
      <c r="E1442" s="1" t="str">
        <f>"010146856"</f>
        <v>010146856</v>
      </c>
      <c r="F1442" s="1" t="s">
        <v>2806</v>
      </c>
      <c r="G1442" s="1" t="s">
        <v>168</v>
      </c>
      <c r="H1442" s="1" t="str">
        <f>"8"</f>
        <v>8</v>
      </c>
      <c r="I1442" s="3">
        <v>78.760000000000005</v>
      </c>
      <c r="J1442" s="4">
        <v>46107</v>
      </c>
      <c r="K1442" s="1" t="s">
        <v>2746</v>
      </c>
    </row>
    <row r="1443" spans="1:11" x14ac:dyDescent="0.35">
      <c r="A1443" s="1" t="s">
        <v>2641</v>
      </c>
      <c r="B1443" s="1" t="s">
        <v>2690</v>
      </c>
      <c r="C1443" s="1" t="s">
        <v>2808</v>
      </c>
      <c r="D1443" s="1" t="str">
        <f>"5130"</f>
        <v>5130</v>
      </c>
      <c r="E1443" s="1" t="s">
        <v>579</v>
      </c>
      <c r="F1443" s="1" t="s">
        <v>580</v>
      </c>
      <c r="G1443" s="1" t="s">
        <v>15</v>
      </c>
      <c r="H1443" s="1" t="str">
        <f>"6"</f>
        <v>6</v>
      </c>
      <c r="I1443" s="3" t="str">
        <f>"34"</f>
        <v>34</v>
      </c>
      <c r="J1443" s="4">
        <v>46107</v>
      </c>
      <c r="K1443" s="1" t="s">
        <v>2763</v>
      </c>
    </row>
    <row r="1444" spans="1:11" x14ac:dyDescent="0.35">
      <c r="A1444" s="1" t="s">
        <v>2641</v>
      </c>
      <c r="B1444" s="1" t="s">
        <v>2690</v>
      </c>
      <c r="C1444" s="1" t="s">
        <v>2809</v>
      </c>
      <c r="D1444" s="1" t="str">
        <f>"5180"</f>
        <v>5180</v>
      </c>
      <c r="E1444" s="1" t="s">
        <v>268</v>
      </c>
      <c r="F1444" s="1" t="s">
        <v>269</v>
      </c>
      <c r="G1444" s="1" t="s">
        <v>15</v>
      </c>
      <c r="H1444" s="1" t="str">
        <f>"1"</f>
        <v>1</v>
      </c>
      <c r="I1444" s="3" t="str">
        <f>"25"</f>
        <v>25</v>
      </c>
      <c r="J1444" s="4">
        <v>46107</v>
      </c>
      <c r="K1444" s="1" t="s">
        <v>2768</v>
      </c>
    </row>
    <row r="1445" spans="1:11" x14ac:dyDescent="0.35">
      <c r="A1445" s="1" t="s">
        <v>2641</v>
      </c>
      <c r="B1445" s="1" t="s">
        <v>2690</v>
      </c>
      <c r="C1445" s="1" t="s">
        <v>2829</v>
      </c>
      <c r="D1445" s="1" t="str">
        <f>"5210"</f>
        <v>5210</v>
      </c>
      <c r="E1445" s="1" t="s">
        <v>2830</v>
      </c>
      <c r="F1445" s="1" t="s">
        <v>2831</v>
      </c>
      <c r="G1445" s="1" t="s">
        <v>15</v>
      </c>
      <c r="H1445" s="1" t="str">
        <f>"1"</f>
        <v>1</v>
      </c>
      <c r="I1445" s="3" t="str">
        <f>"70"</f>
        <v>70</v>
      </c>
      <c r="J1445" s="4">
        <v>46107</v>
      </c>
      <c r="K1445" s="1" t="s">
        <v>2768</v>
      </c>
    </row>
    <row r="1446" spans="1:11" x14ac:dyDescent="0.35">
      <c r="A1446" s="1" t="s">
        <v>2641</v>
      </c>
      <c r="B1446" s="1" t="s">
        <v>2690</v>
      </c>
      <c r="C1446" s="1" t="s">
        <v>2836</v>
      </c>
      <c r="D1446" s="1" t="str">
        <f>"5345"</f>
        <v>5345</v>
      </c>
      <c r="E1446" s="1" t="s">
        <v>2837</v>
      </c>
      <c r="F1446" s="1" t="s">
        <v>2838</v>
      </c>
      <c r="G1446" s="1" t="s">
        <v>15</v>
      </c>
      <c r="H1446" s="1" t="str">
        <f>"20"</f>
        <v>20</v>
      </c>
      <c r="I1446" s="3" t="str">
        <f>"12"</f>
        <v>12</v>
      </c>
      <c r="J1446" s="4">
        <v>46107</v>
      </c>
      <c r="K1446" s="1" t="s">
        <v>2839</v>
      </c>
    </row>
    <row r="1447" spans="1:11" x14ac:dyDescent="0.35">
      <c r="A1447" s="1" t="s">
        <v>2641</v>
      </c>
      <c r="B1447" s="1" t="s">
        <v>2690</v>
      </c>
      <c r="C1447" s="1" t="s">
        <v>2859</v>
      </c>
      <c r="D1447" s="1" t="str">
        <f>"6130"</f>
        <v>6130</v>
      </c>
      <c r="E1447" s="1" t="s">
        <v>161</v>
      </c>
      <c r="F1447" s="1" t="s">
        <v>162</v>
      </c>
      <c r="G1447" s="1" t="s">
        <v>15</v>
      </c>
      <c r="H1447" s="1" t="str">
        <f>"2"</f>
        <v>2</v>
      </c>
      <c r="I1447" s="3" t="str">
        <f>"100"</f>
        <v>100</v>
      </c>
      <c r="J1447" s="4">
        <v>46107</v>
      </c>
      <c r="K1447" s="1" t="s">
        <v>2860</v>
      </c>
    </row>
    <row r="1448" spans="1:11" x14ac:dyDescent="0.35">
      <c r="A1448" s="1" t="s">
        <v>2641</v>
      </c>
      <c r="B1448" s="1" t="s">
        <v>2690</v>
      </c>
      <c r="C1448" s="1" t="s">
        <v>2870</v>
      </c>
      <c r="D1448" s="1" t="str">
        <f>"6685"</f>
        <v>6685</v>
      </c>
      <c r="E1448" s="1" t="str">
        <f>"010923911"</f>
        <v>010923911</v>
      </c>
      <c r="F1448" s="1" t="s">
        <v>2871</v>
      </c>
      <c r="G1448" s="1" t="s">
        <v>15</v>
      </c>
      <c r="H1448" s="1" t="str">
        <f>"10"</f>
        <v>10</v>
      </c>
      <c r="I1448" s="3">
        <v>7.9</v>
      </c>
      <c r="J1448" s="4">
        <v>46107</v>
      </c>
      <c r="K1448" s="1" t="s">
        <v>2872</v>
      </c>
    </row>
    <row r="1449" spans="1:11" x14ac:dyDescent="0.35">
      <c r="A1449" s="1" t="s">
        <v>2641</v>
      </c>
      <c r="B1449" s="1" t="s">
        <v>2690</v>
      </c>
      <c r="C1449" s="1" t="s">
        <v>2901</v>
      </c>
      <c r="D1449" s="1" t="str">
        <f>"7240"</f>
        <v>7240</v>
      </c>
      <c r="E1449" s="1" t="str">
        <f>"002567700"</f>
        <v>002567700</v>
      </c>
      <c r="F1449" s="1" t="s">
        <v>2902</v>
      </c>
      <c r="G1449" s="1" t="s">
        <v>15</v>
      </c>
      <c r="H1449" s="1" t="str">
        <f>"4"</f>
        <v>4</v>
      </c>
      <c r="I1449" s="3">
        <v>126.68</v>
      </c>
      <c r="J1449" s="4">
        <v>46107</v>
      </c>
      <c r="K1449" s="1" t="s">
        <v>2903</v>
      </c>
    </row>
    <row r="1450" spans="1:11" x14ac:dyDescent="0.35">
      <c r="A1450" s="1" t="s">
        <v>2641</v>
      </c>
      <c r="B1450" s="1" t="s">
        <v>2690</v>
      </c>
      <c r="C1450" s="1" t="s">
        <v>2904</v>
      </c>
      <c r="D1450" s="1" t="str">
        <f>"7240"</f>
        <v>7240</v>
      </c>
      <c r="E1450" s="1" t="s">
        <v>2905</v>
      </c>
      <c r="F1450" s="1" t="s">
        <v>2906</v>
      </c>
      <c r="G1450" s="1" t="s">
        <v>15</v>
      </c>
      <c r="H1450" s="1" t="str">
        <f>"5"</f>
        <v>5</v>
      </c>
      <c r="I1450" s="3" t="str">
        <f>"10"</f>
        <v>10</v>
      </c>
      <c r="J1450" s="4">
        <v>46107</v>
      </c>
      <c r="K1450" s="1" t="s">
        <v>2907</v>
      </c>
    </row>
    <row r="1451" spans="1:11" x14ac:dyDescent="0.35">
      <c r="A1451" s="1" t="s">
        <v>2641</v>
      </c>
      <c r="B1451" s="1" t="s">
        <v>2690</v>
      </c>
      <c r="C1451" s="1" t="s">
        <v>2908</v>
      </c>
      <c r="D1451" s="1" t="str">
        <f>"7310"</f>
        <v>7310</v>
      </c>
      <c r="E1451" s="1" t="str">
        <f>"008344480"</f>
        <v>008344480</v>
      </c>
      <c r="F1451" s="1" t="s">
        <v>2909</v>
      </c>
      <c r="G1451" s="1" t="s">
        <v>15</v>
      </c>
      <c r="H1451" s="1" t="str">
        <f>"12"</f>
        <v>12</v>
      </c>
      <c r="I1451" s="3">
        <v>53.51</v>
      </c>
      <c r="J1451" s="4">
        <v>46107</v>
      </c>
      <c r="K1451" s="1" t="s">
        <v>2910</v>
      </c>
    </row>
    <row r="1452" spans="1:11" x14ac:dyDescent="0.35">
      <c r="A1452" s="1" t="s">
        <v>2641</v>
      </c>
      <c r="B1452" s="1" t="s">
        <v>2690</v>
      </c>
      <c r="C1452" s="1" t="s">
        <v>2911</v>
      </c>
      <c r="D1452" s="1" t="str">
        <f>"7310"</f>
        <v>7310</v>
      </c>
      <c r="E1452" s="1" t="str">
        <f>"002385164"</f>
        <v>002385164</v>
      </c>
      <c r="F1452" s="1" t="s">
        <v>2912</v>
      </c>
      <c r="G1452" s="1" t="s">
        <v>15</v>
      </c>
      <c r="H1452" s="1" t="str">
        <f>"30"</f>
        <v>30</v>
      </c>
      <c r="I1452" s="3">
        <v>68.31</v>
      </c>
      <c r="J1452" s="4">
        <v>46107</v>
      </c>
      <c r="K1452" s="1" t="s">
        <v>2910</v>
      </c>
    </row>
    <row r="1453" spans="1:11" x14ac:dyDescent="0.35">
      <c r="A1453" s="1" t="s">
        <v>2641</v>
      </c>
      <c r="B1453" s="1" t="s">
        <v>2690</v>
      </c>
      <c r="C1453" s="1" t="s">
        <v>2913</v>
      </c>
      <c r="D1453" s="1" t="str">
        <f t="shared" ref="D1453:D1458" si="71">"7330"</f>
        <v>7330</v>
      </c>
      <c r="E1453" s="1" t="str">
        <f>"002722489"</f>
        <v>002722489</v>
      </c>
      <c r="F1453" s="1" t="s">
        <v>2914</v>
      </c>
      <c r="G1453" s="1" t="s">
        <v>15</v>
      </c>
      <c r="H1453" s="1" t="str">
        <f>"6"</f>
        <v>6</v>
      </c>
      <c r="I1453" s="3">
        <v>8.2799999999999994</v>
      </c>
      <c r="J1453" s="4">
        <v>46107</v>
      </c>
      <c r="K1453" s="1" t="s">
        <v>2872</v>
      </c>
    </row>
    <row r="1454" spans="1:11" x14ac:dyDescent="0.35">
      <c r="A1454" s="1" t="s">
        <v>2641</v>
      </c>
      <c r="B1454" s="1" t="s">
        <v>2690</v>
      </c>
      <c r="C1454" s="1" t="s">
        <v>2915</v>
      </c>
      <c r="D1454" s="1" t="str">
        <f t="shared" si="71"/>
        <v>7330</v>
      </c>
      <c r="E1454" s="1" t="str">
        <f>"001971280"</f>
        <v>001971280</v>
      </c>
      <c r="F1454" s="1" t="s">
        <v>2916</v>
      </c>
      <c r="G1454" s="1" t="s">
        <v>15</v>
      </c>
      <c r="H1454" s="1" t="str">
        <f>"7"</f>
        <v>7</v>
      </c>
      <c r="I1454" s="3">
        <v>22.61</v>
      </c>
      <c r="J1454" s="4">
        <v>46107</v>
      </c>
      <c r="K1454" s="1" t="s">
        <v>2872</v>
      </c>
    </row>
    <row r="1455" spans="1:11" x14ac:dyDescent="0.35">
      <c r="A1455" s="1" t="s">
        <v>2641</v>
      </c>
      <c r="B1455" s="1" t="s">
        <v>2690</v>
      </c>
      <c r="C1455" s="1" t="s">
        <v>2917</v>
      </c>
      <c r="D1455" s="1" t="str">
        <f t="shared" si="71"/>
        <v>7330</v>
      </c>
      <c r="E1455" s="1" t="str">
        <f>"006338905"</f>
        <v>006338905</v>
      </c>
      <c r="F1455" s="1" t="s">
        <v>2918</v>
      </c>
      <c r="G1455" s="1" t="s">
        <v>15</v>
      </c>
      <c r="H1455" s="1" t="str">
        <f>"26"</f>
        <v>26</v>
      </c>
      <c r="I1455" s="3">
        <v>34.99</v>
      </c>
      <c r="J1455" s="4">
        <v>46107</v>
      </c>
      <c r="K1455" s="1" t="s">
        <v>2872</v>
      </c>
    </row>
    <row r="1456" spans="1:11" x14ac:dyDescent="0.35">
      <c r="A1456" s="1" t="s">
        <v>2641</v>
      </c>
      <c r="B1456" s="1" t="s">
        <v>2690</v>
      </c>
      <c r="C1456" s="1" t="s">
        <v>2919</v>
      </c>
      <c r="D1456" s="1" t="str">
        <f t="shared" si="71"/>
        <v>7330</v>
      </c>
      <c r="E1456" s="1" t="str">
        <f>"012450201"</f>
        <v>012450201</v>
      </c>
      <c r="F1456" s="1" t="s">
        <v>2920</v>
      </c>
      <c r="G1456" s="1" t="s">
        <v>15</v>
      </c>
      <c r="H1456" s="1" t="str">
        <f>"2"</f>
        <v>2</v>
      </c>
      <c r="I1456" s="3">
        <v>7.58</v>
      </c>
      <c r="J1456" s="4">
        <v>46107</v>
      </c>
      <c r="K1456" s="1" t="s">
        <v>2872</v>
      </c>
    </row>
    <row r="1457" spans="1:11" x14ac:dyDescent="0.35">
      <c r="A1457" s="1" t="s">
        <v>2641</v>
      </c>
      <c r="B1457" s="1" t="s">
        <v>2690</v>
      </c>
      <c r="C1457" s="1" t="s">
        <v>2921</v>
      </c>
      <c r="D1457" s="1" t="str">
        <f t="shared" si="71"/>
        <v>7330</v>
      </c>
      <c r="E1457" s="1" t="str">
        <f>"006802635"</f>
        <v>006802635</v>
      </c>
      <c r="F1457" s="1" t="s">
        <v>2922</v>
      </c>
      <c r="G1457" s="1" t="s">
        <v>15</v>
      </c>
      <c r="H1457" s="1" t="str">
        <f>"4"</f>
        <v>4</v>
      </c>
      <c r="I1457" s="3">
        <v>4.83</v>
      </c>
      <c r="J1457" s="4">
        <v>46107</v>
      </c>
      <c r="K1457" s="1" t="s">
        <v>2872</v>
      </c>
    </row>
    <row r="1458" spans="1:11" x14ac:dyDescent="0.35">
      <c r="A1458" s="1" t="s">
        <v>2641</v>
      </c>
      <c r="B1458" s="1" t="s">
        <v>2690</v>
      </c>
      <c r="C1458" s="1" t="s">
        <v>2923</v>
      </c>
      <c r="D1458" s="1" t="str">
        <f t="shared" si="71"/>
        <v>7330</v>
      </c>
      <c r="E1458" s="1" t="str">
        <f>"012363155"</f>
        <v>012363155</v>
      </c>
      <c r="F1458" s="1" t="s">
        <v>2924</v>
      </c>
      <c r="G1458" s="1" t="s">
        <v>15</v>
      </c>
      <c r="H1458" s="1" t="str">
        <f>"4"</f>
        <v>4</v>
      </c>
      <c r="I1458" s="3">
        <v>117.75</v>
      </c>
      <c r="J1458" s="4">
        <v>46107</v>
      </c>
      <c r="K1458" s="1" t="s">
        <v>2925</v>
      </c>
    </row>
    <row r="1459" spans="1:11" x14ac:dyDescent="0.35">
      <c r="A1459" s="1" t="s">
        <v>2641</v>
      </c>
      <c r="B1459" s="1" t="s">
        <v>2690</v>
      </c>
      <c r="C1459" s="1" t="s">
        <v>2926</v>
      </c>
      <c r="D1459" s="1" t="str">
        <f>"7340"</f>
        <v>7340</v>
      </c>
      <c r="E1459" s="1" t="str">
        <f>"002729586"</f>
        <v>002729586</v>
      </c>
      <c r="F1459" s="1" t="s">
        <v>2927</v>
      </c>
      <c r="G1459" s="1" t="s">
        <v>15</v>
      </c>
      <c r="H1459" s="1" t="str">
        <f>"2"</f>
        <v>2</v>
      </c>
      <c r="I1459" s="3">
        <v>14.36</v>
      </c>
      <c r="J1459" s="4">
        <v>46107</v>
      </c>
      <c r="K1459" s="1" t="s">
        <v>2872</v>
      </c>
    </row>
    <row r="1460" spans="1:11" x14ac:dyDescent="0.35">
      <c r="A1460" s="1" t="s">
        <v>2641</v>
      </c>
      <c r="B1460" s="1" t="s">
        <v>2690</v>
      </c>
      <c r="C1460" s="1" t="s">
        <v>2928</v>
      </c>
      <c r="D1460" s="1" t="str">
        <f>"7340"</f>
        <v>7340</v>
      </c>
      <c r="E1460" s="1" t="str">
        <f>"002929487"</f>
        <v>002929487</v>
      </c>
      <c r="F1460" s="1" t="s">
        <v>2929</v>
      </c>
      <c r="G1460" s="1" t="s">
        <v>15</v>
      </c>
      <c r="H1460" s="1" t="str">
        <f>"4"</f>
        <v>4</v>
      </c>
      <c r="I1460" s="3">
        <v>32.29</v>
      </c>
      <c r="J1460" s="4">
        <v>46107</v>
      </c>
      <c r="K1460" s="1" t="s">
        <v>2872</v>
      </c>
    </row>
    <row r="1461" spans="1:11" x14ac:dyDescent="0.35">
      <c r="A1461" s="1" t="s">
        <v>2641</v>
      </c>
      <c r="B1461" s="1" t="s">
        <v>2690</v>
      </c>
      <c r="C1461" s="1" t="s">
        <v>2930</v>
      </c>
      <c r="D1461" s="1" t="str">
        <f>"7340"</f>
        <v>7340</v>
      </c>
      <c r="E1461" s="1" t="str">
        <f>"004887950"</f>
        <v>004887950</v>
      </c>
      <c r="F1461" s="1" t="s">
        <v>2931</v>
      </c>
      <c r="G1461" s="1" t="s">
        <v>15</v>
      </c>
      <c r="H1461" s="1" t="str">
        <f>"3"</f>
        <v>3</v>
      </c>
      <c r="I1461" s="3">
        <v>17.350000000000001</v>
      </c>
      <c r="J1461" s="4">
        <v>46107</v>
      </c>
      <c r="K1461" s="1" t="s">
        <v>2872</v>
      </c>
    </row>
    <row r="1462" spans="1:11" x14ac:dyDescent="0.35">
      <c r="A1462" s="1" t="s">
        <v>2641</v>
      </c>
      <c r="B1462" s="1" t="s">
        <v>2690</v>
      </c>
      <c r="C1462" s="1" t="s">
        <v>2932</v>
      </c>
      <c r="D1462" s="1" t="str">
        <f>"7340"</f>
        <v>7340</v>
      </c>
      <c r="E1462" s="1" t="str">
        <f>"004066531"</f>
        <v>004066531</v>
      </c>
      <c r="F1462" s="1" t="s">
        <v>2933</v>
      </c>
      <c r="G1462" s="1" t="s">
        <v>15</v>
      </c>
      <c r="H1462" s="1" t="str">
        <f>"2"</f>
        <v>2</v>
      </c>
      <c r="I1462" s="3">
        <v>11.27</v>
      </c>
      <c r="J1462" s="4">
        <v>46107</v>
      </c>
      <c r="K1462" s="1" t="s">
        <v>2872</v>
      </c>
    </row>
    <row r="1463" spans="1:11" x14ac:dyDescent="0.35">
      <c r="A1463" s="1" t="s">
        <v>2641</v>
      </c>
      <c r="B1463" s="1" t="s">
        <v>2642</v>
      </c>
      <c r="C1463" s="1" t="s">
        <v>2643</v>
      </c>
      <c r="D1463" s="1" t="str">
        <f>"2640"</f>
        <v>2640</v>
      </c>
      <c r="E1463" s="1" t="str">
        <f>"006960466"</f>
        <v>006960466</v>
      </c>
      <c r="F1463" s="1" t="s">
        <v>2644</v>
      </c>
      <c r="G1463" s="1" t="s">
        <v>15</v>
      </c>
      <c r="H1463" s="1" t="str">
        <f>"15"</f>
        <v>15</v>
      </c>
      <c r="I1463" s="3">
        <v>63.4</v>
      </c>
      <c r="J1463" s="4">
        <v>46108</v>
      </c>
      <c r="K1463" s="1" t="s">
        <v>2645</v>
      </c>
    </row>
    <row r="1464" spans="1:11" x14ac:dyDescent="0.35">
      <c r="A1464" s="1" t="s">
        <v>2641</v>
      </c>
      <c r="B1464" s="1" t="s">
        <v>2642</v>
      </c>
      <c r="C1464" s="1" t="s">
        <v>2650</v>
      </c>
      <c r="D1464" s="1" t="str">
        <f>"7025"</f>
        <v>7025</v>
      </c>
      <c r="E1464" s="1" t="str">
        <f>"015621812"</f>
        <v>015621812</v>
      </c>
      <c r="F1464" s="1" t="s">
        <v>2179</v>
      </c>
      <c r="G1464" s="1" t="s">
        <v>15</v>
      </c>
      <c r="H1464" s="1" t="str">
        <f>"1"</f>
        <v>1</v>
      </c>
      <c r="I1464" s="3">
        <v>383.56</v>
      </c>
      <c r="J1464" s="4">
        <v>46108</v>
      </c>
      <c r="K1464" s="1" t="s">
        <v>2651</v>
      </c>
    </row>
    <row r="1465" spans="1:11" x14ac:dyDescent="0.35">
      <c r="A1465" s="1" t="s">
        <v>2641</v>
      </c>
      <c r="B1465" s="1" t="s">
        <v>2690</v>
      </c>
      <c r="C1465" s="1" t="s">
        <v>3068</v>
      </c>
      <c r="D1465" s="1" t="str">
        <f>"8465"</f>
        <v>8465</v>
      </c>
      <c r="E1465" s="1" t="str">
        <f>"009734807"</f>
        <v>009734807</v>
      </c>
      <c r="F1465" s="1" t="s">
        <v>3069</v>
      </c>
      <c r="G1465" s="1" t="s">
        <v>15</v>
      </c>
      <c r="H1465" s="1" t="str">
        <f>"25"</f>
        <v>25</v>
      </c>
      <c r="I1465" s="3">
        <v>91.05</v>
      </c>
      <c r="J1465" s="4">
        <v>46112</v>
      </c>
      <c r="K1465" s="1" t="s">
        <v>3070</v>
      </c>
    </row>
    <row r="1466" spans="1:11" x14ac:dyDescent="0.35">
      <c r="A1466" s="1" t="s">
        <v>3268</v>
      </c>
      <c r="B1466" s="1" t="s">
        <v>3275</v>
      </c>
      <c r="C1466" s="1" t="s">
        <v>3288</v>
      </c>
      <c r="D1466" s="1" t="str">
        <f>"6515"</f>
        <v>6515</v>
      </c>
      <c r="E1466" s="1" t="s">
        <v>333</v>
      </c>
      <c r="F1466" s="1" t="s">
        <v>334</v>
      </c>
      <c r="G1466" s="1" t="s">
        <v>15</v>
      </c>
      <c r="H1466" s="1" t="str">
        <f>"25"</f>
        <v>25</v>
      </c>
      <c r="I1466" s="3" t="str">
        <f>"2500"</f>
        <v>2500</v>
      </c>
      <c r="J1466" s="4">
        <v>46028</v>
      </c>
      <c r="K1466" s="1" t="s">
        <v>3289</v>
      </c>
    </row>
    <row r="1467" spans="1:11" x14ac:dyDescent="0.35">
      <c r="A1467" s="1" t="s">
        <v>3268</v>
      </c>
      <c r="B1467" s="1" t="s">
        <v>3309</v>
      </c>
      <c r="C1467" s="1" t="s">
        <v>3310</v>
      </c>
      <c r="D1467" s="1" t="str">
        <f>"1240"</f>
        <v>1240</v>
      </c>
      <c r="E1467" s="1" t="s">
        <v>1364</v>
      </c>
      <c r="F1467" s="1" t="s">
        <v>1365</v>
      </c>
      <c r="G1467" s="1" t="s">
        <v>15</v>
      </c>
      <c r="H1467" s="1" t="str">
        <f>"30"</f>
        <v>30</v>
      </c>
      <c r="I1467" s="3">
        <v>602.34</v>
      </c>
      <c r="J1467" s="4">
        <v>46029</v>
      </c>
      <c r="K1467" s="1" t="s">
        <v>3311</v>
      </c>
    </row>
    <row r="1468" spans="1:11" x14ac:dyDescent="0.35">
      <c r="A1468" s="1" t="s">
        <v>3268</v>
      </c>
      <c r="B1468" s="1" t="s">
        <v>3309</v>
      </c>
      <c r="C1468" s="1" t="s">
        <v>3312</v>
      </c>
      <c r="D1468" s="1" t="str">
        <f>"1240"</f>
        <v>1240</v>
      </c>
      <c r="E1468" s="1" t="s">
        <v>1364</v>
      </c>
      <c r="F1468" s="1" t="s">
        <v>1365</v>
      </c>
      <c r="G1468" s="1" t="s">
        <v>15</v>
      </c>
      <c r="H1468" s="1" t="str">
        <f>"23"</f>
        <v>23</v>
      </c>
      <c r="I1468" s="3">
        <v>602.34</v>
      </c>
      <c r="J1468" s="4">
        <v>46029</v>
      </c>
      <c r="K1468" s="1" t="s">
        <v>3311</v>
      </c>
    </row>
    <row r="1469" spans="1:11" x14ac:dyDescent="0.35">
      <c r="A1469" s="1" t="s">
        <v>3268</v>
      </c>
      <c r="B1469" s="1" t="s">
        <v>3309</v>
      </c>
      <c r="C1469" s="1" t="s">
        <v>3313</v>
      </c>
      <c r="D1469" s="1" t="str">
        <f>"5855"</f>
        <v>5855</v>
      </c>
      <c r="E1469" s="1" t="str">
        <f>"016108704"</f>
        <v>016108704</v>
      </c>
      <c r="F1469" s="1" t="s">
        <v>3314</v>
      </c>
      <c r="G1469" s="1" t="s">
        <v>15</v>
      </c>
      <c r="H1469" s="1" t="str">
        <f>"7"</f>
        <v>7</v>
      </c>
      <c r="I1469" s="3" t="str">
        <f>"183"</f>
        <v>183</v>
      </c>
      <c r="J1469" s="4">
        <v>46029</v>
      </c>
      <c r="K1469" s="1" t="s">
        <v>3311</v>
      </c>
    </row>
    <row r="1470" spans="1:11" x14ac:dyDescent="0.35">
      <c r="A1470" s="1" t="s">
        <v>3268</v>
      </c>
      <c r="B1470" s="1" t="s">
        <v>3309</v>
      </c>
      <c r="C1470" s="1" t="s">
        <v>3318</v>
      </c>
      <c r="D1470" s="1" t="str">
        <f>"5855"</f>
        <v>5855</v>
      </c>
      <c r="E1470" s="1" t="str">
        <f>"015387994"</f>
        <v>015387994</v>
      </c>
      <c r="F1470" s="1" t="s">
        <v>1280</v>
      </c>
      <c r="G1470" s="1" t="s">
        <v>15</v>
      </c>
      <c r="H1470" s="1" t="str">
        <f>"5"</f>
        <v>5</v>
      </c>
      <c r="I1470" s="3">
        <v>18742.830000000002</v>
      </c>
      <c r="J1470" s="4">
        <v>46029</v>
      </c>
      <c r="K1470" s="1" t="s">
        <v>3311</v>
      </c>
    </row>
    <row r="1471" spans="1:11" x14ac:dyDescent="0.35">
      <c r="A1471" s="1" t="s">
        <v>3268</v>
      </c>
      <c r="B1471" s="1" t="s">
        <v>3337</v>
      </c>
      <c r="C1471" s="1" t="s">
        <v>3338</v>
      </c>
      <c r="D1471" s="1" t="str">
        <f>"6140"</f>
        <v>6140</v>
      </c>
      <c r="E1471" s="1" t="str">
        <f>"016772619"</f>
        <v>016772619</v>
      </c>
      <c r="F1471" s="1" t="s">
        <v>3339</v>
      </c>
      <c r="G1471" s="1" t="s">
        <v>15</v>
      </c>
      <c r="H1471" s="1" t="str">
        <f>"4"</f>
        <v>4</v>
      </c>
      <c r="I1471" s="3">
        <v>605.07000000000005</v>
      </c>
      <c r="J1471" s="4">
        <v>46029</v>
      </c>
      <c r="K1471" s="1" t="s">
        <v>3340</v>
      </c>
    </row>
    <row r="1472" spans="1:11" x14ac:dyDescent="0.35">
      <c r="A1472" s="1" t="s">
        <v>3268</v>
      </c>
      <c r="B1472" s="1" t="s">
        <v>3341</v>
      </c>
      <c r="C1472" s="1" t="s">
        <v>3344</v>
      </c>
      <c r="D1472" s="1" t="str">
        <f>"5855"</f>
        <v>5855</v>
      </c>
      <c r="E1472" s="1" t="str">
        <f>"015777174"</f>
        <v>015777174</v>
      </c>
      <c r="F1472" s="1" t="s">
        <v>952</v>
      </c>
      <c r="G1472" s="1" t="s">
        <v>15</v>
      </c>
      <c r="H1472" s="1" t="str">
        <f>"3"</f>
        <v>3</v>
      </c>
      <c r="I1472" s="3" t="str">
        <f>"1791"</f>
        <v>1791</v>
      </c>
      <c r="J1472" s="4">
        <v>46029</v>
      </c>
      <c r="K1472" s="1" t="s">
        <v>3345</v>
      </c>
    </row>
    <row r="1473" spans="1:11" x14ac:dyDescent="0.35">
      <c r="A1473" s="1" t="s">
        <v>3268</v>
      </c>
      <c r="B1473" s="1" t="s">
        <v>3346</v>
      </c>
      <c r="C1473" s="1" t="s">
        <v>3347</v>
      </c>
      <c r="D1473" s="1" t="str">
        <f>"1240"</f>
        <v>1240</v>
      </c>
      <c r="E1473" s="1" t="s">
        <v>1364</v>
      </c>
      <c r="F1473" s="1" t="s">
        <v>1365</v>
      </c>
      <c r="G1473" s="1" t="s">
        <v>15</v>
      </c>
      <c r="H1473" s="1" t="str">
        <f>"4"</f>
        <v>4</v>
      </c>
      <c r="I1473" s="3">
        <v>602.34</v>
      </c>
      <c r="J1473" s="4">
        <v>46030</v>
      </c>
      <c r="K1473" s="1" t="s">
        <v>3348</v>
      </c>
    </row>
    <row r="1474" spans="1:11" x14ac:dyDescent="0.35">
      <c r="A1474" s="1" t="s">
        <v>3268</v>
      </c>
      <c r="B1474" s="1" t="s">
        <v>3309</v>
      </c>
      <c r="C1474" s="1" t="s">
        <v>3315</v>
      </c>
      <c r="D1474" s="1" t="str">
        <f>"5855"</f>
        <v>5855</v>
      </c>
      <c r="E1474" s="1" t="str">
        <f>"015942892"</f>
        <v>015942892</v>
      </c>
      <c r="F1474" s="1" t="s">
        <v>742</v>
      </c>
      <c r="G1474" s="1" t="s">
        <v>15</v>
      </c>
      <c r="H1474" s="1" t="str">
        <f>"6"</f>
        <v>6</v>
      </c>
      <c r="I1474" s="3" t="str">
        <f>"1319"</f>
        <v>1319</v>
      </c>
      <c r="J1474" s="4">
        <v>46031</v>
      </c>
      <c r="K1474" s="1" t="s">
        <v>3311</v>
      </c>
    </row>
    <row r="1475" spans="1:11" x14ac:dyDescent="0.35">
      <c r="A1475" s="1" t="s">
        <v>3268</v>
      </c>
      <c r="B1475" s="1" t="s">
        <v>3275</v>
      </c>
      <c r="C1475" s="1" t="s">
        <v>3278</v>
      </c>
      <c r="D1475" s="1" t="str">
        <f>"1240"</f>
        <v>1240</v>
      </c>
      <c r="E1475" s="1" t="str">
        <f>"014111265"</f>
        <v>014111265</v>
      </c>
      <c r="F1475" s="1" t="s">
        <v>71</v>
      </c>
      <c r="G1475" s="1" t="s">
        <v>15</v>
      </c>
      <c r="H1475" s="1" t="str">
        <f>"2"</f>
        <v>2</v>
      </c>
      <c r="I1475" s="3" t="str">
        <f>"339"</f>
        <v>339</v>
      </c>
      <c r="J1475" s="4">
        <v>46036</v>
      </c>
      <c r="K1475" s="1" t="s">
        <v>3279</v>
      </c>
    </row>
    <row r="1476" spans="1:11" x14ac:dyDescent="0.35">
      <c r="A1476" s="1" t="s">
        <v>3268</v>
      </c>
      <c r="B1476" s="1" t="s">
        <v>3275</v>
      </c>
      <c r="C1476" s="1" t="s">
        <v>3280</v>
      </c>
      <c r="D1476" s="1" t="str">
        <f>"1240"</f>
        <v>1240</v>
      </c>
      <c r="E1476" s="1" t="str">
        <f>"014111265"</f>
        <v>014111265</v>
      </c>
      <c r="F1476" s="1" t="s">
        <v>71</v>
      </c>
      <c r="G1476" s="1" t="s">
        <v>15</v>
      </c>
      <c r="H1476" s="1" t="str">
        <f>"15"</f>
        <v>15</v>
      </c>
      <c r="I1476" s="3" t="str">
        <f>"339"</f>
        <v>339</v>
      </c>
      <c r="J1476" s="4">
        <v>46036</v>
      </c>
      <c r="K1476" s="1" t="s">
        <v>3279</v>
      </c>
    </row>
    <row r="1477" spans="1:11" x14ac:dyDescent="0.35">
      <c r="A1477" s="1" t="s">
        <v>3268</v>
      </c>
      <c r="B1477" s="1" t="s">
        <v>3275</v>
      </c>
      <c r="C1477" s="1" t="s">
        <v>3281</v>
      </c>
      <c r="D1477" s="1" t="str">
        <f>"1240"</f>
        <v>1240</v>
      </c>
      <c r="E1477" s="1" t="str">
        <f>"014111265"</f>
        <v>014111265</v>
      </c>
      <c r="F1477" s="1" t="s">
        <v>71</v>
      </c>
      <c r="G1477" s="1" t="s">
        <v>15</v>
      </c>
      <c r="H1477" s="1" t="str">
        <f>"1"</f>
        <v>1</v>
      </c>
      <c r="I1477" s="3" t="str">
        <f>"339"</f>
        <v>339</v>
      </c>
      <c r="J1477" s="4">
        <v>46036</v>
      </c>
      <c r="K1477" s="1" t="s">
        <v>3279</v>
      </c>
    </row>
    <row r="1478" spans="1:11" x14ac:dyDescent="0.35">
      <c r="A1478" s="1" t="s">
        <v>3268</v>
      </c>
      <c r="B1478" s="1" t="s">
        <v>3275</v>
      </c>
      <c r="C1478" s="1" t="s">
        <v>3282</v>
      </c>
      <c r="D1478" s="1" t="str">
        <f>"1240"</f>
        <v>1240</v>
      </c>
      <c r="E1478" s="1" t="str">
        <f>"014111265"</f>
        <v>014111265</v>
      </c>
      <c r="F1478" s="1" t="s">
        <v>71</v>
      </c>
      <c r="G1478" s="1" t="s">
        <v>15</v>
      </c>
      <c r="H1478" s="1" t="str">
        <f>"3"</f>
        <v>3</v>
      </c>
      <c r="I1478" s="3" t="str">
        <f>"339"</f>
        <v>339</v>
      </c>
      <c r="J1478" s="4">
        <v>46036</v>
      </c>
      <c r="K1478" s="1" t="s">
        <v>3279</v>
      </c>
    </row>
    <row r="1479" spans="1:11" x14ac:dyDescent="0.35">
      <c r="A1479" s="1" t="s">
        <v>3268</v>
      </c>
      <c r="B1479" s="1" t="s">
        <v>3275</v>
      </c>
      <c r="C1479" s="1" t="s">
        <v>3283</v>
      </c>
      <c r="D1479" s="1" t="str">
        <f>"1240"</f>
        <v>1240</v>
      </c>
      <c r="E1479" s="1" t="str">
        <f>"014111265"</f>
        <v>014111265</v>
      </c>
      <c r="F1479" s="1" t="s">
        <v>71</v>
      </c>
      <c r="G1479" s="1" t="s">
        <v>15</v>
      </c>
      <c r="H1479" s="1" t="str">
        <f>"1"</f>
        <v>1</v>
      </c>
      <c r="I1479" s="3" t="str">
        <f>"339"</f>
        <v>339</v>
      </c>
      <c r="J1479" s="4">
        <v>46036</v>
      </c>
      <c r="K1479" s="1" t="s">
        <v>3279</v>
      </c>
    </row>
    <row r="1480" spans="1:11" x14ac:dyDescent="0.35">
      <c r="A1480" s="1" t="s">
        <v>3268</v>
      </c>
      <c r="B1480" s="1" t="s">
        <v>3275</v>
      </c>
      <c r="C1480" s="1" t="s">
        <v>3292</v>
      </c>
      <c r="D1480" s="1" t="str">
        <f>"8145"</f>
        <v>8145</v>
      </c>
      <c r="E1480" s="1" t="str">
        <f>"015404463"</f>
        <v>015404463</v>
      </c>
      <c r="F1480" s="1" t="s">
        <v>753</v>
      </c>
      <c r="G1480" s="1" t="s">
        <v>15</v>
      </c>
      <c r="H1480" s="1" t="str">
        <f>"1"</f>
        <v>1</v>
      </c>
      <c r="I1480" s="3">
        <v>93.76</v>
      </c>
      <c r="J1480" s="4">
        <v>46036</v>
      </c>
      <c r="K1480" s="1" t="s">
        <v>3293</v>
      </c>
    </row>
    <row r="1481" spans="1:11" x14ac:dyDescent="0.35">
      <c r="A1481" s="1" t="s">
        <v>3268</v>
      </c>
      <c r="B1481" s="1" t="s">
        <v>3309</v>
      </c>
      <c r="C1481" s="1" t="s">
        <v>3320</v>
      </c>
      <c r="D1481" s="1" t="str">
        <f>"6545"</f>
        <v>6545</v>
      </c>
      <c r="E1481" s="1" t="str">
        <f>"015324962"</f>
        <v>015324962</v>
      </c>
      <c r="F1481" s="1" t="s">
        <v>1849</v>
      </c>
      <c r="G1481" s="1" t="s">
        <v>168</v>
      </c>
      <c r="H1481" s="1" t="str">
        <f>"3"</f>
        <v>3</v>
      </c>
      <c r="I1481" s="3">
        <v>1868.26</v>
      </c>
      <c r="J1481" s="4">
        <v>46036</v>
      </c>
      <c r="K1481" s="1" t="s">
        <v>3321</v>
      </c>
    </row>
    <row r="1482" spans="1:11" x14ac:dyDescent="0.35">
      <c r="A1482" s="1" t="s">
        <v>3268</v>
      </c>
      <c r="B1482" s="1" t="s">
        <v>3272</v>
      </c>
      <c r="C1482" s="1" t="s">
        <v>3273</v>
      </c>
      <c r="D1482" s="1" t="str">
        <f>"2320"</f>
        <v>2320</v>
      </c>
      <c r="E1482" s="1" t="str">
        <f>"014476343"</f>
        <v>014476343</v>
      </c>
      <c r="F1482" s="1" t="s">
        <v>930</v>
      </c>
      <c r="G1482" s="1" t="s">
        <v>15</v>
      </c>
      <c r="H1482" s="1" t="str">
        <f>"1"</f>
        <v>1</v>
      </c>
      <c r="I1482" s="3" t="str">
        <f>"176428"</f>
        <v>176428</v>
      </c>
      <c r="J1482" s="4">
        <v>46038</v>
      </c>
      <c r="K1482" s="1" t="s">
        <v>3274</v>
      </c>
    </row>
    <row r="1483" spans="1:11" x14ac:dyDescent="0.35">
      <c r="A1483" s="1" t="s">
        <v>3268</v>
      </c>
      <c r="B1483" s="1" t="s">
        <v>3309</v>
      </c>
      <c r="C1483" s="1" t="s">
        <v>3319</v>
      </c>
      <c r="D1483" s="1" t="str">
        <f>"5855"</f>
        <v>5855</v>
      </c>
      <c r="E1483" s="1" t="str">
        <f>"015485687"</f>
        <v>015485687</v>
      </c>
      <c r="F1483" s="1" t="s">
        <v>798</v>
      </c>
      <c r="G1483" s="1" t="s">
        <v>15</v>
      </c>
      <c r="H1483" s="1" t="str">
        <f>"45"</f>
        <v>45</v>
      </c>
      <c r="I1483" s="3" t="str">
        <f>"10402"</f>
        <v>10402</v>
      </c>
      <c r="J1483" s="4">
        <v>46038</v>
      </c>
      <c r="K1483" s="1" t="s">
        <v>3311</v>
      </c>
    </row>
    <row r="1484" spans="1:11" x14ac:dyDescent="0.35">
      <c r="A1484" s="1" t="s">
        <v>3268</v>
      </c>
      <c r="B1484" s="1" t="s">
        <v>3309</v>
      </c>
      <c r="C1484" s="1" t="s">
        <v>3316</v>
      </c>
      <c r="D1484" s="1" t="str">
        <f>"5855"</f>
        <v>5855</v>
      </c>
      <c r="E1484" s="1" t="str">
        <f>"015777174"</f>
        <v>015777174</v>
      </c>
      <c r="F1484" s="1" t="s">
        <v>952</v>
      </c>
      <c r="G1484" s="1" t="s">
        <v>15</v>
      </c>
      <c r="H1484" s="1" t="str">
        <f>"50"</f>
        <v>50</v>
      </c>
      <c r="I1484" s="3" t="str">
        <f>"1791"</f>
        <v>1791</v>
      </c>
      <c r="J1484" s="4">
        <v>46042</v>
      </c>
      <c r="K1484" s="1" t="s">
        <v>3317</v>
      </c>
    </row>
    <row r="1485" spans="1:11" x14ac:dyDescent="0.35">
      <c r="A1485" s="1" t="s">
        <v>3268</v>
      </c>
      <c r="B1485" s="1" t="s">
        <v>3275</v>
      </c>
      <c r="C1485" s="1" t="s">
        <v>3294</v>
      </c>
      <c r="D1485" s="1" t="str">
        <f>"8465"</f>
        <v>8465</v>
      </c>
      <c r="E1485" s="1" t="str">
        <f>"015313147"</f>
        <v>015313147</v>
      </c>
      <c r="F1485" s="1" t="s">
        <v>3295</v>
      </c>
      <c r="G1485" s="1" t="s">
        <v>15</v>
      </c>
      <c r="H1485" s="1" t="str">
        <f>"40"</f>
        <v>40</v>
      </c>
      <c r="I1485" s="3">
        <v>8.32</v>
      </c>
      <c r="J1485" s="4">
        <v>46044</v>
      </c>
      <c r="K1485" s="1" t="s">
        <v>3296</v>
      </c>
    </row>
    <row r="1486" spans="1:11" x14ac:dyDescent="0.35">
      <c r="A1486" s="1" t="s">
        <v>3268</v>
      </c>
      <c r="B1486" s="1" t="s">
        <v>3341</v>
      </c>
      <c r="C1486" s="1" t="s">
        <v>3342</v>
      </c>
      <c r="D1486" s="1" t="str">
        <f>"1240"</f>
        <v>1240</v>
      </c>
      <c r="E1486" s="1" t="str">
        <f>"016785336"</f>
        <v>016785336</v>
      </c>
      <c r="F1486" s="1" t="s">
        <v>71</v>
      </c>
      <c r="G1486" s="1" t="s">
        <v>15</v>
      </c>
      <c r="H1486" s="1" t="str">
        <f>"16"</f>
        <v>16</v>
      </c>
      <c r="I1486" s="3" t="str">
        <f>"352"</f>
        <v>352</v>
      </c>
      <c r="J1486" s="4">
        <v>46051</v>
      </c>
      <c r="K1486" s="1" t="s">
        <v>3343</v>
      </c>
    </row>
    <row r="1487" spans="1:11" x14ac:dyDescent="0.35">
      <c r="A1487" s="1" t="s">
        <v>3268</v>
      </c>
      <c r="B1487" s="1" t="s">
        <v>3275</v>
      </c>
      <c r="C1487" s="1" t="s">
        <v>3276</v>
      </c>
      <c r="D1487" s="1" t="str">
        <f>"1095"</f>
        <v>1095</v>
      </c>
      <c r="E1487" s="1" t="str">
        <f>"015506607"</f>
        <v>015506607</v>
      </c>
      <c r="F1487" s="1" t="s">
        <v>1102</v>
      </c>
      <c r="G1487" s="1" t="s">
        <v>15</v>
      </c>
      <c r="H1487" s="1" t="str">
        <f>"4"</f>
        <v>4</v>
      </c>
      <c r="I1487" s="3">
        <v>1245.01</v>
      </c>
      <c r="J1487" s="4">
        <v>46056</v>
      </c>
      <c r="K1487" s="1" t="s">
        <v>3277</v>
      </c>
    </row>
    <row r="1488" spans="1:11" x14ac:dyDescent="0.35">
      <c r="A1488" s="1" t="s">
        <v>3268</v>
      </c>
      <c r="B1488" s="1" t="s">
        <v>3275</v>
      </c>
      <c r="C1488" s="1" t="s">
        <v>3284</v>
      </c>
      <c r="D1488" s="1" t="str">
        <f>"6210"</f>
        <v>6210</v>
      </c>
      <c r="E1488" s="1" t="s">
        <v>2189</v>
      </c>
      <c r="F1488" s="1" t="s">
        <v>2190</v>
      </c>
      <c r="G1488" s="1" t="s">
        <v>15</v>
      </c>
      <c r="H1488" s="1" t="str">
        <f>"3"</f>
        <v>3</v>
      </c>
      <c r="I1488" s="3" t="str">
        <f>"200"</f>
        <v>200</v>
      </c>
      <c r="J1488" s="4">
        <v>46056</v>
      </c>
      <c r="K1488" s="1" t="s">
        <v>3285</v>
      </c>
    </row>
    <row r="1489" spans="1:11" x14ac:dyDescent="0.35">
      <c r="A1489" s="1" t="s">
        <v>3268</v>
      </c>
      <c r="B1489" s="1" t="s">
        <v>3322</v>
      </c>
      <c r="C1489" s="1" t="s">
        <v>3327</v>
      </c>
      <c r="D1489" s="1" t="str">
        <f>"7360"</f>
        <v>7360</v>
      </c>
      <c r="E1489" s="1" t="str">
        <f>"013741980"</f>
        <v>013741980</v>
      </c>
      <c r="F1489" s="1" t="s">
        <v>3328</v>
      </c>
      <c r="G1489" s="1" t="s">
        <v>15</v>
      </c>
      <c r="H1489" s="1" t="str">
        <f>"1"</f>
        <v>1</v>
      </c>
      <c r="I1489" s="3" t="str">
        <f>"31250"</f>
        <v>31250</v>
      </c>
      <c r="J1489" s="4">
        <v>46056</v>
      </c>
      <c r="K1489" s="1" t="s">
        <v>3329</v>
      </c>
    </row>
    <row r="1490" spans="1:11" x14ac:dyDescent="0.35">
      <c r="A1490" s="1" t="s">
        <v>3268</v>
      </c>
      <c r="B1490" s="1" t="s">
        <v>3330</v>
      </c>
      <c r="C1490" s="1" t="s">
        <v>3335</v>
      </c>
      <c r="D1490" s="1" t="str">
        <f>"7830"</f>
        <v>7830</v>
      </c>
      <c r="E1490" s="1" t="s">
        <v>2004</v>
      </c>
      <c r="F1490" s="1" t="s">
        <v>2005</v>
      </c>
      <c r="G1490" s="1" t="s">
        <v>15</v>
      </c>
      <c r="H1490" s="1" t="str">
        <f>"1"</f>
        <v>1</v>
      </c>
      <c r="I1490" s="3" t="str">
        <f>"3599"</f>
        <v>3599</v>
      </c>
      <c r="J1490" s="4">
        <v>46064</v>
      </c>
      <c r="K1490" s="1" t="s">
        <v>3336</v>
      </c>
    </row>
    <row r="1491" spans="1:11" x14ac:dyDescent="0.35">
      <c r="A1491" s="1" t="s">
        <v>3268</v>
      </c>
      <c r="B1491" s="1" t="s">
        <v>3349</v>
      </c>
      <c r="C1491" s="1" t="s">
        <v>3350</v>
      </c>
      <c r="D1491" s="1" t="str">
        <f>"4240"</f>
        <v>4240</v>
      </c>
      <c r="E1491" s="1" t="str">
        <f>"016308327"</f>
        <v>016308327</v>
      </c>
      <c r="F1491" s="1" t="s">
        <v>1404</v>
      </c>
      <c r="G1491" s="1" t="s">
        <v>15</v>
      </c>
      <c r="H1491" s="1" t="str">
        <f>"23"</f>
        <v>23</v>
      </c>
      <c r="I1491" s="3">
        <v>48.01</v>
      </c>
      <c r="J1491" s="4">
        <v>46064</v>
      </c>
      <c r="K1491" s="1" t="s">
        <v>3351</v>
      </c>
    </row>
    <row r="1492" spans="1:11" x14ac:dyDescent="0.35">
      <c r="A1492" s="1" t="s">
        <v>3268</v>
      </c>
      <c r="B1492" s="1" t="s">
        <v>3330</v>
      </c>
      <c r="C1492" s="1" t="s">
        <v>3331</v>
      </c>
      <c r="D1492" s="1" t="str">
        <f>"4310"</f>
        <v>4310</v>
      </c>
      <c r="E1492" s="1" t="s">
        <v>3332</v>
      </c>
      <c r="F1492" s="1" t="s">
        <v>3333</v>
      </c>
      <c r="G1492" s="1" t="s">
        <v>15</v>
      </c>
      <c r="H1492" s="1" t="str">
        <f>"1"</f>
        <v>1</v>
      </c>
      <c r="I1492" s="3">
        <v>3488.88</v>
      </c>
      <c r="J1492" s="4">
        <v>46065</v>
      </c>
      <c r="K1492" s="1" t="s">
        <v>3334</v>
      </c>
    </row>
    <row r="1493" spans="1:11" x14ac:dyDescent="0.35">
      <c r="A1493" s="1" t="s">
        <v>3268</v>
      </c>
      <c r="B1493" s="1" t="s">
        <v>3322</v>
      </c>
      <c r="C1493" s="1" t="s">
        <v>3323</v>
      </c>
      <c r="D1493" s="1" t="str">
        <f>"2340"</f>
        <v>2340</v>
      </c>
      <c r="E1493" s="1" t="s">
        <v>2469</v>
      </c>
      <c r="F1493" s="1" t="s">
        <v>2470</v>
      </c>
      <c r="G1493" s="1" t="s">
        <v>15</v>
      </c>
      <c r="H1493" s="1" t="str">
        <f>"1"</f>
        <v>1</v>
      </c>
      <c r="I1493" s="3">
        <v>13213.65</v>
      </c>
      <c r="J1493" s="4">
        <v>46069</v>
      </c>
      <c r="K1493" s="1" t="s">
        <v>3324</v>
      </c>
    </row>
    <row r="1494" spans="1:11" x14ac:dyDescent="0.35">
      <c r="A1494" s="1" t="s">
        <v>3268</v>
      </c>
      <c r="B1494" s="1" t="s">
        <v>3322</v>
      </c>
      <c r="C1494" s="1" t="s">
        <v>3325</v>
      </c>
      <c r="D1494" s="1" t="str">
        <f>"5180"</f>
        <v>5180</v>
      </c>
      <c r="E1494" s="1" t="str">
        <f>"016282375"</f>
        <v>016282375</v>
      </c>
      <c r="F1494" s="1" t="s">
        <v>322</v>
      </c>
      <c r="G1494" s="1" t="s">
        <v>168</v>
      </c>
      <c r="H1494" s="1" t="str">
        <f>"6"</f>
        <v>6</v>
      </c>
      <c r="I1494" s="3" t="str">
        <f>"3655"</f>
        <v>3655</v>
      </c>
      <c r="J1494" s="4">
        <v>46079</v>
      </c>
      <c r="K1494" s="1" t="s">
        <v>3326</v>
      </c>
    </row>
    <row r="1495" spans="1:11" x14ac:dyDescent="0.35">
      <c r="A1495" s="1" t="s">
        <v>3268</v>
      </c>
      <c r="B1495" s="1" t="s">
        <v>3269</v>
      </c>
      <c r="C1495" s="1" t="s">
        <v>3270</v>
      </c>
      <c r="D1495" s="1" t="str">
        <f>"2320"</f>
        <v>2320</v>
      </c>
      <c r="E1495" s="1" t="str">
        <f>"014473887"</f>
        <v>014473887</v>
      </c>
      <c r="F1495" s="1" t="s">
        <v>930</v>
      </c>
      <c r="G1495" s="1" t="s">
        <v>15</v>
      </c>
      <c r="H1495" s="1" t="str">
        <f>"1"</f>
        <v>1</v>
      </c>
      <c r="I1495" s="3" t="str">
        <f>"218378"</f>
        <v>218378</v>
      </c>
      <c r="J1495" s="4">
        <v>46085</v>
      </c>
      <c r="K1495" s="1" t="s">
        <v>3271</v>
      </c>
    </row>
    <row r="1496" spans="1:11" x14ac:dyDescent="0.35">
      <c r="A1496" s="1" t="s">
        <v>3268</v>
      </c>
      <c r="B1496" s="1" t="s">
        <v>3297</v>
      </c>
      <c r="C1496" s="1" t="s">
        <v>3303</v>
      </c>
      <c r="D1496" s="1" t="str">
        <f>"5180"</f>
        <v>5180</v>
      </c>
      <c r="E1496" s="1" t="str">
        <f>"016282375"</f>
        <v>016282375</v>
      </c>
      <c r="F1496" s="1" t="s">
        <v>322</v>
      </c>
      <c r="G1496" s="1" t="s">
        <v>168</v>
      </c>
      <c r="H1496" s="1" t="str">
        <f>"2"</f>
        <v>2</v>
      </c>
      <c r="I1496" s="3" t="str">
        <f>"3655"</f>
        <v>3655</v>
      </c>
      <c r="J1496" s="4">
        <v>46091</v>
      </c>
      <c r="K1496" s="1" t="s">
        <v>3304</v>
      </c>
    </row>
    <row r="1497" spans="1:11" x14ac:dyDescent="0.35">
      <c r="A1497" s="1" t="s">
        <v>3268</v>
      </c>
      <c r="B1497" s="1" t="s">
        <v>3297</v>
      </c>
      <c r="C1497" s="1" t="s">
        <v>3307</v>
      </c>
      <c r="D1497" s="1" t="str">
        <f>"8465"</f>
        <v>8465</v>
      </c>
      <c r="E1497" s="1" t="str">
        <f>"016733374"</f>
        <v>016733374</v>
      </c>
      <c r="F1497" s="1" t="s">
        <v>856</v>
      </c>
      <c r="G1497" s="1" t="s">
        <v>15</v>
      </c>
      <c r="H1497" s="1" t="str">
        <f>"21"</f>
        <v>21</v>
      </c>
      <c r="I1497" s="3">
        <v>143.49</v>
      </c>
      <c r="J1497" s="4">
        <v>46091</v>
      </c>
      <c r="K1497" s="1" t="s">
        <v>3308</v>
      </c>
    </row>
    <row r="1498" spans="1:11" x14ac:dyDescent="0.35">
      <c r="A1498" s="1" t="s">
        <v>3268</v>
      </c>
      <c r="B1498" s="1" t="s">
        <v>3275</v>
      </c>
      <c r="C1498" s="1" t="s">
        <v>3286</v>
      </c>
      <c r="D1498" s="1" t="str">
        <f>"6310"</f>
        <v>6310</v>
      </c>
      <c r="E1498" s="1" t="s">
        <v>1713</v>
      </c>
      <c r="F1498" s="1" t="s">
        <v>1714</v>
      </c>
      <c r="G1498" s="1" t="s">
        <v>15</v>
      </c>
      <c r="H1498" s="1" t="str">
        <f>"2"</f>
        <v>2</v>
      </c>
      <c r="I1498" s="3" t="str">
        <f>"5000"</f>
        <v>5000</v>
      </c>
      <c r="J1498" s="4">
        <v>46093</v>
      </c>
      <c r="K1498" s="1" t="s">
        <v>3287</v>
      </c>
    </row>
    <row r="1499" spans="1:11" x14ac:dyDescent="0.35">
      <c r="A1499" s="1" t="s">
        <v>3268</v>
      </c>
      <c r="B1499" s="1" t="s">
        <v>3275</v>
      </c>
      <c r="C1499" s="1" t="s">
        <v>3290</v>
      </c>
      <c r="D1499" s="1" t="str">
        <f>"6910"</f>
        <v>6910</v>
      </c>
      <c r="E1499" s="1" t="s">
        <v>647</v>
      </c>
      <c r="F1499" s="1" t="s">
        <v>648</v>
      </c>
      <c r="G1499" s="1" t="s">
        <v>15</v>
      </c>
      <c r="H1499" s="1" t="str">
        <f>"4"</f>
        <v>4</v>
      </c>
      <c r="I1499" s="3" t="str">
        <f>"4120"</f>
        <v>4120</v>
      </c>
      <c r="J1499" s="4">
        <v>46105</v>
      </c>
      <c r="K1499" s="1" t="s">
        <v>3291</v>
      </c>
    </row>
    <row r="1500" spans="1:11" x14ac:dyDescent="0.35">
      <c r="A1500" s="1" t="s">
        <v>3268</v>
      </c>
      <c r="B1500" s="1" t="s">
        <v>3297</v>
      </c>
      <c r="C1500" s="1" t="s">
        <v>3298</v>
      </c>
      <c r="D1500" s="1" t="str">
        <f>"4240"</f>
        <v>4240</v>
      </c>
      <c r="E1500" s="1" t="str">
        <f>"015700319"</f>
        <v>015700319</v>
      </c>
      <c r="F1500" s="1" t="s">
        <v>3299</v>
      </c>
      <c r="G1500" s="1" t="s">
        <v>15</v>
      </c>
      <c r="H1500" s="1" t="str">
        <f>"20"</f>
        <v>20</v>
      </c>
      <c r="I1500" s="3">
        <v>28.44</v>
      </c>
      <c r="J1500" s="4">
        <v>46106</v>
      </c>
      <c r="K1500" s="1" t="s">
        <v>3300</v>
      </c>
    </row>
    <row r="1501" spans="1:11" x14ac:dyDescent="0.35">
      <c r="A1501" s="1" t="s">
        <v>3268</v>
      </c>
      <c r="B1501" s="1" t="s">
        <v>3297</v>
      </c>
      <c r="C1501" s="1" t="s">
        <v>3301</v>
      </c>
      <c r="D1501" s="1" t="str">
        <f>"5120"</f>
        <v>5120</v>
      </c>
      <c r="E1501" s="1" t="str">
        <f>"014767556"</f>
        <v>014767556</v>
      </c>
      <c r="F1501" s="1" t="s">
        <v>76</v>
      </c>
      <c r="G1501" s="1" t="s">
        <v>15</v>
      </c>
      <c r="H1501" s="1" t="str">
        <f>"10"</f>
        <v>10</v>
      </c>
      <c r="I1501" s="3">
        <v>61.83</v>
      </c>
      <c r="J1501" s="4">
        <v>46106</v>
      </c>
      <c r="K1501" s="1" t="s">
        <v>3302</v>
      </c>
    </row>
    <row r="1502" spans="1:11" x14ac:dyDescent="0.35">
      <c r="A1502" s="1" t="s">
        <v>3268</v>
      </c>
      <c r="B1502" s="1" t="s">
        <v>3297</v>
      </c>
      <c r="C1502" s="1" t="s">
        <v>3305</v>
      </c>
      <c r="D1502" s="1" t="str">
        <f>"7240"</f>
        <v>7240</v>
      </c>
      <c r="E1502" s="1" t="str">
        <f>"000893827"</f>
        <v>000893827</v>
      </c>
      <c r="F1502" s="1" t="s">
        <v>1841</v>
      </c>
      <c r="G1502" s="1" t="s">
        <v>15</v>
      </c>
      <c r="H1502" s="1" t="str">
        <f>"5"</f>
        <v>5</v>
      </c>
      <c r="I1502" s="3">
        <v>44.15</v>
      </c>
      <c r="J1502" s="4">
        <v>46106</v>
      </c>
      <c r="K1502" s="1" t="s">
        <v>3306</v>
      </c>
    </row>
    <row r="1503" spans="1:11" x14ac:dyDescent="0.35">
      <c r="A1503" s="1" t="s">
        <v>3352</v>
      </c>
      <c r="B1503" s="1" t="s">
        <v>3353</v>
      </c>
      <c r="C1503" s="1" t="s">
        <v>3354</v>
      </c>
      <c r="D1503" s="1" t="str">
        <f>"5855"</f>
        <v>5855</v>
      </c>
      <c r="E1503" s="1" t="str">
        <f>"014199429"</f>
        <v>014199429</v>
      </c>
      <c r="F1503" s="1" t="s">
        <v>614</v>
      </c>
      <c r="G1503" s="1" t="s">
        <v>15</v>
      </c>
      <c r="H1503" s="1" t="str">
        <f>"15"</f>
        <v>15</v>
      </c>
      <c r="I1503" s="3" t="str">
        <f>"13003"</f>
        <v>13003</v>
      </c>
      <c r="J1503" s="4">
        <v>46098</v>
      </c>
      <c r="K1503" s="1" t="s">
        <v>3355</v>
      </c>
    </row>
    <row r="1504" spans="1:11" x14ac:dyDescent="0.35">
      <c r="A1504" s="1" t="s">
        <v>3356</v>
      </c>
      <c r="B1504" s="1" t="s">
        <v>3545</v>
      </c>
      <c r="C1504" s="1" t="s">
        <v>3548</v>
      </c>
      <c r="D1504" s="1" t="str">
        <f>"4933"</f>
        <v>4933</v>
      </c>
      <c r="E1504" s="1" t="str">
        <f>"015863322"</f>
        <v>015863322</v>
      </c>
      <c r="F1504" s="1" t="s">
        <v>3549</v>
      </c>
      <c r="G1504" s="1" t="s">
        <v>257</v>
      </c>
      <c r="H1504" s="1" t="str">
        <f>"1"</f>
        <v>1</v>
      </c>
      <c r="I1504" s="3" t="str">
        <f>"24475"</f>
        <v>24475</v>
      </c>
      <c r="J1504" s="4">
        <v>46026</v>
      </c>
      <c r="K1504" s="1" t="s">
        <v>3550</v>
      </c>
    </row>
    <row r="1505" spans="1:11" x14ac:dyDescent="0.35">
      <c r="A1505" s="1" t="s">
        <v>3356</v>
      </c>
      <c r="B1505" s="1" t="s">
        <v>3578</v>
      </c>
      <c r="C1505" s="1" t="s">
        <v>3586</v>
      </c>
      <c r="D1505" s="1" t="str">
        <f>"1240"</f>
        <v>1240</v>
      </c>
      <c r="E1505" s="1" t="str">
        <f>"016853439"</f>
        <v>016853439</v>
      </c>
      <c r="F1505" s="1" t="s">
        <v>3587</v>
      </c>
      <c r="G1505" s="1" t="s">
        <v>15</v>
      </c>
      <c r="H1505" s="1" t="str">
        <f>"1"</f>
        <v>1</v>
      </c>
      <c r="I1505" s="3">
        <v>1872.55</v>
      </c>
      <c r="J1505" s="4">
        <v>46027</v>
      </c>
      <c r="K1505" s="1" t="s">
        <v>3588</v>
      </c>
    </row>
    <row r="1506" spans="1:11" x14ac:dyDescent="0.35">
      <c r="A1506" s="1" t="s">
        <v>3356</v>
      </c>
      <c r="B1506" s="1" t="s">
        <v>3578</v>
      </c>
      <c r="C1506" s="1" t="s">
        <v>3583</v>
      </c>
      <c r="D1506" s="1" t="str">
        <f>"1240"</f>
        <v>1240</v>
      </c>
      <c r="E1506" s="1" t="str">
        <f>"015814106"</f>
        <v>015814106</v>
      </c>
      <c r="F1506" s="1" t="s">
        <v>71</v>
      </c>
      <c r="G1506" s="1" t="s">
        <v>15</v>
      </c>
      <c r="H1506" s="1" t="str">
        <f>"30"</f>
        <v>30</v>
      </c>
      <c r="I1506" s="3" t="str">
        <f>"450"</f>
        <v>450</v>
      </c>
      <c r="J1506" s="4">
        <v>46028</v>
      </c>
      <c r="K1506" s="1" t="s">
        <v>3584</v>
      </c>
    </row>
    <row r="1507" spans="1:11" x14ac:dyDescent="0.35">
      <c r="A1507" s="1" t="s">
        <v>3356</v>
      </c>
      <c r="B1507" s="1" t="s">
        <v>3766</v>
      </c>
      <c r="C1507" s="5" t="s">
        <v>3773</v>
      </c>
      <c r="D1507" s="1" t="str">
        <f>"2320"</f>
        <v>2320</v>
      </c>
      <c r="E1507" s="1" t="str">
        <f>"010907796"</f>
        <v>010907796</v>
      </c>
      <c r="F1507" s="1" t="s">
        <v>3774</v>
      </c>
      <c r="G1507" s="1" t="s">
        <v>15</v>
      </c>
      <c r="H1507" s="1" t="str">
        <f>"1"</f>
        <v>1</v>
      </c>
      <c r="I1507" s="3" t="str">
        <f>"59635"</f>
        <v>59635</v>
      </c>
      <c r="J1507" s="4">
        <v>46029</v>
      </c>
      <c r="K1507" s="1" t="s">
        <v>4487</v>
      </c>
    </row>
    <row r="1508" spans="1:11" x14ac:dyDescent="0.35">
      <c r="A1508" s="1" t="s">
        <v>3356</v>
      </c>
      <c r="B1508" s="1" t="s">
        <v>3545</v>
      </c>
      <c r="C1508" s="1" t="s">
        <v>3551</v>
      </c>
      <c r="D1508" s="1" t="str">
        <f t="shared" ref="D1508:D1522" si="72">"8465"</f>
        <v>8465</v>
      </c>
      <c r="E1508" s="1" t="str">
        <f t="shared" ref="E1508:E1522" si="73">"005303692"</f>
        <v>005303692</v>
      </c>
      <c r="F1508" s="1" t="s">
        <v>3088</v>
      </c>
      <c r="G1508" s="1" t="s">
        <v>15</v>
      </c>
      <c r="H1508" s="1" t="str">
        <f>"2"</f>
        <v>2</v>
      </c>
      <c r="I1508" s="3">
        <v>15.17</v>
      </c>
      <c r="J1508" s="4">
        <v>46029</v>
      </c>
      <c r="K1508" s="1" t="s">
        <v>3552</v>
      </c>
    </row>
    <row r="1509" spans="1:11" x14ac:dyDescent="0.35">
      <c r="A1509" s="1" t="s">
        <v>3356</v>
      </c>
      <c r="B1509" s="1" t="s">
        <v>3545</v>
      </c>
      <c r="C1509" s="1" t="s">
        <v>3553</v>
      </c>
      <c r="D1509" s="1" t="str">
        <f t="shared" si="72"/>
        <v>8465</v>
      </c>
      <c r="E1509" s="1" t="str">
        <f t="shared" si="73"/>
        <v>005303692</v>
      </c>
      <c r="F1509" s="1" t="s">
        <v>3088</v>
      </c>
      <c r="G1509" s="1" t="s">
        <v>15</v>
      </c>
      <c r="H1509" s="1" t="str">
        <f>"2"</f>
        <v>2</v>
      </c>
      <c r="I1509" s="3">
        <v>15.17</v>
      </c>
      <c r="J1509" s="4">
        <v>46029</v>
      </c>
      <c r="K1509" s="1" t="s">
        <v>3552</v>
      </c>
    </row>
    <row r="1510" spans="1:11" x14ac:dyDescent="0.35">
      <c r="A1510" s="1" t="s">
        <v>3356</v>
      </c>
      <c r="B1510" s="1" t="s">
        <v>3545</v>
      </c>
      <c r="C1510" s="1" t="s">
        <v>3554</v>
      </c>
      <c r="D1510" s="1" t="str">
        <f t="shared" si="72"/>
        <v>8465</v>
      </c>
      <c r="E1510" s="1" t="str">
        <f t="shared" si="73"/>
        <v>005303692</v>
      </c>
      <c r="F1510" s="1" t="s">
        <v>3088</v>
      </c>
      <c r="G1510" s="1" t="s">
        <v>15</v>
      </c>
      <c r="H1510" s="1" t="str">
        <f>"2"</f>
        <v>2</v>
      </c>
      <c r="I1510" s="3">
        <v>15.17</v>
      </c>
      <c r="J1510" s="4">
        <v>46029</v>
      </c>
      <c r="K1510" s="1" t="s">
        <v>3552</v>
      </c>
    </row>
    <row r="1511" spans="1:11" x14ac:dyDescent="0.35">
      <c r="A1511" s="1" t="s">
        <v>3356</v>
      </c>
      <c r="B1511" s="1" t="s">
        <v>3545</v>
      </c>
      <c r="C1511" s="1" t="s">
        <v>3555</v>
      </c>
      <c r="D1511" s="1" t="str">
        <f t="shared" si="72"/>
        <v>8465</v>
      </c>
      <c r="E1511" s="1" t="str">
        <f t="shared" si="73"/>
        <v>005303692</v>
      </c>
      <c r="F1511" s="1" t="s">
        <v>3088</v>
      </c>
      <c r="G1511" s="1" t="s">
        <v>15</v>
      </c>
      <c r="H1511" s="1" t="str">
        <f>"3"</f>
        <v>3</v>
      </c>
      <c r="I1511" s="3">
        <v>15.17</v>
      </c>
      <c r="J1511" s="4">
        <v>46029</v>
      </c>
      <c r="K1511" s="1" t="s">
        <v>3552</v>
      </c>
    </row>
    <row r="1512" spans="1:11" x14ac:dyDescent="0.35">
      <c r="A1512" s="1" t="s">
        <v>3356</v>
      </c>
      <c r="B1512" s="1" t="s">
        <v>3545</v>
      </c>
      <c r="C1512" s="1" t="s">
        <v>3556</v>
      </c>
      <c r="D1512" s="1" t="str">
        <f t="shared" si="72"/>
        <v>8465</v>
      </c>
      <c r="E1512" s="1" t="str">
        <f t="shared" si="73"/>
        <v>005303692</v>
      </c>
      <c r="F1512" s="1" t="s">
        <v>3088</v>
      </c>
      <c r="G1512" s="1" t="s">
        <v>15</v>
      </c>
      <c r="H1512" s="1" t="str">
        <f>"2"</f>
        <v>2</v>
      </c>
      <c r="I1512" s="3">
        <v>15.17</v>
      </c>
      <c r="J1512" s="4">
        <v>46029</v>
      </c>
      <c r="K1512" s="1" t="s">
        <v>3552</v>
      </c>
    </row>
    <row r="1513" spans="1:11" x14ac:dyDescent="0.35">
      <c r="A1513" s="1" t="s">
        <v>3356</v>
      </c>
      <c r="B1513" s="1" t="s">
        <v>3545</v>
      </c>
      <c r="C1513" s="1" t="s">
        <v>3557</v>
      </c>
      <c r="D1513" s="1" t="str">
        <f t="shared" si="72"/>
        <v>8465</v>
      </c>
      <c r="E1513" s="1" t="str">
        <f t="shared" si="73"/>
        <v>005303692</v>
      </c>
      <c r="F1513" s="1" t="s">
        <v>3088</v>
      </c>
      <c r="G1513" s="1" t="s">
        <v>15</v>
      </c>
      <c r="H1513" s="1" t="str">
        <f>"2"</f>
        <v>2</v>
      </c>
      <c r="I1513" s="3">
        <v>15.17</v>
      </c>
      <c r="J1513" s="4">
        <v>46029</v>
      </c>
      <c r="K1513" s="1" t="s">
        <v>3552</v>
      </c>
    </row>
    <row r="1514" spans="1:11" x14ac:dyDescent="0.35">
      <c r="A1514" s="1" t="s">
        <v>3356</v>
      </c>
      <c r="B1514" s="1" t="s">
        <v>3545</v>
      </c>
      <c r="C1514" s="1" t="s">
        <v>3558</v>
      </c>
      <c r="D1514" s="1" t="str">
        <f t="shared" si="72"/>
        <v>8465</v>
      </c>
      <c r="E1514" s="1" t="str">
        <f t="shared" si="73"/>
        <v>005303692</v>
      </c>
      <c r="F1514" s="1" t="s">
        <v>3088</v>
      </c>
      <c r="G1514" s="1" t="s">
        <v>15</v>
      </c>
      <c r="H1514" s="1" t="str">
        <f>"2"</f>
        <v>2</v>
      </c>
      <c r="I1514" s="3">
        <v>15.17</v>
      </c>
      <c r="J1514" s="4">
        <v>46029</v>
      </c>
      <c r="K1514" s="1" t="s">
        <v>3552</v>
      </c>
    </row>
    <row r="1515" spans="1:11" x14ac:dyDescent="0.35">
      <c r="A1515" s="1" t="s">
        <v>3356</v>
      </c>
      <c r="B1515" s="1" t="s">
        <v>3545</v>
      </c>
      <c r="C1515" s="1" t="s">
        <v>3559</v>
      </c>
      <c r="D1515" s="1" t="str">
        <f t="shared" si="72"/>
        <v>8465</v>
      </c>
      <c r="E1515" s="1" t="str">
        <f t="shared" si="73"/>
        <v>005303692</v>
      </c>
      <c r="F1515" s="1" t="s">
        <v>3088</v>
      </c>
      <c r="G1515" s="1" t="s">
        <v>15</v>
      </c>
      <c r="H1515" s="1" t="str">
        <f>"1"</f>
        <v>1</v>
      </c>
      <c r="I1515" s="3">
        <v>15.17</v>
      </c>
      <c r="J1515" s="4">
        <v>46029</v>
      </c>
      <c r="K1515" s="1" t="s">
        <v>3552</v>
      </c>
    </row>
    <row r="1516" spans="1:11" x14ac:dyDescent="0.35">
      <c r="A1516" s="1" t="s">
        <v>3356</v>
      </c>
      <c r="B1516" s="1" t="s">
        <v>3545</v>
      </c>
      <c r="C1516" s="1" t="s">
        <v>3560</v>
      </c>
      <c r="D1516" s="1" t="str">
        <f t="shared" si="72"/>
        <v>8465</v>
      </c>
      <c r="E1516" s="1" t="str">
        <f t="shared" si="73"/>
        <v>005303692</v>
      </c>
      <c r="F1516" s="1" t="s">
        <v>3088</v>
      </c>
      <c r="G1516" s="1" t="s">
        <v>15</v>
      </c>
      <c r="H1516" s="1" t="str">
        <f>"1"</f>
        <v>1</v>
      </c>
      <c r="I1516" s="3">
        <v>15.17</v>
      </c>
      <c r="J1516" s="4">
        <v>46029</v>
      </c>
      <c r="K1516" s="1" t="s">
        <v>3552</v>
      </c>
    </row>
    <row r="1517" spans="1:11" x14ac:dyDescent="0.35">
      <c r="A1517" s="1" t="s">
        <v>3356</v>
      </c>
      <c r="B1517" s="1" t="s">
        <v>3545</v>
      </c>
      <c r="C1517" s="1" t="s">
        <v>3561</v>
      </c>
      <c r="D1517" s="1" t="str">
        <f t="shared" si="72"/>
        <v>8465</v>
      </c>
      <c r="E1517" s="1" t="str">
        <f t="shared" si="73"/>
        <v>005303692</v>
      </c>
      <c r="F1517" s="1" t="s">
        <v>3088</v>
      </c>
      <c r="G1517" s="1" t="s">
        <v>15</v>
      </c>
      <c r="H1517" s="1" t="str">
        <f>"2"</f>
        <v>2</v>
      </c>
      <c r="I1517" s="3">
        <v>15.17</v>
      </c>
      <c r="J1517" s="4">
        <v>46029</v>
      </c>
      <c r="K1517" s="1" t="s">
        <v>3562</v>
      </c>
    </row>
    <row r="1518" spans="1:11" x14ac:dyDescent="0.35">
      <c r="A1518" s="1" t="s">
        <v>3356</v>
      </c>
      <c r="B1518" s="1" t="s">
        <v>3545</v>
      </c>
      <c r="C1518" s="1" t="s">
        <v>3563</v>
      </c>
      <c r="D1518" s="1" t="str">
        <f t="shared" si="72"/>
        <v>8465</v>
      </c>
      <c r="E1518" s="1" t="str">
        <f t="shared" si="73"/>
        <v>005303692</v>
      </c>
      <c r="F1518" s="1" t="s">
        <v>3088</v>
      </c>
      <c r="G1518" s="1" t="s">
        <v>15</v>
      </c>
      <c r="H1518" s="1" t="str">
        <f>"2"</f>
        <v>2</v>
      </c>
      <c r="I1518" s="3">
        <v>15.17</v>
      </c>
      <c r="J1518" s="4">
        <v>46029</v>
      </c>
      <c r="K1518" s="1" t="s">
        <v>3562</v>
      </c>
    </row>
    <row r="1519" spans="1:11" x14ac:dyDescent="0.35">
      <c r="A1519" s="1" t="s">
        <v>3356</v>
      </c>
      <c r="B1519" s="1" t="s">
        <v>3545</v>
      </c>
      <c r="C1519" s="1" t="s">
        <v>3564</v>
      </c>
      <c r="D1519" s="1" t="str">
        <f t="shared" si="72"/>
        <v>8465</v>
      </c>
      <c r="E1519" s="1" t="str">
        <f t="shared" si="73"/>
        <v>005303692</v>
      </c>
      <c r="F1519" s="1" t="s">
        <v>3088</v>
      </c>
      <c r="G1519" s="1" t="s">
        <v>15</v>
      </c>
      <c r="H1519" s="1" t="str">
        <f>"6"</f>
        <v>6</v>
      </c>
      <c r="I1519" s="3">
        <v>15.17</v>
      </c>
      <c r="J1519" s="4">
        <v>46029</v>
      </c>
      <c r="K1519" s="1" t="s">
        <v>3562</v>
      </c>
    </row>
    <row r="1520" spans="1:11" x14ac:dyDescent="0.35">
      <c r="A1520" s="1" t="s">
        <v>3356</v>
      </c>
      <c r="B1520" s="1" t="s">
        <v>3545</v>
      </c>
      <c r="C1520" s="1" t="s">
        <v>3565</v>
      </c>
      <c r="D1520" s="1" t="str">
        <f t="shared" si="72"/>
        <v>8465</v>
      </c>
      <c r="E1520" s="1" t="str">
        <f t="shared" si="73"/>
        <v>005303692</v>
      </c>
      <c r="F1520" s="1" t="s">
        <v>3088</v>
      </c>
      <c r="G1520" s="1" t="s">
        <v>15</v>
      </c>
      <c r="H1520" s="1" t="str">
        <f>"5"</f>
        <v>5</v>
      </c>
      <c r="I1520" s="3">
        <v>15.64</v>
      </c>
      <c r="J1520" s="4">
        <v>46029</v>
      </c>
      <c r="K1520" s="1" t="s">
        <v>3562</v>
      </c>
    </row>
    <row r="1521" spans="1:11" x14ac:dyDescent="0.35">
      <c r="A1521" s="1" t="s">
        <v>3356</v>
      </c>
      <c r="B1521" s="1" t="s">
        <v>3545</v>
      </c>
      <c r="C1521" s="1" t="s">
        <v>3567</v>
      </c>
      <c r="D1521" s="1" t="str">
        <f t="shared" si="72"/>
        <v>8465</v>
      </c>
      <c r="E1521" s="1" t="str">
        <f t="shared" si="73"/>
        <v>005303692</v>
      </c>
      <c r="F1521" s="1" t="s">
        <v>3088</v>
      </c>
      <c r="G1521" s="1" t="s">
        <v>15</v>
      </c>
      <c r="H1521" s="1" t="str">
        <f>"2"</f>
        <v>2</v>
      </c>
      <c r="I1521" s="3">
        <v>15.64</v>
      </c>
      <c r="J1521" s="4">
        <v>46029</v>
      </c>
      <c r="K1521" s="1" t="s">
        <v>3562</v>
      </c>
    </row>
    <row r="1522" spans="1:11" x14ac:dyDescent="0.35">
      <c r="A1522" s="1" t="s">
        <v>3356</v>
      </c>
      <c r="B1522" s="1" t="s">
        <v>3545</v>
      </c>
      <c r="C1522" s="1" t="s">
        <v>3568</v>
      </c>
      <c r="D1522" s="1" t="str">
        <f t="shared" si="72"/>
        <v>8465</v>
      </c>
      <c r="E1522" s="1" t="str">
        <f t="shared" si="73"/>
        <v>005303692</v>
      </c>
      <c r="F1522" s="1" t="s">
        <v>3088</v>
      </c>
      <c r="G1522" s="1" t="s">
        <v>15</v>
      </c>
      <c r="H1522" s="1" t="str">
        <f>"89"</f>
        <v>89</v>
      </c>
      <c r="I1522" s="3">
        <v>15.17</v>
      </c>
      <c r="J1522" s="4">
        <v>46029</v>
      </c>
      <c r="K1522" s="1" t="s">
        <v>3569</v>
      </c>
    </row>
    <row r="1523" spans="1:11" x14ac:dyDescent="0.35">
      <c r="A1523" s="1" t="s">
        <v>3356</v>
      </c>
      <c r="B1523" s="1" t="s">
        <v>3777</v>
      </c>
      <c r="C1523" s="1" t="s">
        <v>3778</v>
      </c>
      <c r="D1523" s="1" t="str">
        <f>"4240"</f>
        <v>4240</v>
      </c>
      <c r="E1523" s="1" t="str">
        <f>"014393958"</f>
        <v>014393958</v>
      </c>
      <c r="F1523" s="1" t="s">
        <v>3779</v>
      </c>
      <c r="G1523" s="1" t="s">
        <v>15</v>
      </c>
      <c r="H1523" s="1" t="str">
        <f>"40"</f>
        <v>40</v>
      </c>
      <c r="I1523" s="3">
        <v>279.76</v>
      </c>
      <c r="J1523" s="4">
        <v>46029</v>
      </c>
      <c r="K1523" s="1" t="s">
        <v>3780</v>
      </c>
    </row>
    <row r="1524" spans="1:11" x14ac:dyDescent="0.35">
      <c r="A1524" s="1" t="s">
        <v>3356</v>
      </c>
      <c r="B1524" s="1" t="s">
        <v>3539</v>
      </c>
      <c r="C1524" s="1" t="s">
        <v>3540</v>
      </c>
      <c r="D1524" s="1" t="str">
        <f>"4220"</f>
        <v>4220</v>
      </c>
      <c r="E1524" s="1" t="str">
        <f>"016524986"</f>
        <v>016524986</v>
      </c>
      <c r="F1524" s="1" t="s">
        <v>135</v>
      </c>
      <c r="G1524" s="1" t="s">
        <v>15</v>
      </c>
      <c r="H1524" s="1" t="str">
        <f>"4"</f>
        <v>4</v>
      </c>
      <c r="I1524" s="3">
        <v>15254.16</v>
      </c>
      <c r="J1524" s="4">
        <v>46030</v>
      </c>
      <c r="K1524" s="1" t="s">
        <v>3541</v>
      </c>
    </row>
    <row r="1525" spans="1:11" x14ac:dyDescent="0.35">
      <c r="A1525" s="1" t="s">
        <v>3356</v>
      </c>
      <c r="B1525" s="1" t="s">
        <v>3601</v>
      </c>
      <c r="C1525" s="1" t="s">
        <v>3602</v>
      </c>
      <c r="D1525" s="1" t="str">
        <f>"2310"</f>
        <v>2310</v>
      </c>
      <c r="E1525" s="1" t="str">
        <f>"016544105"</f>
        <v>016544105</v>
      </c>
      <c r="F1525" s="1" t="s">
        <v>232</v>
      </c>
      <c r="G1525" s="1" t="s">
        <v>15</v>
      </c>
      <c r="H1525" s="1" t="str">
        <f>"1"</f>
        <v>1</v>
      </c>
      <c r="I1525" s="3">
        <v>31905.14</v>
      </c>
      <c r="J1525" s="4">
        <v>46030</v>
      </c>
      <c r="K1525" s="1" t="s">
        <v>3603</v>
      </c>
    </row>
    <row r="1526" spans="1:11" x14ac:dyDescent="0.35">
      <c r="A1526" s="1" t="s">
        <v>3356</v>
      </c>
      <c r="B1526" s="1" t="s">
        <v>3601</v>
      </c>
      <c r="C1526" s="1" t="s">
        <v>3608</v>
      </c>
      <c r="D1526" s="1" t="str">
        <f>"2340"</f>
        <v>2340</v>
      </c>
      <c r="E1526" s="1" t="s">
        <v>1071</v>
      </c>
      <c r="F1526" s="1" t="s">
        <v>1072</v>
      </c>
      <c r="G1526" s="1" t="s">
        <v>15</v>
      </c>
      <c r="H1526" s="1" t="str">
        <f>"2"</f>
        <v>2</v>
      </c>
      <c r="I1526" s="3">
        <v>37739.58</v>
      </c>
      <c r="J1526" s="4">
        <v>46030</v>
      </c>
      <c r="K1526" s="1" t="s">
        <v>3609</v>
      </c>
    </row>
    <row r="1527" spans="1:11" x14ac:dyDescent="0.35">
      <c r="A1527" s="1" t="s">
        <v>3356</v>
      </c>
      <c r="B1527" s="1" t="s">
        <v>3666</v>
      </c>
      <c r="C1527" s="1" t="s">
        <v>3685</v>
      </c>
      <c r="D1527" s="1" t="str">
        <f>"2330"</f>
        <v>2330</v>
      </c>
      <c r="E1527" s="1" t="s">
        <v>104</v>
      </c>
      <c r="F1527" s="1" t="s">
        <v>105</v>
      </c>
      <c r="G1527" s="1" t="s">
        <v>15</v>
      </c>
      <c r="H1527" s="1" t="str">
        <f>"1"</f>
        <v>1</v>
      </c>
      <c r="I1527" s="3">
        <v>21068.13</v>
      </c>
      <c r="J1527" s="4">
        <v>46030</v>
      </c>
      <c r="K1527" s="1" t="s">
        <v>3686</v>
      </c>
    </row>
    <row r="1528" spans="1:11" x14ac:dyDescent="0.35">
      <c r="A1528" s="1" t="s">
        <v>3356</v>
      </c>
      <c r="B1528" s="1" t="s">
        <v>3666</v>
      </c>
      <c r="C1528" s="1" t="s">
        <v>3692</v>
      </c>
      <c r="D1528" s="1" t="str">
        <f>"2340"</f>
        <v>2340</v>
      </c>
      <c r="E1528" s="1" t="s">
        <v>1071</v>
      </c>
      <c r="F1528" s="1" t="s">
        <v>1072</v>
      </c>
      <c r="G1528" s="1" t="s">
        <v>15</v>
      </c>
      <c r="H1528" s="1" t="str">
        <f>"1"</f>
        <v>1</v>
      </c>
      <c r="I1528" s="3" t="str">
        <f>"6500"</f>
        <v>6500</v>
      </c>
      <c r="J1528" s="4">
        <v>46030</v>
      </c>
      <c r="K1528" s="1" t="s">
        <v>3693</v>
      </c>
    </row>
    <row r="1529" spans="1:11" x14ac:dyDescent="0.35">
      <c r="A1529" s="1" t="s">
        <v>3356</v>
      </c>
      <c r="B1529" s="1" t="s">
        <v>3666</v>
      </c>
      <c r="C1529" s="1" t="s">
        <v>3733</v>
      </c>
      <c r="D1529" s="1" t="str">
        <f>"6730"</f>
        <v>6730</v>
      </c>
      <c r="E1529" s="1" t="s">
        <v>3734</v>
      </c>
      <c r="F1529" s="1" t="s">
        <v>3735</v>
      </c>
      <c r="G1529" s="1" t="s">
        <v>15</v>
      </c>
      <c r="H1529" s="1" t="str">
        <f>"1"</f>
        <v>1</v>
      </c>
      <c r="I1529" s="3" t="str">
        <f>"65"</f>
        <v>65</v>
      </c>
      <c r="J1529" s="4">
        <v>46030</v>
      </c>
      <c r="K1529" s="1" t="s">
        <v>3736</v>
      </c>
    </row>
    <row r="1530" spans="1:11" x14ac:dyDescent="0.35">
      <c r="A1530" s="1" t="s">
        <v>3356</v>
      </c>
      <c r="B1530" s="1" t="s">
        <v>3666</v>
      </c>
      <c r="C1530" s="1" t="s">
        <v>3745</v>
      </c>
      <c r="D1530" s="1" t="str">
        <f>"7105"</f>
        <v>7105</v>
      </c>
      <c r="E1530" s="1" t="str">
        <f>"009350422"</f>
        <v>009350422</v>
      </c>
      <c r="F1530" s="1" t="s">
        <v>887</v>
      </c>
      <c r="G1530" s="1" t="s">
        <v>15</v>
      </c>
      <c r="H1530" s="1" t="str">
        <f>"11"</f>
        <v>11</v>
      </c>
      <c r="I1530" s="3">
        <v>133.93</v>
      </c>
      <c r="J1530" s="4">
        <v>46030</v>
      </c>
      <c r="K1530" s="1" t="s">
        <v>3746</v>
      </c>
    </row>
    <row r="1531" spans="1:11" x14ac:dyDescent="0.35">
      <c r="A1531" s="1" t="s">
        <v>3356</v>
      </c>
      <c r="B1531" s="1" t="s">
        <v>3666</v>
      </c>
      <c r="C1531" s="1" t="s">
        <v>3757</v>
      </c>
      <c r="D1531" s="1" t="str">
        <f>"8465"</f>
        <v>8465</v>
      </c>
      <c r="E1531" s="1" t="str">
        <f>"016007830"</f>
        <v>016007830</v>
      </c>
      <c r="F1531" s="1" t="s">
        <v>3758</v>
      </c>
      <c r="G1531" s="1" t="s">
        <v>15</v>
      </c>
      <c r="H1531" s="1" t="str">
        <f>"16"</f>
        <v>16</v>
      </c>
      <c r="I1531" s="3">
        <v>123.43</v>
      </c>
      <c r="J1531" s="4">
        <v>46030</v>
      </c>
      <c r="K1531" s="1" t="s">
        <v>3759</v>
      </c>
    </row>
    <row r="1532" spans="1:11" x14ac:dyDescent="0.35">
      <c r="A1532" s="1" t="s">
        <v>3356</v>
      </c>
      <c r="B1532" s="1" t="s">
        <v>3666</v>
      </c>
      <c r="C1532" s="1" t="s">
        <v>3681</v>
      </c>
      <c r="D1532" s="1" t="str">
        <f>"2320"</f>
        <v>2320</v>
      </c>
      <c r="E1532" s="1" t="s">
        <v>100</v>
      </c>
      <c r="F1532" s="1" t="s">
        <v>101</v>
      </c>
      <c r="G1532" s="1" t="s">
        <v>15</v>
      </c>
      <c r="H1532" s="1" t="str">
        <f>"1"</f>
        <v>1</v>
      </c>
      <c r="I1532" s="3" t="str">
        <f>"65000"</f>
        <v>65000</v>
      </c>
      <c r="J1532" s="4">
        <v>46031</v>
      </c>
      <c r="K1532" s="1" t="s">
        <v>3682</v>
      </c>
    </row>
    <row r="1533" spans="1:11" x14ac:dyDescent="0.35">
      <c r="A1533" s="1" t="s">
        <v>3356</v>
      </c>
      <c r="B1533" s="1" t="s">
        <v>3666</v>
      </c>
      <c r="C1533" s="1" t="s">
        <v>3683</v>
      </c>
      <c r="D1533" s="1" t="str">
        <f>"2320"</f>
        <v>2320</v>
      </c>
      <c r="E1533" s="1" t="str">
        <f>"014364773"</f>
        <v>014364773</v>
      </c>
      <c r="F1533" s="1" t="s">
        <v>1093</v>
      </c>
      <c r="G1533" s="1" t="s">
        <v>15</v>
      </c>
      <c r="H1533" s="1" t="str">
        <f>"1"</f>
        <v>1</v>
      </c>
      <c r="I1533" s="3" t="str">
        <f>"21046"</f>
        <v>21046</v>
      </c>
      <c r="J1533" s="4">
        <v>46031</v>
      </c>
      <c r="K1533" s="1" t="s">
        <v>3684</v>
      </c>
    </row>
    <row r="1534" spans="1:11" x14ac:dyDescent="0.35">
      <c r="A1534" s="1" t="s">
        <v>3356</v>
      </c>
      <c r="B1534" s="1" t="s">
        <v>3666</v>
      </c>
      <c r="C1534" s="1" t="s">
        <v>3718</v>
      </c>
      <c r="D1534" s="1" t="str">
        <f>"6510"</f>
        <v>6510</v>
      </c>
      <c r="E1534" s="1" t="str">
        <f>"015623325"</f>
        <v>015623325</v>
      </c>
      <c r="F1534" s="1" t="s">
        <v>3719</v>
      </c>
      <c r="G1534" s="1" t="s">
        <v>15</v>
      </c>
      <c r="H1534" s="1" t="str">
        <f>"4"</f>
        <v>4</v>
      </c>
      <c r="I1534" s="3">
        <v>45.32</v>
      </c>
      <c r="J1534" s="4">
        <v>46031</v>
      </c>
      <c r="K1534" s="1" t="s">
        <v>3720</v>
      </c>
    </row>
    <row r="1535" spans="1:11" x14ac:dyDescent="0.35">
      <c r="A1535" s="1" t="s">
        <v>3356</v>
      </c>
      <c r="B1535" s="1" t="s">
        <v>3666</v>
      </c>
      <c r="C1535" s="1" t="s">
        <v>3721</v>
      </c>
      <c r="D1535" s="1" t="str">
        <f>"6510"</f>
        <v>6510</v>
      </c>
      <c r="E1535" s="1" t="str">
        <f>"015064604"</f>
        <v>015064604</v>
      </c>
      <c r="F1535" s="1" t="s">
        <v>3722</v>
      </c>
      <c r="G1535" s="1" t="s">
        <v>15</v>
      </c>
      <c r="H1535" s="1" t="str">
        <f>"24"</f>
        <v>24</v>
      </c>
      <c r="I1535" s="3">
        <v>7.39</v>
      </c>
      <c r="J1535" s="4">
        <v>46031</v>
      </c>
      <c r="K1535" s="1" t="s">
        <v>3723</v>
      </c>
    </row>
    <row r="1536" spans="1:11" x14ac:dyDescent="0.35">
      <c r="A1536" s="1" t="s">
        <v>3356</v>
      </c>
      <c r="B1536" s="1" t="s">
        <v>3666</v>
      </c>
      <c r="C1536" s="1" t="s">
        <v>3724</v>
      </c>
      <c r="D1536" s="1" t="str">
        <f>"6510"</f>
        <v>6510</v>
      </c>
      <c r="E1536" s="1" t="str">
        <f>"015623325"</f>
        <v>015623325</v>
      </c>
      <c r="F1536" s="1" t="s">
        <v>3719</v>
      </c>
      <c r="G1536" s="1" t="s">
        <v>15</v>
      </c>
      <c r="H1536" s="1" t="str">
        <f>"10"</f>
        <v>10</v>
      </c>
      <c r="I1536" s="3">
        <v>45.32</v>
      </c>
      <c r="J1536" s="4">
        <v>46031</v>
      </c>
      <c r="K1536" s="1" t="s">
        <v>3720</v>
      </c>
    </row>
    <row r="1537" spans="1:11" x14ac:dyDescent="0.35">
      <c r="A1537" s="1" t="s">
        <v>3356</v>
      </c>
      <c r="B1537" s="1" t="s">
        <v>3666</v>
      </c>
      <c r="C1537" s="1" t="s">
        <v>3725</v>
      </c>
      <c r="D1537" s="1" t="str">
        <f>"6510"</f>
        <v>6510</v>
      </c>
      <c r="E1537" s="1" t="str">
        <f>"015623325"</f>
        <v>015623325</v>
      </c>
      <c r="F1537" s="1" t="s">
        <v>3719</v>
      </c>
      <c r="G1537" s="1" t="s">
        <v>15</v>
      </c>
      <c r="H1537" s="1" t="str">
        <f>"4"</f>
        <v>4</v>
      </c>
      <c r="I1537" s="3">
        <v>45.32</v>
      </c>
      <c r="J1537" s="4">
        <v>46031</v>
      </c>
      <c r="K1537" s="1" t="s">
        <v>3720</v>
      </c>
    </row>
    <row r="1538" spans="1:11" x14ac:dyDescent="0.35">
      <c r="A1538" s="1" t="s">
        <v>3356</v>
      </c>
      <c r="B1538" s="1" t="s">
        <v>3666</v>
      </c>
      <c r="C1538" s="1" t="s">
        <v>3726</v>
      </c>
      <c r="D1538" s="1" t="str">
        <f>"6515"</f>
        <v>6515</v>
      </c>
      <c r="E1538" s="1" t="str">
        <f>"015801645"</f>
        <v>015801645</v>
      </c>
      <c r="F1538" s="1" t="s">
        <v>3727</v>
      </c>
      <c r="G1538" s="1" t="s">
        <v>15</v>
      </c>
      <c r="H1538" s="1" t="str">
        <f>"2"</f>
        <v>2</v>
      </c>
      <c r="I1538" s="3">
        <v>554.66</v>
      </c>
      <c r="J1538" s="4">
        <v>46031</v>
      </c>
      <c r="K1538" s="1" t="s">
        <v>3728</v>
      </c>
    </row>
    <row r="1539" spans="1:11" x14ac:dyDescent="0.35">
      <c r="A1539" s="1" t="s">
        <v>3356</v>
      </c>
      <c r="B1539" s="1" t="s">
        <v>3666</v>
      </c>
      <c r="C1539" s="1" t="s">
        <v>3729</v>
      </c>
      <c r="D1539" s="1" t="str">
        <f>"6515"</f>
        <v>6515</v>
      </c>
      <c r="E1539" s="1" t="str">
        <f>"015150200"</f>
        <v>015150200</v>
      </c>
      <c r="F1539" s="1" t="s">
        <v>3730</v>
      </c>
      <c r="G1539" s="1" t="s">
        <v>293</v>
      </c>
      <c r="H1539" s="1" t="str">
        <f>"5"</f>
        <v>5</v>
      </c>
      <c r="I1539" s="3">
        <v>44.98</v>
      </c>
      <c r="J1539" s="4">
        <v>46031</v>
      </c>
      <c r="K1539" s="1" t="s">
        <v>3731</v>
      </c>
    </row>
    <row r="1540" spans="1:11" x14ac:dyDescent="0.35">
      <c r="A1540" s="1" t="s">
        <v>3356</v>
      </c>
      <c r="B1540" s="1" t="s">
        <v>3666</v>
      </c>
      <c r="C1540" s="1" t="s">
        <v>3732</v>
      </c>
      <c r="D1540" s="1" t="str">
        <f>"6515"</f>
        <v>6515</v>
      </c>
      <c r="E1540" s="1" t="str">
        <f>"015150197"</f>
        <v>015150197</v>
      </c>
      <c r="F1540" s="1" t="s">
        <v>3730</v>
      </c>
      <c r="G1540" s="1" t="s">
        <v>15</v>
      </c>
      <c r="H1540" s="1" t="str">
        <f>"6"</f>
        <v>6</v>
      </c>
      <c r="I1540" s="3">
        <v>0.45</v>
      </c>
      <c r="J1540" s="4">
        <v>46031</v>
      </c>
      <c r="K1540" s="1" t="s">
        <v>3731</v>
      </c>
    </row>
    <row r="1541" spans="1:11" x14ac:dyDescent="0.35">
      <c r="A1541" s="1" t="s">
        <v>3356</v>
      </c>
      <c r="B1541" s="1" t="s">
        <v>3666</v>
      </c>
      <c r="C1541" s="1" t="s">
        <v>3737</v>
      </c>
      <c r="D1541" s="1" t="str">
        <f>"6760"</f>
        <v>6760</v>
      </c>
      <c r="E1541" s="1" t="s">
        <v>1735</v>
      </c>
      <c r="F1541" s="1" t="s">
        <v>1736</v>
      </c>
      <c r="G1541" s="1" t="s">
        <v>15</v>
      </c>
      <c r="H1541" s="1" t="str">
        <f>"7"</f>
        <v>7</v>
      </c>
      <c r="I1541" s="3">
        <v>827.53</v>
      </c>
      <c r="J1541" s="4">
        <v>46031</v>
      </c>
      <c r="K1541" s="1" t="s">
        <v>3738</v>
      </c>
    </row>
    <row r="1542" spans="1:11" x14ac:dyDescent="0.35">
      <c r="A1542" s="1" t="s">
        <v>3356</v>
      </c>
      <c r="B1542" s="1" t="s">
        <v>3666</v>
      </c>
      <c r="C1542" s="1" t="s">
        <v>3739</v>
      </c>
      <c r="D1542" s="1" t="str">
        <f>"6760"</f>
        <v>6760</v>
      </c>
      <c r="E1542" s="1" t="s">
        <v>1731</v>
      </c>
      <c r="F1542" s="1" t="s">
        <v>1732</v>
      </c>
      <c r="G1542" s="1" t="s">
        <v>15</v>
      </c>
      <c r="H1542" s="1" t="str">
        <f>"4"</f>
        <v>4</v>
      </c>
      <c r="I1542" s="3" t="str">
        <f>"817"</f>
        <v>817</v>
      </c>
      <c r="J1542" s="4">
        <v>46031</v>
      </c>
      <c r="K1542" s="1" t="s">
        <v>3740</v>
      </c>
    </row>
    <row r="1543" spans="1:11" x14ac:dyDescent="0.35">
      <c r="A1543" s="1" t="s">
        <v>3356</v>
      </c>
      <c r="B1543" s="1" t="s">
        <v>3666</v>
      </c>
      <c r="C1543" s="1" t="s">
        <v>3747</v>
      </c>
      <c r="D1543" s="1" t="str">
        <f>"7110"</f>
        <v>7110</v>
      </c>
      <c r="E1543" s="1" t="str">
        <f>"010154638"</f>
        <v>010154638</v>
      </c>
      <c r="F1543" s="1" t="s">
        <v>1105</v>
      </c>
      <c r="G1543" s="1" t="s">
        <v>15</v>
      </c>
      <c r="H1543" s="1" t="str">
        <f>"1"</f>
        <v>1</v>
      </c>
      <c r="I1543" s="3">
        <v>4636.8</v>
      </c>
      <c r="J1543" s="4">
        <v>46031</v>
      </c>
      <c r="K1543" s="1" t="s">
        <v>3748</v>
      </c>
    </row>
    <row r="1544" spans="1:11" x14ac:dyDescent="0.35">
      <c r="A1544" s="1" t="s">
        <v>3356</v>
      </c>
      <c r="B1544" s="1" t="s">
        <v>3666</v>
      </c>
      <c r="C1544" s="1" t="s">
        <v>3751</v>
      </c>
      <c r="D1544" s="1" t="str">
        <f>"8415"</f>
        <v>8415</v>
      </c>
      <c r="E1544" s="1" t="s">
        <v>2375</v>
      </c>
      <c r="F1544" s="1" t="s">
        <v>2376</v>
      </c>
      <c r="G1544" s="1" t="s">
        <v>15</v>
      </c>
      <c r="H1544" s="1" t="str">
        <f>"16"</f>
        <v>16</v>
      </c>
      <c r="I1544" s="3" t="str">
        <f>"30"</f>
        <v>30</v>
      </c>
      <c r="J1544" s="4">
        <v>46031</v>
      </c>
      <c r="K1544" s="1" t="s">
        <v>3752</v>
      </c>
    </row>
    <row r="1545" spans="1:11" x14ac:dyDescent="0.35">
      <c r="A1545" s="1" t="s">
        <v>3356</v>
      </c>
      <c r="B1545" s="1" t="s">
        <v>3666</v>
      </c>
      <c r="C1545" s="1" t="s">
        <v>3753</v>
      </c>
      <c r="D1545" s="1" t="str">
        <f>"8465"</f>
        <v>8465</v>
      </c>
      <c r="E1545" s="1" t="str">
        <f>"015247263"</f>
        <v>015247263</v>
      </c>
      <c r="F1545" s="1" t="s">
        <v>1957</v>
      </c>
      <c r="G1545" s="1" t="s">
        <v>15</v>
      </c>
      <c r="H1545" s="1" t="str">
        <f>"15"</f>
        <v>15</v>
      </c>
      <c r="I1545" s="3">
        <v>17.5</v>
      </c>
      <c r="J1545" s="4">
        <v>46031</v>
      </c>
      <c r="K1545" s="1" t="s">
        <v>3754</v>
      </c>
    </row>
    <row r="1546" spans="1:11" x14ac:dyDescent="0.35">
      <c r="A1546" s="1" t="s">
        <v>3356</v>
      </c>
      <c r="B1546" s="1" t="s">
        <v>3666</v>
      </c>
      <c r="C1546" s="1" t="s">
        <v>3755</v>
      </c>
      <c r="D1546" s="1" t="str">
        <f>"8465"</f>
        <v>8465</v>
      </c>
      <c r="E1546" s="1" t="str">
        <f>"016637518"</f>
        <v>016637518</v>
      </c>
      <c r="F1546" s="1" t="s">
        <v>3101</v>
      </c>
      <c r="G1546" s="1" t="s">
        <v>47</v>
      </c>
      <c r="H1546" s="1" t="str">
        <f>"4"</f>
        <v>4</v>
      </c>
      <c r="I1546" s="3">
        <v>18.29</v>
      </c>
      <c r="J1546" s="4">
        <v>46031</v>
      </c>
      <c r="K1546" s="1" t="s">
        <v>3756</v>
      </c>
    </row>
    <row r="1547" spans="1:11" x14ac:dyDescent="0.35">
      <c r="A1547" s="1" t="s">
        <v>3356</v>
      </c>
      <c r="B1547" s="1" t="s">
        <v>3666</v>
      </c>
      <c r="C1547" s="1" t="s">
        <v>3760</v>
      </c>
      <c r="D1547" s="1" t="str">
        <f>"8465"</f>
        <v>8465</v>
      </c>
      <c r="E1547" s="1" t="str">
        <f>"015247263"</f>
        <v>015247263</v>
      </c>
      <c r="F1547" s="1" t="s">
        <v>1957</v>
      </c>
      <c r="G1547" s="1" t="s">
        <v>15</v>
      </c>
      <c r="H1547" s="1" t="str">
        <f>"15"</f>
        <v>15</v>
      </c>
      <c r="I1547" s="3">
        <v>17.5</v>
      </c>
      <c r="J1547" s="4">
        <v>46031</v>
      </c>
      <c r="K1547" s="1" t="s">
        <v>3754</v>
      </c>
    </row>
    <row r="1548" spans="1:11" x14ac:dyDescent="0.35">
      <c r="A1548" s="1" t="s">
        <v>3356</v>
      </c>
      <c r="B1548" s="1" t="s">
        <v>3666</v>
      </c>
      <c r="C1548" s="1" t="s">
        <v>3761</v>
      </c>
      <c r="D1548" s="1" t="str">
        <f>"8465"</f>
        <v>8465</v>
      </c>
      <c r="E1548" s="1" t="str">
        <f>"016637518"</f>
        <v>016637518</v>
      </c>
      <c r="F1548" s="1" t="s">
        <v>3101</v>
      </c>
      <c r="G1548" s="1" t="s">
        <v>47</v>
      </c>
      <c r="H1548" s="1" t="str">
        <f>"16"</f>
        <v>16</v>
      </c>
      <c r="I1548" s="3">
        <v>18.29</v>
      </c>
      <c r="J1548" s="4">
        <v>46031</v>
      </c>
      <c r="K1548" s="1" t="s">
        <v>3762</v>
      </c>
    </row>
    <row r="1549" spans="1:11" x14ac:dyDescent="0.35">
      <c r="A1549" s="1" t="s">
        <v>3356</v>
      </c>
      <c r="B1549" s="1" t="s">
        <v>3651</v>
      </c>
      <c r="C1549" s="1" t="s">
        <v>3652</v>
      </c>
      <c r="D1549" s="1" t="str">
        <f>"2340"</f>
        <v>2340</v>
      </c>
      <c r="E1549" s="1" t="s">
        <v>1071</v>
      </c>
      <c r="F1549" s="1" t="s">
        <v>1072</v>
      </c>
      <c r="G1549" s="1" t="s">
        <v>15</v>
      </c>
      <c r="H1549" s="1" t="str">
        <f>"1"</f>
        <v>1</v>
      </c>
      <c r="I1549" s="3" t="str">
        <f>"35000"</f>
        <v>35000</v>
      </c>
      <c r="J1549" s="4">
        <v>46034</v>
      </c>
      <c r="K1549" s="1" t="s">
        <v>3653</v>
      </c>
    </row>
    <row r="1550" spans="1:11" x14ac:dyDescent="0.35">
      <c r="A1550" s="1" t="s">
        <v>3356</v>
      </c>
      <c r="B1550" s="1" t="s">
        <v>3666</v>
      </c>
      <c r="C1550" s="1" t="s">
        <v>3675</v>
      </c>
      <c r="D1550" s="1" t="str">
        <f>"2320"</f>
        <v>2320</v>
      </c>
      <c r="E1550" s="1" t="str">
        <f>"008925938"</f>
        <v>008925938</v>
      </c>
      <c r="F1550" s="1" t="s">
        <v>930</v>
      </c>
      <c r="G1550" s="1" t="s">
        <v>15</v>
      </c>
      <c r="H1550" s="1" t="str">
        <f>"1"</f>
        <v>1</v>
      </c>
      <c r="I1550" s="3" t="str">
        <f>"27290"</f>
        <v>27290</v>
      </c>
      <c r="J1550" s="4">
        <v>46035</v>
      </c>
      <c r="K1550" s="1" t="s">
        <v>3676</v>
      </c>
    </row>
    <row r="1551" spans="1:11" x14ac:dyDescent="0.35">
      <c r="A1551" s="1" t="s">
        <v>3356</v>
      </c>
      <c r="B1551" s="1" t="s">
        <v>3400</v>
      </c>
      <c r="C1551" s="1" t="s">
        <v>3420</v>
      </c>
      <c r="D1551" s="1" t="str">
        <f>"4210"</f>
        <v>4210</v>
      </c>
      <c r="E1551" s="1" t="str">
        <f>"016200004"</f>
        <v>016200004</v>
      </c>
      <c r="F1551" s="1" t="s">
        <v>1036</v>
      </c>
      <c r="G1551" s="1" t="s">
        <v>15</v>
      </c>
      <c r="H1551" s="1" t="str">
        <f>"1"</f>
        <v>1</v>
      </c>
      <c r="I1551" s="3" t="str">
        <f>"178202"</f>
        <v>178202</v>
      </c>
      <c r="J1551" s="4">
        <v>46036</v>
      </c>
      <c r="K1551" s="1" t="s">
        <v>3421</v>
      </c>
    </row>
    <row r="1552" spans="1:11" x14ac:dyDescent="0.35">
      <c r="A1552" s="1" t="s">
        <v>3356</v>
      </c>
      <c r="B1552" s="1" t="s">
        <v>3400</v>
      </c>
      <c r="C1552" s="1" t="s">
        <v>3442</v>
      </c>
      <c r="D1552" s="1" t="str">
        <f>"5180"</f>
        <v>5180</v>
      </c>
      <c r="E1552" s="1" t="str">
        <f>"016595021"</f>
        <v>016595021</v>
      </c>
      <c r="F1552" s="1" t="s">
        <v>274</v>
      </c>
      <c r="G1552" s="1" t="s">
        <v>168</v>
      </c>
      <c r="H1552" s="1" t="str">
        <f>"1"</f>
        <v>1</v>
      </c>
      <c r="I1552" s="3">
        <v>17611.71</v>
      </c>
      <c r="J1552" s="4">
        <v>46036</v>
      </c>
      <c r="K1552" s="1" t="s">
        <v>3443</v>
      </c>
    </row>
    <row r="1553" spans="1:11" x14ac:dyDescent="0.35">
      <c r="A1553" s="1" t="s">
        <v>3356</v>
      </c>
      <c r="B1553" s="1" t="s">
        <v>3666</v>
      </c>
      <c r="C1553" s="1" t="s">
        <v>3690</v>
      </c>
      <c r="D1553" s="1" t="str">
        <f>"2340"</f>
        <v>2340</v>
      </c>
      <c r="E1553" s="1" t="s">
        <v>1071</v>
      </c>
      <c r="F1553" s="1" t="s">
        <v>1072</v>
      </c>
      <c r="G1553" s="1" t="s">
        <v>15</v>
      </c>
      <c r="H1553" s="1" t="str">
        <f>"2"</f>
        <v>2</v>
      </c>
      <c r="I1553" s="3" t="str">
        <f>"5861"</f>
        <v>5861</v>
      </c>
      <c r="J1553" s="4">
        <v>46036</v>
      </c>
      <c r="K1553" s="1" t="s">
        <v>3691</v>
      </c>
    </row>
    <row r="1554" spans="1:11" x14ac:dyDescent="0.35">
      <c r="A1554" s="1" t="s">
        <v>3356</v>
      </c>
      <c r="B1554" s="1" t="s">
        <v>3666</v>
      </c>
      <c r="C1554" s="1" t="s">
        <v>3749</v>
      </c>
      <c r="D1554" s="1" t="str">
        <f>"7210"</f>
        <v>7210</v>
      </c>
      <c r="E1554" s="1" t="str">
        <f>"002052804"</f>
        <v>002052804</v>
      </c>
      <c r="F1554" s="1" t="s">
        <v>2428</v>
      </c>
      <c r="G1554" s="1" t="s">
        <v>15</v>
      </c>
      <c r="H1554" s="1" t="str">
        <f>"12"</f>
        <v>12</v>
      </c>
      <c r="I1554" s="3">
        <v>17.96</v>
      </c>
      <c r="J1554" s="4">
        <v>46036</v>
      </c>
      <c r="K1554" s="1" t="s">
        <v>3750</v>
      </c>
    </row>
    <row r="1555" spans="1:11" x14ac:dyDescent="0.35">
      <c r="A1555" s="1" t="s">
        <v>3356</v>
      </c>
      <c r="B1555" s="1" t="s">
        <v>3578</v>
      </c>
      <c r="C1555" s="1" t="s">
        <v>3581</v>
      </c>
      <c r="D1555" s="1" t="str">
        <f t="shared" ref="D1555:D1560" si="74">"1240"</f>
        <v>1240</v>
      </c>
      <c r="E1555" s="1" t="s">
        <v>1364</v>
      </c>
      <c r="F1555" s="1" t="s">
        <v>1365</v>
      </c>
      <c r="G1555" s="1" t="s">
        <v>15</v>
      </c>
      <c r="H1555" s="1" t="str">
        <f>"2"</f>
        <v>2</v>
      </c>
      <c r="I1555" s="3">
        <v>602.34</v>
      </c>
      <c r="J1555" s="4">
        <v>46037</v>
      </c>
      <c r="K1555" s="1" t="s">
        <v>3582</v>
      </c>
    </row>
    <row r="1556" spans="1:11" x14ac:dyDescent="0.35">
      <c r="A1556" s="1" t="s">
        <v>3356</v>
      </c>
      <c r="B1556" s="1" t="s">
        <v>3578</v>
      </c>
      <c r="C1556" s="1" t="s">
        <v>3585</v>
      </c>
      <c r="D1556" s="1" t="str">
        <f t="shared" si="74"/>
        <v>1240</v>
      </c>
      <c r="E1556" s="1" t="s">
        <v>1364</v>
      </c>
      <c r="F1556" s="1" t="s">
        <v>1365</v>
      </c>
      <c r="G1556" s="1" t="s">
        <v>15</v>
      </c>
      <c r="H1556" s="1" t="str">
        <f>"5"</f>
        <v>5</v>
      </c>
      <c r="I1556" s="3">
        <v>602.34</v>
      </c>
      <c r="J1556" s="4">
        <v>46037</v>
      </c>
      <c r="K1556" s="1" t="s">
        <v>3582</v>
      </c>
    </row>
    <row r="1557" spans="1:11" x14ac:dyDescent="0.35">
      <c r="A1557" s="1" t="s">
        <v>3356</v>
      </c>
      <c r="B1557" s="1" t="s">
        <v>3578</v>
      </c>
      <c r="C1557" s="1" t="s">
        <v>3589</v>
      </c>
      <c r="D1557" s="1" t="str">
        <f t="shared" si="74"/>
        <v>1240</v>
      </c>
      <c r="E1557" s="1" t="s">
        <v>1364</v>
      </c>
      <c r="F1557" s="1" t="s">
        <v>1365</v>
      </c>
      <c r="G1557" s="1" t="s">
        <v>15</v>
      </c>
      <c r="H1557" s="1" t="str">
        <f>"5"</f>
        <v>5</v>
      </c>
      <c r="I1557" s="3">
        <v>602.34</v>
      </c>
      <c r="J1557" s="4">
        <v>46037</v>
      </c>
      <c r="K1557" s="1" t="s">
        <v>3582</v>
      </c>
    </row>
    <row r="1558" spans="1:11" x14ac:dyDescent="0.35">
      <c r="A1558" s="1" t="s">
        <v>3356</v>
      </c>
      <c r="B1558" s="1" t="s">
        <v>3578</v>
      </c>
      <c r="C1558" s="1" t="s">
        <v>3590</v>
      </c>
      <c r="D1558" s="1" t="str">
        <f t="shared" si="74"/>
        <v>1240</v>
      </c>
      <c r="E1558" s="1" t="s">
        <v>1364</v>
      </c>
      <c r="F1558" s="1" t="s">
        <v>1365</v>
      </c>
      <c r="G1558" s="1" t="s">
        <v>15</v>
      </c>
      <c r="H1558" s="1" t="str">
        <f>"12"</f>
        <v>12</v>
      </c>
      <c r="I1558" s="3">
        <v>602.34</v>
      </c>
      <c r="J1558" s="4">
        <v>46037</v>
      </c>
      <c r="K1558" s="1" t="s">
        <v>3582</v>
      </c>
    </row>
    <row r="1559" spans="1:11" x14ac:dyDescent="0.35">
      <c r="A1559" s="1" t="s">
        <v>3356</v>
      </c>
      <c r="B1559" s="1" t="s">
        <v>3578</v>
      </c>
      <c r="C1559" s="1" t="s">
        <v>3591</v>
      </c>
      <c r="D1559" s="1" t="str">
        <f t="shared" si="74"/>
        <v>1240</v>
      </c>
      <c r="E1559" s="1" t="s">
        <v>1364</v>
      </c>
      <c r="F1559" s="1" t="s">
        <v>1365</v>
      </c>
      <c r="G1559" s="1" t="s">
        <v>15</v>
      </c>
      <c r="H1559" s="1" t="str">
        <f>"9"</f>
        <v>9</v>
      </c>
      <c r="I1559" s="3">
        <v>602.34</v>
      </c>
      <c r="J1559" s="4">
        <v>46037</v>
      </c>
      <c r="K1559" s="1" t="s">
        <v>3582</v>
      </c>
    </row>
    <row r="1560" spans="1:11" x14ac:dyDescent="0.35">
      <c r="A1560" s="1" t="s">
        <v>3356</v>
      </c>
      <c r="B1560" s="1" t="s">
        <v>3578</v>
      </c>
      <c r="C1560" s="1" t="s">
        <v>3592</v>
      </c>
      <c r="D1560" s="1" t="str">
        <f t="shared" si="74"/>
        <v>1240</v>
      </c>
      <c r="E1560" s="1" t="s">
        <v>1364</v>
      </c>
      <c r="F1560" s="1" t="s">
        <v>1365</v>
      </c>
      <c r="G1560" s="1" t="s">
        <v>15</v>
      </c>
      <c r="H1560" s="1" t="str">
        <f>"2"</f>
        <v>2</v>
      </c>
      <c r="I1560" s="3">
        <v>602.58000000000004</v>
      </c>
      <c r="J1560" s="4">
        <v>46037</v>
      </c>
      <c r="K1560" s="1" t="s">
        <v>3582</v>
      </c>
    </row>
    <row r="1561" spans="1:11" x14ac:dyDescent="0.35">
      <c r="A1561" s="1" t="s">
        <v>3356</v>
      </c>
      <c r="B1561" s="1" t="s">
        <v>3601</v>
      </c>
      <c r="C1561" s="1" t="s">
        <v>3610</v>
      </c>
      <c r="D1561" s="1" t="str">
        <f>"3750"</f>
        <v>3750</v>
      </c>
      <c r="E1561" s="1" t="s">
        <v>3611</v>
      </c>
      <c r="F1561" s="1" t="s">
        <v>3612</v>
      </c>
      <c r="G1561" s="1" t="s">
        <v>15</v>
      </c>
      <c r="H1561" s="1" t="str">
        <f>"2"</f>
        <v>2</v>
      </c>
      <c r="I1561" s="3" t="str">
        <f>"50"</f>
        <v>50</v>
      </c>
      <c r="J1561" s="4">
        <v>46037</v>
      </c>
      <c r="K1561" s="1" t="s">
        <v>3613</v>
      </c>
    </row>
    <row r="1562" spans="1:11" x14ac:dyDescent="0.35">
      <c r="A1562" s="1" t="s">
        <v>3356</v>
      </c>
      <c r="B1562" s="1" t="s">
        <v>3601</v>
      </c>
      <c r="C1562" s="1" t="s">
        <v>3614</v>
      </c>
      <c r="D1562" s="1" t="str">
        <f>"3920"</f>
        <v>3920</v>
      </c>
      <c r="E1562" s="1" t="str">
        <f>"015643191"</f>
        <v>015643191</v>
      </c>
      <c r="F1562" s="1" t="s">
        <v>1677</v>
      </c>
      <c r="G1562" s="1" t="s">
        <v>15</v>
      </c>
      <c r="H1562" s="1" t="str">
        <f>"4"</f>
        <v>4</v>
      </c>
      <c r="I1562" s="3">
        <v>438.18</v>
      </c>
      <c r="J1562" s="4">
        <v>46037</v>
      </c>
      <c r="K1562" s="1" t="s">
        <v>3615</v>
      </c>
    </row>
    <row r="1563" spans="1:11" x14ac:dyDescent="0.35">
      <c r="A1563" s="1" t="s">
        <v>3356</v>
      </c>
      <c r="B1563" s="1" t="s">
        <v>3601</v>
      </c>
      <c r="C1563" s="1" t="s">
        <v>3616</v>
      </c>
      <c r="D1563" s="1" t="str">
        <f>"4210"</f>
        <v>4210</v>
      </c>
      <c r="E1563" s="1" t="str">
        <f>"016733327"</f>
        <v>016733327</v>
      </c>
      <c r="F1563" s="1" t="s">
        <v>3617</v>
      </c>
      <c r="G1563" s="1" t="s">
        <v>15</v>
      </c>
      <c r="H1563" s="1" t="str">
        <f>"40"</f>
        <v>40</v>
      </c>
      <c r="I1563" s="3">
        <v>257.27999999999997</v>
      </c>
      <c r="J1563" s="4">
        <v>46037</v>
      </c>
      <c r="K1563" s="1" t="s">
        <v>3618</v>
      </c>
    </row>
    <row r="1564" spans="1:11" x14ac:dyDescent="0.35">
      <c r="A1564" s="1" t="s">
        <v>3356</v>
      </c>
      <c r="B1564" s="1" t="s">
        <v>3601</v>
      </c>
      <c r="C1564" s="1" t="s">
        <v>3619</v>
      </c>
      <c r="D1564" s="1" t="str">
        <f>"4910"</f>
        <v>4910</v>
      </c>
      <c r="E1564" s="1" t="s">
        <v>2740</v>
      </c>
      <c r="F1564" s="1" t="s">
        <v>2741</v>
      </c>
      <c r="G1564" s="1" t="s">
        <v>15</v>
      </c>
      <c r="H1564" s="1" t="str">
        <f>"1"</f>
        <v>1</v>
      </c>
      <c r="I1564" s="3" t="str">
        <f>"75"</f>
        <v>75</v>
      </c>
      <c r="J1564" s="4">
        <v>46037</v>
      </c>
      <c r="K1564" s="1" t="s">
        <v>3620</v>
      </c>
    </row>
    <row r="1565" spans="1:11" x14ac:dyDescent="0.35">
      <c r="A1565" s="1" t="s">
        <v>3356</v>
      </c>
      <c r="B1565" s="1" t="s">
        <v>3601</v>
      </c>
      <c r="C1565" s="1" t="s">
        <v>3623</v>
      </c>
      <c r="D1565" s="1" t="str">
        <f>"6115"</f>
        <v>6115</v>
      </c>
      <c r="E1565" s="1" t="str">
        <f>"012747387"</f>
        <v>012747387</v>
      </c>
      <c r="F1565" s="1" t="s">
        <v>383</v>
      </c>
      <c r="G1565" s="1" t="s">
        <v>15</v>
      </c>
      <c r="H1565" s="1" t="str">
        <f>"1"</f>
        <v>1</v>
      </c>
      <c r="I1565" s="3">
        <v>12797.7</v>
      </c>
      <c r="J1565" s="4">
        <v>46037</v>
      </c>
      <c r="K1565" s="1" t="s">
        <v>3624</v>
      </c>
    </row>
    <row r="1566" spans="1:11" x14ac:dyDescent="0.35">
      <c r="A1566" s="1" t="s">
        <v>3356</v>
      </c>
      <c r="B1566" s="1" t="s">
        <v>3601</v>
      </c>
      <c r="C1566" s="1" t="s">
        <v>3634</v>
      </c>
      <c r="D1566" s="1" t="str">
        <f>"6910"</f>
        <v>6910</v>
      </c>
      <c r="E1566" s="1" t="s">
        <v>647</v>
      </c>
      <c r="F1566" s="1" t="s">
        <v>648</v>
      </c>
      <c r="G1566" s="1" t="s">
        <v>15</v>
      </c>
      <c r="H1566" s="1" t="str">
        <f>"1"</f>
        <v>1</v>
      </c>
      <c r="I1566" s="3" t="str">
        <f>"100"</f>
        <v>100</v>
      </c>
      <c r="J1566" s="4">
        <v>46037</v>
      </c>
      <c r="K1566" s="1" t="s">
        <v>3635</v>
      </c>
    </row>
    <row r="1567" spans="1:11" x14ac:dyDescent="0.35">
      <c r="A1567" s="1" t="s">
        <v>3356</v>
      </c>
      <c r="B1567" s="1" t="s">
        <v>3601</v>
      </c>
      <c r="C1567" s="1" t="s">
        <v>3636</v>
      </c>
      <c r="D1567" s="1" t="str">
        <f>"8430"</f>
        <v>8430</v>
      </c>
      <c r="E1567" s="1" t="str">
        <f>"015404029"</f>
        <v>015404029</v>
      </c>
      <c r="F1567" s="1" t="s">
        <v>3637</v>
      </c>
      <c r="G1567" s="1" t="s">
        <v>47</v>
      </c>
      <c r="H1567" s="1" t="str">
        <f>"25"</f>
        <v>25</v>
      </c>
      <c r="I1567" s="3" t="str">
        <f>"115"</f>
        <v>115</v>
      </c>
      <c r="J1567" s="4">
        <v>46037</v>
      </c>
      <c r="K1567" s="1" t="s">
        <v>3638</v>
      </c>
    </row>
    <row r="1568" spans="1:11" x14ac:dyDescent="0.35">
      <c r="A1568" s="1" t="s">
        <v>3356</v>
      </c>
      <c r="B1568" s="1" t="s">
        <v>3601</v>
      </c>
      <c r="C1568" s="1" t="s">
        <v>3639</v>
      </c>
      <c r="D1568" s="1" t="str">
        <f>"8430"</f>
        <v>8430</v>
      </c>
      <c r="E1568" s="1" t="str">
        <f>"016325894"</f>
        <v>016325894</v>
      </c>
      <c r="F1568" s="1" t="s">
        <v>908</v>
      </c>
      <c r="G1568" s="1" t="s">
        <v>47</v>
      </c>
      <c r="H1568" s="1" t="str">
        <f>"40"</f>
        <v>40</v>
      </c>
      <c r="I1568" s="3">
        <v>153.44999999999999</v>
      </c>
      <c r="J1568" s="4">
        <v>46037</v>
      </c>
      <c r="K1568" s="1" t="s">
        <v>3638</v>
      </c>
    </row>
    <row r="1569" spans="1:11" x14ac:dyDescent="0.35">
      <c r="A1569" s="1" t="s">
        <v>3356</v>
      </c>
      <c r="B1569" s="1" t="s">
        <v>3601</v>
      </c>
      <c r="C1569" s="1" t="s">
        <v>3640</v>
      </c>
      <c r="D1569" s="1" t="str">
        <f>"8430"</f>
        <v>8430</v>
      </c>
      <c r="E1569" s="1" t="str">
        <f>"015403819"</f>
        <v>015403819</v>
      </c>
      <c r="F1569" s="1" t="s">
        <v>3637</v>
      </c>
      <c r="G1569" s="1" t="s">
        <v>47</v>
      </c>
      <c r="H1569" s="1" t="str">
        <f>"25"</f>
        <v>25</v>
      </c>
      <c r="I1569" s="3" t="str">
        <f>"115"</f>
        <v>115</v>
      </c>
      <c r="J1569" s="4">
        <v>46037</v>
      </c>
      <c r="K1569" s="1" t="s">
        <v>3638</v>
      </c>
    </row>
    <row r="1570" spans="1:11" x14ac:dyDescent="0.35">
      <c r="A1570" s="1" t="s">
        <v>3356</v>
      </c>
      <c r="B1570" s="1" t="s">
        <v>3601</v>
      </c>
      <c r="C1570" s="1" t="s">
        <v>3641</v>
      </c>
      <c r="D1570" s="1" t="str">
        <f>"8430"</f>
        <v>8430</v>
      </c>
      <c r="E1570" s="1" t="str">
        <f>"015403873"</f>
        <v>015403873</v>
      </c>
      <c r="F1570" s="1" t="s">
        <v>3637</v>
      </c>
      <c r="G1570" s="1" t="s">
        <v>47</v>
      </c>
      <c r="H1570" s="1" t="str">
        <f>"25"</f>
        <v>25</v>
      </c>
      <c r="I1570" s="3" t="str">
        <f>"115"</f>
        <v>115</v>
      </c>
      <c r="J1570" s="4">
        <v>46037</v>
      </c>
      <c r="K1570" s="1" t="s">
        <v>3638</v>
      </c>
    </row>
    <row r="1571" spans="1:11" x14ac:dyDescent="0.35">
      <c r="A1571" s="1" t="s">
        <v>3356</v>
      </c>
      <c r="B1571" s="1" t="s">
        <v>3601</v>
      </c>
      <c r="C1571" s="1" t="s">
        <v>3642</v>
      </c>
      <c r="D1571" s="1" t="str">
        <f>"8430"</f>
        <v>8430</v>
      </c>
      <c r="E1571" s="1" t="str">
        <f>"016325907"</f>
        <v>016325907</v>
      </c>
      <c r="F1571" s="1" t="s">
        <v>908</v>
      </c>
      <c r="G1571" s="1" t="s">
        <v>47</v>
      </c>
      <c r="H1571" s="1" t="str">
        <f>"25"</f>
        <v>25</v>
      </c>
      <c r="I1571" s="3">
        <v>153.44999999999999</v>
      </c>
      <c r="J1571" s="4">
        <v>46037</v>
      </c>
      <c r="K1571" s="1" t="s">
        <v>3638</v>
      </c>
    </row>
    <row r="1572" spans="1:11" x14ac:dyDescent="0.35">
      <c r="A1572" s="1" t="s">
        <v>3356</v>
      </c>
      <c r="B1572" s="1" t="s">
        <v>3381</v>
      </c>
      <c r="C1572" s="1" t="s">
        <v>3382</v>
      </c>
      <c r="D1572" s="1" t="str">
        <f>"5820"</f>
        <v>5820</v>
      </c>
      <c r="E1572" s="1" t="s">
        <v>3383</v>
      </c>
      <c r="F1572" s="1" t="s">
        <v>3384</v>
      </c>
      <c r="G1572" s="1" t="s">
        <v>15</v>
      </c>
      <c r="H1572" s="1" t="str">
        <f>"24"</f>
        <v>24</v>
      </c>
      <c r="I1572" s="3" t="str">
        <f>"3300"</f>
        <v>3300</v>
      </c>
      <c r="J1572" s="4">
        <v>46038</v>
      </c>
      <c r="K1572" s="1" t="s">
        <v>3385</v>
      </c>
    </row>
    <row r="1573" spans="1:11" x14ac:dyDescent="0.35">
      <c r="A1573" s="1" t="s">
        <v>3356</v>
      </c>
      <c r="B1573" s="1" t="s">
        <v>3545</v>
      </c>
      <c r="C1573" s="1" t="s">
        <v>3566</v>
      </c>
      <c r="D1573" s="1" t="str">
        <f>"8465"</f>
        <v>8465</v>
      </c>
      <c r="E1573" s="1" t="str">
        <f>"005303692"</f>
        <v>005303692</v>
      </c>
      <c r="F1573" s="1" t="s">
        <v>3088</v>
      </c>
      <c r="G1573" s="1" t="s">
        <v>15</v>
      </c>
      <c r="H1573" s="1" t="str">
        <f>"4"</f>
        <v>4</v>
      </c>
      <c r="I1573" s="3">
        <v>15.64</v>
      </c>
      <c r="J1573" s="4">
        <v>46038</v>
      </c>
      <c r="K1573" s="1" t="s">
        <v>3562</v>
      </c>
    </row>
    <row r="1574" spans="1:11" x14ac:dyDescent="0.35">
      <c r="A1574" s="1" t="s">
        <v>3356</v>
      </c>
      <c r="B1574" s="1" t="s">
        <v>3651</v>
      </c>
      <c r="C1574" s="1" t="s">
        <v>3654</v>
      </c>
      <c r="D1574" s="1" t="str">
        <f>"2340"</f>
        <v>2340</v>
      </c>
      <c r="E1574" s="1" t="s">
        <v>1071</v>
      </c>
      <c r="F1574" s="1" t="s">
        <v>1072</v>
      </c>
      <c r="G1574" s="1" t="s">
        <v>15</v>
      </c>
      <c r="H1574" s="1" t="str">
        <f>"2"</f>
        <v>2</v>
      </c>
      <c r="I1574" s="3" t="str">
        <f>"5861"</f>
        <v>5861</v>
      </c>
      <c r="J1574" s="4">
        <v>46038</v>
      </c>
      <c r="K1574" s="1" t="s">
        <v>3655</v>
      </c>
    </row>
    <row r="1575" spans="1:11" x14ac:dyDescent="0.35">
      <c r="A1575" s="1" t="s">
        <v>3356</v>
      </c>
      <c r="B1575" s="1" t="s">
        <v>3766</v>
      </c>
      <c r="C1575" s="1" t="s">
        <v>3775</v>
      </c>
      <c r="D1575" s="1" t="str">
        <f>"3805"</f>
        <v>3805</v>
      </c>
      <c r="E1575" s="1" t="str">
        <f>"012575636"</f>
        <v>012575636</v>
      </c>
      <c r="F1575" s="1" t="s">
        <v>420</v>
      </c>
      <c r="G1575" s="1" t="s">
        <v>15</v>
      </c>
      <c r="H1575" s="1" t="str">
        <f>"1"</f>
        <v>1</v>
      </c>
      <c r="I1575" s="3" t="str">
        <f>"37532"</f>
        <v>37532</v>
      </c>
      <c r="J1575" s="4">
        <v>46038</v>
      </c>
      <c r="K1575" s="1" t="s">
        <v>3776</v>
      </c>
    </row>
    <row r="1576" spans="1:11" x14ac:dyDescent="0.35">
      <c r="A1576" s="1" t="s">
        <v>3356</v>
      </c>
      <c r="B1576" s="1" t="s">
        <v>3570</v>
      </c>
      <c r="C1576" s="1" t="s">
        <v>3571</v>
      </c>
      <c r="D1576" s="1" t="str">
        <f>"3825"</f>
        <v>3825</v>
      </c>
      <c r="E1576" s="1" t="s">
        <v>3572</v>
      </c>
      <c r="F1576" s="1" t="s">
        <v>3573</v>
      </c>
      <c r="G1576" s="1" t="s">
        <v>15</v>
      </c>
      <c r="H1576" s="1" t="str">
        <f>"1"</f>
        <v>1</v>
      </c>
      <c r="I1576" s="3" t="str">
        <f>"1000"</f>
        <v>1000</v>
      </c>
      <c r="J1576" s="4">
        <v>46042</v>
      </c>
      <c r="K1576" s="1" t="s">
        <v>3574</v>
      </c>
    </row>
    <row r="1577" spans="1:11" x14ac:dyDescent="0.35">
      <c r="A1577" s="1" t="s">
        <v>3356</v>
      </c>
      <c r="B1577" s="1" t="s">
        <v>3666</v>
      </c>
      <c r="C1577" s="1" t="s">
        <v>3673</v>
      </c>
      <c r="D1577" s="1" t="str">
        <f>"2320"</f>
        <v>2320</v>
      </c>
      <c r="E1577" s="1" t="s">
        <v>100</v>
      </c>
      <c r="F1577" s="1" t="s">
        <v>101</v>
      </c>
      <c r="G1577" s="1" t="s">
        <v>15</v>
      </c>
      <c r="H1577" s="1" t="str">
        <f>"1"</f>
        <v>1</v>
      </c>
      <c r="I1577" s="3" t="str">
        <f>"15000"</f>
        <v>15000</v>
      </c>
      <c r="J1577" s="4">
        <v>46042</v>
      </c>
      <c r="K1577" s="1" t="s">
        <v>3674</v>
      </c>
    </row>
    <row r="1578" spans="1:11" x14ac:dyDescent="0.35">
      <c r="A1578" s="1" t="s">
        <v>3356</v>
      </c>
      <c r="B1578" s="1" t="s">
        <v>3666</v>
      </c>
      <c r="C1578" s="1" t="s">
        <v>3705</v>
      </c>
      <c r="D1578" s="1" t="str">
        <f>"4240"</f>
        <v>4240</v>
      </c>
      <c r="E1578" s="1" t="str">
        <f>"015475927"</f>
        <v>015475927</v>
      </c>
      <c r="F1578" s="1" t="s">
        <v>3706</v>
      </c>
      <c r="G1578" s="1" t="s">
        <v>15</v>
      </c>
      <c r="H1578" s="1" t="str">
        <f>"16"</f>
        <v>16</v>
      </c>
      <c r="I1578" s="3">
        <v>114.44</v>
      </c>
      <c r="J1578" s="4">
        <v>46042</v>
      </c>
      <c r="K1578" s="1" t="s">
        <v>3707</v>
      </c>
    </row>
    <row r="1579" spans="1:11" x14ac:dyDescent="0.35">
      <c r="A1579" s="1" t="s">
        <v>3356</v>
      </c>
      <c r="B1579" s="1" t="s">
        <v>3666</v>
      </c>
      <c r="C1579" s="1" t="s">
        <v>3715</v>
      </c>
      <c r="D1579" s="1" t="str">
        <f>"6115"</f>
        <v>6115</v>
      </c>
      <c r="E1579" s="1" t="str">
        <f>"015456484"</f>
        <v>015456484</v>
      </c>
      <c r="F1579" s="1" t="s">
        <v>3716</v>
      </c>
      <c r="G1579" s="1" t="s">
        <v>15</v>
      </c>
      <c r="H1579" s="1" t="str">
        <f>"4"</f>
        <v>4</v>
      </c>
      <c r="I1579" s="3">
        <v>1699.31</v>
      </c>
      <c r="J1579" s="4">
        <v>46042</v>
      </c>
      <c r="K1579" s="1" t="s">
        <v>3717</v>
      </c>
    </row>
    <row r="1580" spans="1:11" x14ac:dyDescent="0.35">
      <c r="A1580" s="1" t="s">
        <v>3356</v>
      </c>
      <c r="B1580" s="1" t="s">
        <v>3509</v>
      </c>
      <c r="C1580" s="1" t="s">
        <v>3513</v>
      </c>
      <c r="D1580" s="1" t="str">
        <f>"2330"</f>
        <v>2330</v>
      </c>
      <c r="E1580" s="1" t="str">
        <f>"017224504"</f>
        <v>017224504</v>
      </c>
      <c r="F1580" s="1" t="s">
        <v>3514</v>
      </c>
      <c r="G1580" s="1" t="s">
        <v>15</v>
      </c>
      <c r="H1580" s="1" t="str">
        <f>"1"</f>
        <v>1</v>
      </c>
      <c r="I1580" s="3" t="str">
        <f>"270049"</f>
        <v>270049</v>
      </c>
      <c r="J1580" s="4">
        <v>46043</v>
      </c>
      <c r="K1580" s="1" t="s">
        <v>3515</v>
      </c>
    </row>
    <row r="1581" spans="1:11" x14ac:dyDescent="0.35">
      <c r="A1581" s="1" t="s">
        <v>3356</v>
      </c>
      <c r="B1581" s="1" t="s">
        <v>3545</v>
      </c>
      <c r="C1581" s="1" t="s">
        <v>3546</v>
      </c>
      <c r="D1581" s="1" t="str">
        <f>"1095"</f>
        <v>1095</v>
      </c>
      <c r="E1581" s="1" t="str">
        <f>"015506607"</f>
        <v>015506607</v>
      </c>
      <c r="F1581" s="1" t="s">
        <v>1102</v>
      </c>
      <c r="G1581" s="1" t="s">
        <v>15</v>
      </c>
      <c r="H1581" s="1" t="str">
        <f>"3"</f>
        <v>3</v>
      </c>
      <c r="I1581" s="3">
        <v>1245.01</v>
      </c>
      <c r="J1581" s="4">
        <v>46044</v>
      </c>
      <c r="K1581" s="1" t="s">
        <v>3547</v>
      </c>
    </row>
    <row r="1582" spans="1:11" x14ac:dyDescent="0.35">
      <c r="A1582" s="1" t="s">
        <v>3356</v>
      </c>
      <c r="B1582" s="1" t="s">
        <v>3578</v>
      </c>
      <c r="C1582" s="1" t="s">
        <v>3593</v>
      </c>
      <c r="D1582" s="1" t="str">
        <f>"6230"</f>
        <v>6230</v>
      </c>
      <c r="E1582" s="1" t="s">
        <v>3594</v>
      </c>
      <c r="F1582" s="1" t="s">
        <v>3595</v>
      </c>
      <c r="G1582" s="1" t="s">
        <v>15</v>
      </c>
      <c r="H1582" s="1" t="str">
        <f>"40"</f>
        <v>40</v>
      </c>
      <c r="I1582" s="3" t="str">
        <f>"60"</f>
        <v>60</v>
      </c>
      <c r="J1582" s="4">
        <v>46044</v>
      </c>
      <c r="K1582" s="1" t="s">
        <v>3596</v>
      </c>
    </row>
    <row r="1583" spans="1:11" x14ac:dyDescent="0.35">
      <c r="A1583" s="1" t="s">
        <v>3356</v>
      </c>
      <c r="B1583" s="1" t="s">
        <v>3666</v>
      </c>
      <c r="C1583" s="1" t="s">
        <v>3677</v>
      </c>
      <c r="D1583" s="1" t="str">
        <f>"2320"</f>
        <v>2320</v>
      </c>
      <c r="E1583" s="1" t="s">
        <v>100</v>
      </c>
      <c r="F1583" s="1" t="s">
        <v>101</v>
      </c>
      <c r="G1583" s="1" t="s">
        <v>15</v>
      </c>
      <c r="H1583" s="1" t="str">
        <f>"1"</f>
        <v>1</v>
      </c>
      <c r="I1583" s="3" t="str">
        <f>"30000"</f>
        <v>30000</v>
      </c>
      <c r="J1583" s="4">
        <v>46044</v>
      </c>
      <c r="K1583" s="1" t="s">
        <v>3678</v>
      </c>
    </row>
    <row r="1584" spans="1:11" x14ac:dyDescent="0.35">
      <c r="A1584" s="1" t="s">
        <v>3356</v>
      </c>
      <c r="B1584" s="1" t="s">
        <v>3666</v>
      </c>
      <c r="C1584" s="1" t="s">
        <v>3687</v>
      </c>
      <c r="D1584" s="1" t="str">
        <f>"2330"</f>
        <v>2330</v>
      </c>
      <c r="E1584" s="1" t="s">
        <v>104</v>
      </c>
      <c r="F1584" s="1" t="s">
        <v>105</v>
      </c>
      <c r="G1584" s="1" t="s">
        <v>15</v>
      </c>
      <c r="H1584" s="1" t="str">
        <f>"1"</f>
        <v>1</v>
      </c>
      <c r="I1584" s="3" t="str">
        <f>"19500"</f>
        <v>19500</v>
      </c>
      <c r="J1584" s="4">
        <v>46044</v>
      </c>
      <c r="K1584" s="1" t="s">
        <v>3686</v>
      </c>
    </row>
    <row r="1585" spans="1:11" x14ac:dyDescent="0.35">
      <c r="A1585" s="1" t="s">
        <v>3356</v>
      </c>
      <c r="B1585" s="1" t="s">
        <v>3666</v>
      </c>
      <c r="C1585" s="1" t="s">
        <v>3763</v>
      </c>
      <c r="D1585" s="1" t="str">
        <f>"9925"</f>
        <v>9925</v>
      </c>
      <c r="E1585" s="1" t="str">
        <f>"014620726"</f>
        <v>014620726</v>
      </c>
      <c r="F1585" s="1" t="s">
        <v>3764</v>
      </c>
      <c r="G1585" s="1" t="s">
        <v>15</v>
      </c>
      <c r="H1585" s="1" t="str">
        <f>"3"</f>
        <v>3</v>
      </c>
      <c r="I1585" s="3">
        <v>39.22</v>
      </c>
      <c r="J1585" s="4">
        <v>46048</v>
      </c>
      <c r="K1585" s="1" t="s">
        <v>3765</v>
      </c>
    </row>
    <row r="1586" spans="1:11" x14ac:dyDescent="0.35">
      <c r="A1586" s="1" t="s">
        <v>3356</v>
      </c>
      <c r="B1586" s="1" t="s">
        <v>3578</v>
      </c>
      <c r="C1586" s="1" t="s">
        <v>3597</v>
      </c>
      <c r="D1586" s="1" t="str">
        <f>"6230"</f>
        <v>6230</v>
      </c>
      <c r="E1586" s="1" t="str">
        <f>"015655133"</f>
        <v>015655133</v>
      </c>
      <c r="F1586" s="1" t="s">
        <v>3598</v>
      </c>
      <c r="G1586" s="1" t="s">
        <v>15</v>
      </c>
      <c r="H1586" s="1" t="str">
        <f t="shared" ref="H1586:H1595" si="75">"1"</f>
        <v>1</v>
      </c>
      <c r="I1586" s="3">
        <v>2128.8000000000002</v>
      </c>
      <c r="J1586" s="4">
        <v>46051</v>
      </c>
      <c r="K1586" s="1" t="s">
        <v>3599</v>
      </c>
    </row>
    <row r="1587" spans="1:11" x14ac:dyDescent="0.35">
      <c r="A1587" s="1" t="s">
        <v>3356</v>
      </c>
      <c r="B1587" s="1" t="s">
        <v>3501</v>
      </c>
      <c r="C1587" s="1" t="s">
        <v>3507</v>
      </c>
      <c r="D1587" s="1" t="str">
        <f>"3805"</f>
        <v>3805</v>
      </c>
      <c r="E1587" s="1" t="s">
        <v>1020</v>
      </c>
      <c r="F1587" s="1" t="s">
        <v>1021</v>
      </c>
      <c r="G1587" s="1" t="s">
        <v>15</v>
      </c>
      <c r="H1587" s="1" t="str">
        <f t="shared" si="75"/>
        <v>1</v>
      </c>
      <c r="I1587" s="3" t="str">
        <f>"75000"</f>
        <v>75000</v>
      </c>
      <c r="J1587" s="4">
        <v>46055</v>
      </c>
      <c r="K1587" s="1" t="s">
        <v>3508</v>
      </c>
    </row>
    <row r="1588" spans="1:11" x14ac:dyDescent="0.35">
      <c r="A1588" s="1" t="s">
        <v>3356</v>
      </c>
      <c r="B1588" s="1" t="s">
        <v>3666</v>
      </c>
      <c r="C1588" s="1" t="s">
        <v>3699</v>
      </c>
      <c r="D1588" s="1" t="str">
        <f>"3950"</f>
        <v>3950</v>
      </c>
      <c r="E1588" s="1" t="s">
        <v>3700</v>
      </c>
      <c r="F1588" s="1" t="s">
        <v>3701</v>
      </c>
      <c r="G1588" s="1" t="s">
        <v>15</v>
      </c>
      <c r="H1588" s="1" t="str">
        <f t="shared" si="75"/>
        <v>1</v>
      </c>
      <c r="I1588" s="3" t="str">
        <f>"500"</f>
        <v>500</v>
      </c>
      <c r="J1588" s="4">
        <v>46055</v>
      </c>
      <c r="K1588" s="1" t="s">
        <v>3702</v>
      </c>
    </row>
    <row r="1589" spans="1:11" x14ac:dyDescent="0.35">
      <c r="A1589" s="1" t="s">
        <v>3356</v>
      </c>
      <c r="B1589" s="1" t="s">
        <v>3666</v>
      </c>
      <c r="C1589" s="1" t="s">
        <v>3711</v>
      </c>
      <c r="D1589" s="1" t="str">
        <f>"5965"</f>
        <v>5965</v>
      </c>
      <c r="E1589" s="1" t="s">
        <v>3712</v>
      </c>
      <c r="F1589" s="1" t="s">
        <v>3713</v>
      </c>
      <c r="G1589" s="1" t="s">
        <v>47</v>
      </c>
      <c r="H1589" s="1" t="str">
        <f t="shared" si="75"/>
        <v>1</v>
      </c>
      <c r="I1589" s="3" t="str">
        <f>"250"</f>
        <v>250</v>
      </c>
      <c r="J1589" s="4">
        <v>46055</v>
      </c>
      <c r="K1589" s="1" t="s">
        <v>3714</v>
      </c>
    </row>
    <row r="1590" spans="1:11" x14ac:dyDescent="0.35">
      <c r="A1590" s="1" t="s">
        <v>3356</v>
      </c>
      <c r="B1590" s="1" t="s">
        <v>3666</v>
      </c>
      <c r="C1590" s="1" t="s">
        <v>3708</v>
      </c>
      <c r="D1590" s="1" t="str">
        <f>"5411"</f>
        <v>5411</v>
      </c>
      <c r="E1590" s="1" t="str">
        <f>"013046121"</f>
        <v>013046121</v>
      </c>
      <c r="F1590" s="1" t="s">
        <v>3709</v>
      </c>
      <c r="G1590" s="1" t="s">
        <v>15</v>
      </c>
      <c r="H1590" s="1" t="str">
        <f t="shared" si="75"/>
        <v>1</v>
      </c>
      <c r="I1590" s="3" t="str">
        <f>"81330"</f>
        <v>81330</v>
      </c>
      <c r="J1590" s="4">
        <v>46056</v>
      </c>
      <c r="K1590" s="1" t="s">
        <v>3710</v>
      </c>
    </row>
    <row r="1591" spans="1:11" x14ac:dyDescent="0.35">
      <c r="A1591" s="1" t="s">
        <v>3356</v>
      </c>
      <c r="B1591" s="1" t="s">
        <v>3601</v>
      </c>
      <c r="C1591" s="1" t="s">
        <v>3625</v>
      </c>
      <c r="D1591" s="1" t="str">
        <f>"6115"</f>
        <v>6115</v>
      </c>
      <c r="E1591" s="1" t="str">
        <f>"015651576"</f>
        <v>015651576</v>
      </c>
      <c r="F1591" s="1" t="s">
        <v>1179</v>
      </c>
      <c r="G1591" s="1" t="s">
        <v>15</v>
      </c>
      <c r="H1591" s="1" t="str">
        <f t="shared" si="75"/>
        <v>1</v>
      </c>
      <c r="I1591" s="3" t="str">
        <f>"20415"</f>
        <v>20415</v>
      </c>
      <c r="J1591" s="4">
        <v>46057</v>
      </c>
      <c r="K1591" s="1" t="s">
        <v>3626</v>
      </c>
    </row>
    <row r="1592" spans="1:11" x14ac:dyDescent="0.35">
      <c r="A1592" s="1" t="s">
        <v>3356</v>
      </c>
      <c r="B1592" s="1" t="s">
        <v>3601</v>
      </c>
      <c r="C1592" s="1" t="s">
        <v>3627</v>
      </c>
      <c r="D1592" s="1" t="str">
        <f>"6115"</f>
        <v>6115</v>
      </c>
      <c r="E1592" s="1" t="str">
        <f>"015651576"</f>
        <v>015651576</v>
      </c>
      <c r="F1592" s="1" t="s">
        <v>1179</v>
      </c>
      <c r="G1592" s="1" t="s">
        <v>15</v>
      </c>
      <c r="H1592" s="1" t="str">
        <f t="shared" si="75"/>
        <v>1</v>
      </c>
      <c r="I1592" s="3" t="str">
        <f>"20415"</f>
        <v>20415</v>
      </c>
      <c r="J1592" s="4">
        <v>46057</v>
      </c>
      <c r="K1592" s="1" t="s">
        <v>3626</v>
      </c>
    </row>
    <row r="1593" spans="1:11" x14ac:dyDescent="0.35">
      <c r="A1593" s="1" t="s">
        <v>3356</v>
      </c>
      <c r="B1593" s="1" t="s">
        <v>3601</v>
      </c>
      <c r="C1593" s="1" t="s">
        <v>3628</v>
      </c>
      <c r="D1593" s="1" t="str">
        <f>"6115"</f>
        <v>6115</v>
      </c>
      <c r="E1593" s="1" t="str">
        <f>"014133818"</f>
        <v>014133818</v>
      </c>
      <c r="F1593" s="1" t="s">
        <v>3629</v>
      </c>
      <c r="G1593" s="1" t="s">
        <v>15</v>
      </c>
      <c r="H1593" s="1" t="str">
        <f t="shared" si="75"/>
        <v>1</v>
      </c>
      <c r="I1593" s="3" t="str">
        <f>"25757"</f>
        <v>25757</v>
      </c>
      <c r="J1593" s="4">
        <v>46057</v>
      </c>
      <c r="K1593" s="1" t="s">
        <v>3630</v>
      </c>
    </row>
    <row r="1594" spans="1:11" x14ac:dyDescent="0.35">
      <c r="A1594" s="1" t="s">
        <v>3356</v>
      </c>
      <c r="B1594" s="1" t="s">
        <v>3601</v>
      </c>
      <c r="C1594" s="1" t="s">
        <v>3631</v>
      </c>
      <c r="D1594" s="1" t="str">
        <f>"6115"</f>
        <v>6115</v>
      </c>
      <c r="E1594" s="1" t="str">
        <f>"015873878"</f>
        <v>015873878</v>
      </c>
      <c r="F1594" s="1" t="s">
        <v>1179</v>
      </c>
      <c r="G1594" s="1" t="s">
        <v>15</v>
      </c>
      <c r="H1594" s="1" t="str">
        <f t="shared" si="75"/>
        <v>1</v>
      </c>
      <c r="I1594" s="3" t="str">
        <f>"23738"</f>
        <v>23738</v>
      </c>
      <c r="J1594" s="4">
        <v>46057</v>
      </c>
      <c r="K1594" s="1" t="s">
        <v>3626</v>
      </c>
    </row>
    <row r="1595" spans="1:11" x14ac:dyDescent="0.35">
      <c r="A1595" s="1" t="s">
        <v>3356</v>
      </c>
      <c r="B1595" s="1" t="s">
        <v>3666</v>
      </c>
      <c r="C1595" s="1" t="s">
        <v>3679</v>
      </c>
      <c r="D1595" s="1" t="str">
        <f>"2320"</f>
        <v>2320</v>
      </c>
      <c r="E1595" s="1" t="str">
        <f>"010948229"</f>
        <v>010948229</v>
      </c>
      <c r="F1595" s="1" t="s">
        <v>930</v>
      </c>
      <c r="G1595" s="1" t="s">
        <v>15</v>
      </c>
      <c r="H1595" s="1" t="str">
        <f t="shared" si="75"/>
        <v>1</v>
      </c>
      <c r="I1595" s="3">
        <v>9989.75</v>
      </c>
      <c r="J1595" s="4">
        <v>46058</v>
      </c>
      <c r="K1595" s="1" t="s">
        <v>3680</v>
      </c>
    </row>
    <row r="1596" spans="1:11" x14ac:dyDescent="0.35">
      <c r="A1596" s="1" t="s">
        <v>3356</v>
      </c>
      <c r="B1596" s="1" t="s">
        <v>3666</v>
      </c>
      <c r="C1596" s="1" t="s">
        <v>3688</v>
      </c>
      <c r="D1596" s="1" t="str">
        <f>"2340"</f>
        <v>2340</v>
      </c>
      <c r="E1596" s="1" t="str">
        <f>"015066222"</f>
        <v>015066222</v>
      </c>
      <c r="F1596" s="1" t="s">
        <v>3524</v>
      </c>
      <c r="G1596" s="1" t="s">
        <v>15</v>
      </c>
      <c r="H1596" s="1" t="str">
        <f>"2"</f>
        <v>2</v>
      </c>
      <c r="I1596" s="3" t="str">
        <f>"16104"</f>
        <v>16104</v>
      </c>
      <c r="J1596" s="4">
        <v>46058</v>
      </c>
      <c r="K1596" s="1" t="s">
        <v>3689</v>
      </c>
    </row>
    <row r="1597" spans="1:11" x14ac:dyDescent="0.35">
      <c r="A1597" s="1" t="s">
        <v>3356</v>
      </c>
      <c r="B1597" s="1" t="s">
        <v>3666</v>
      </c>
      <c r="C1597" s="1" t="s">
        <v>3741</v>
      </c>
      <c r="D1597" s="1" t="str">
        <f>"7021"</f>
        <v>7021</v>
      </c>
      <c r="E1597" s="1" t="s">
        <v>3742</v>
      </c>
      <c r="F1597" s="1" t="s">
        <v>3743</v>
      </c>
      <c r="G1597" s="1" t="s">
        <v>15</v>
      </c>
      <c r="H1597" s="1" t="str">
        <f>"18"</f>
        <v>18</v>
      </c>
      <c r="I1597" s="3" t="str">
        <f>"2000"</f>
        <v>2000</v>
      </c>
      <c r="J1597" s="4">
        <v>46058</v>
      </c>
      <c r="K1597" s="1" t="s">
        <v>3744</v>
      </c>
    </row>
    <row r="1598" spans="1:11" x14ac:dyDescent="0.35">
      <c r="A1598" s="1" t="s">
        <v>3356</v>
      </c>
      <c r="B1598" s="1" t="s">
        <v>3389</v>
      </c>
      <c r="C1598" s="1" t="s">
        <v>3390</v>
      </c>
      <c r="D1598" s="1" t="str">
        <f>"1550"</f>
        <v>1550</v>
      </c>
      <c r="E1598" s="1" t="str">
        <f>"015872765"</f>
        <v>015872765</v>
      </c>
      <c r="F1598" s="1" t="s">
        <v>1287</v>
      </c>
      <c r="G1598" s="1" t="s">
        <v>15</v>
      </c>
      <c r="H1598" s="1" t="str">
        <f>"2"</f>
        <v>2</v>
      </c>
      <c r="I1598" s="3" t="str">
        <f>"100000"</f>
        <v>100000</v>
      </c>
      <c r="J1598" s="4">
        <v>46062</v>
      </c>
      <c r="K1598" s="1" t="s">
        <v>3391</v>
      </c>
    </row>
    <row r="1599" spans="1:11" x14ac:dyDescent="0.35">
      <c r="A1599" s="1" t="s">
        <v>3356</v>
      </c>
      <c r="B1599" s="1" t="s">
        <v>3643</v>
      </c>
      <c r="C1599" s="1" t="s">
        <v>3646</v>
      </c>
      <c r="D1599" s="1" t="str">
        <f>"3930"</f>
        <v>3930</v>
      </c>
      <c r="E1599" s="1" t="s">
        <v>95</v>
      </c>
      <c r="F1599" s="1" t="s">
        <v>96</v>
      </c>
      <c r="G1599" s="1" t="s">
        <v>15</v>
      </c>
      <c r="H1599" s="1" t="str">
        <f>"1"</f>
        <v>1</v>
      </c>
      <c r="I1599" s="3" t="str">
        <f>"41134"</f>
        <v>41134</v>
      </c>
      <c r="J1599" s="4">
        <v>46063</v>
      </c>
      <c r="K1599" s="1" t="s">
        <v>3647</v>
      </c>
    </row>
    <row r="1600" spans="1:11" x14ac:dyDescent="0.35">
      <c r="A1600" s="1" t="s">
        <v>3356</v>
      </c>
      <c r="B1600" s="1" t="s">
        <v>3509</v>
      </c>
      <c r="C1600" s="1" t="s">
        <v>3510</v>
      </c>
      <c r="D1600" s="1" t="str">
        <f>"2330"</f>
        <v>2330</v>
      </c>
      <c r="E1600" s="1" t="str">
        <f>"017058894"</f>
        <v>017058894</v>
      </c>
      <c r="F1600" s="1" t="s">
        <v>3511</v>
      </c>
      <c r="G1600" s="1" t="s">
        <v>15</v>
      </c>
      <c r="H1600" s="1" t="str">
        <f>"1"</f>
        <v>1</v>
      </c>
      <c r="I1600" s="3" t="str">
        <f>"110064"</f>
        <v>110064</v>
      </c>
      <c r="J1600" s="4">
        <v>46065</v>
      </c>
      <c r="K1600" s="1" t="s">
        <v>3512</v>
      </c>
    </row>
    <row r="1601" spans="1:11" x14ac:dyDescent="0.35">
      <c r="A1601" s="1" t="s">
        <v>3356</v>
      </c>
      <c r="B1601" s="1" t="s">
        <v>3651</v>
      </c>
      <c r="C1601" s="1" t="s">
        <v>3656</v>
      </c>
      <c r="D1601" s="1" t="str">
        <f>"6115"</f>
        <v>6115</v>
      </c>
      <c r="E1601" s="1" t="str">
        <f>"012747387"</f>
        <v>012747387</v>
      </c>
      <c r="F1601" s="1" t="s">
        <v>383</v>
      </c>
      <c r="G1601" s="1" t="s">
        <v>15</v>
      </c>
      <c r="H1601" s="1" t="str">
        <f>"4"</f>
        <v>4</v>
      </c>
      <c r="I1601" s="3">
        <v>12797.7</v>
      </c>
      <c r="J1601" s="4">
        <v>46065</v>
      </c>
      <c r="K1601" s="1" t="s">
        <v>3657</v>
      </c>
    </row>
    <row r="1602" spans="1:11" x14ac:dyDescent="0.35">
      <c r="A1602" s="1" t="s">
        <v>3356</v>
      </c>
      <c r="B1602" s="1" t="s">
        <v>3651</v>
      </c>
      <c r="C1602" s="1" t="s">
        <v>3658</v>
      </c>
      <c r="D1602" s="1" t="str">
        <f>"6115"</f>
        <v>6115</v>
      </c>
      <c r="E1602" s="1" t="str">
        <f>"016122549"</f>
        <v>016122549</v>
      </c>
      <c r="F1602" s="1" t="s">
        <v>3659</v>
      </c>
      <c r="G1602" s="1" t="s">
        <v>15</v>
      </c>
      <c r="H1602" s="1" t="str">
        <f>"4"</f>
        <v>4</v>
      </c>
      <c r="I1602" s="3" t="str">
        <f>"7873"</f>
        <v>7873</v>
      </c>
      <c r="J1602" s="4">
        <v>46065</v>
      </c>
      <c r="K1602" s="1" t="s">
        <v>3660</v>
      </c>
    </row>
    <row r="1603" spans="1:11" x14ac:dyDescent="0.35">
      <c r="A1603" s="1" t="s">
        <v>3356</v>
      </c>
      <c r="B1603" s="1" t="s">
        <v>3400</v>
      </c>
      <c r="C1603" s="1" t="s">
        <v>3405</v>
      </c>
      <c r="D1603" s="1" t="str">
        <f>"2540"</f>
        <v>2540</v>
      </c>
      <c r="E1603" s="1" t="str">
        <f>"014794403"</f>
        <v>014794403</v>
      </c>
      <c r="F1603" s="1" t="s">
        <v>2235</v>
      </c>
      <c r="G1603" s="1" t="s">
        <v>15</v>
      </c>
      <c r="H1603" s="1" t="str">
        <f>"5"</f>
        <v>5</v>
      </c>
      <c r="I1603" s="3">
        <v>84.06</v>
      </c>
      <c r="J1603" s="4">
        <v>46066</v>
      </c>
      <c r="K1603" s="1" t="s">
        <v>3406</v>
      </c>
    </row>
    <row r="1604" spans="1:11" x14ac:dyDescent="0.35">
      <c r="A1604" s="1" t="s">
        <v>3356</v>
      </c>
      <c r="B1604" s="1" t="s">
        <v>3400</v>
      </c>
      <c r="C1604" s="1" t="s">
        <v>3410</v>
      </c>
      <c r="D1604" s="1" t="str">
        <f>"3695"</f>
        <v>3695</v>
      </c>
      <c r="E1604" s="1" t="str">
        <f>"011916754"</f>
        <v>011916754</v>
      </c>
      <c r="F1604" s="1" t="s">
        <v>2474</v>
      </c>
      <c r="G1604" s="1" t="s">
        <v>15</v>
      </c>
      <c r="H1604" s="1" t="str">
        <f>"1"</f>
        <v>1</v>
      </c>
      <c r="I1604" s="3">
        <v>1267.43</v>
      </c>
      <c r="J1604" s="4">
        <v>46066</v>
      </c>
      <c r="K1604" s="1" t="s">
        <v>3411</v>
      </c>
    </row>
    <row r="1605" spans="1:11" x14ac:dyDescent="0.35">
      <c r="A1605" s="1" t="s">
        <v>3356</v>
      </c>
      <c r="B1605" s="1" t="s">
        <v>3400</v>
      </c>
      <c r="C1605" s="1" t="s">
        <v>3412</v>
      </c>
      <c r="D1605" s="1" t="str">
        <f>"3695"</f>
        <v>3695</v>
      </c>
      <c r="E1605" s="1" t="str">
        <f>"011916754"</f>
        <v>011916754</v>
      </c>
      <c r="F1605" s="1" t="s">
        <v>2474</v>
      </c>
      <c r="G1605" s="1" t="s">
        <v>15</v>
      </c>
      <c r="H1605" s="1" t="str">
        <f>"1"</f>
        <v>1</v>
      </c>
      <c r="I1605" s="3">
        <v>1267.43</v>
      </c>
      <c r="J1605" s="4">
        <v>46066</v>
      </c>
      <c r="K1605" s="1" t="s">
        <v>3411</v>
      </c>
    </row>
    <row r="1606" spans="1:11" x14ac:dyDescent="0.35">
      <c r="A1606" s="1" t="s">
        <v>3356</v>
      </c>
      <c r="B1606" s="1" t="s">
        <v>3400</v>
      </c>
      <c r="C1606" s="1" t="s">
        <v>3413</v>
      </c>
      <c r="D1606" s="1" t="str">
        <f>"3920"</f>
        <v>3920</v>
      </c>
      <c r="E1606" s="1" t="str">
        <f>"012242313"</f>
        <v>012242313</v>
      </c>
      <c r="F1606" s="1" t="s">
        <v>3414</v>
      </c>
      <c r="G1606" s="1" t="s">
        <v>15</v>
      </c>
      <c r="H1606" s="1" t="str">
        <f>"1"</f>
        <v>1</v>
      </c>
      <c r="I1606" s="3">
        <v>15763.4</v>
      </c>
      <c r="J1606" s="4">
        <v>46066</v>
      </c>
      <c r="K1606" s="1" t="s">
        <v>3415</v>
      </c>
    </row>
    <row r="1607" spans="1:11" x14ac:dyDescent="0.35">
      <c r="A1607" s="1" t="s">
        <v>3356</v>
      </c>
      <c r="B1607" s="1" t="s">
        <v>3400</v>
      </c>
      <c r="C1607" s="1" t="s">
        <v>3418</v>
      </c>
      <c r="D1607" s="1" t="str">
        <f>"4030"</f>
        <v>4030</v>
      </c>
      <c r="E1607" s="1" t="str">
        <f>"003771166"</f>
        <v>003771166</v>
      </c>
      <c r="F1607" s="1" t="s">
        <v>1424</v>
      </c>
      <c r="G1607" s="1" t="s">
        <v>15</v>
      </c>
      <c r="H1607" s="1" t="str">
        <f>"8"</f>
        <v>8</v>
      </c>
      <c r="I1607" s="3">
        <v>40.630000000000003</v>
      </c>
      <c r="J1607" s="4">
        <v>46066</v>
      </c>
      <c r="K1607" s="1" t="s">
        <v>3419</v>
      </c>
    </row>
    <row r="1608" spans="1:11" x14ac:dyDescent="0.35">
      <c r="A1608" s="1" t="s">
        <v>3356</v>
      </c>
      <c r="B1608" s="1" t="s">
        <v>3400</v>
      </c>
      <c r="C1608" s="1" t="s">
        <v>3422</v>
      </c>
      <c r="D1608" s="1" t="str">
        <f>"4235"</f>
        <v>4235</v>
      </c>
      <c r="E1608" s="1" t="str">
        <f>"015562625"</f>
        <v>015562625</v>
      </c>
      <c r="F1608" s="1" t="s">
        <v>3423</v>
      </c>
      <c r="G1608" s="1" t="s">
        <v>15</v>
      </c>
      <c r="H1608" s="1" t="str">
        <f>"13"</f>
        <v>13</v>
      </c>
      <c r="I1608" s="3" t="str">
        <f>"237"</f>
        <v>237</v>
      </c>
      <c r="J1608" s="4">
        <v>46066</v>
      </c>
      <c r="K1608" s="1" t="s">
        <v>3424</v>
      </c>
    </row>
    <row r="1609" spans="1:11" x14ac:dyDescent="0.35">
      <c r="A1609" s="1" t="s">
        <v>3356</v>
      </c>
      <c r="B1609" s="1" t="s">
        <v>3400</v>
      </c>
      <c r="C1609" s="1" t="s">
        <v>3425</v>
      </c>
      <c r="D1609" s="1" t="str">
        <f>"4240"</f>
        <v>4240</v>
      </c>
      <c r="E1609" s="1" t="str">
        <f>"013242004"</f>
        <v>013242004</v>
      </c>
      <c r="F1609" s="1" t="s">
        <v>3426</v>
      </c>
      <c r="G1609" s="1" t="s">
        <v>15</v>
      </c>
      <c r="H1609" s="1" t="str">
        <f>"20"</f>
        <v>20</v>
      </c>
      <c r="I1609" s="3">
        <v>4.7300000000000004</v>
      </c>
      <c r="J1609" s="4">
        <v>46066</v>
      </c>
      <c r="K1609" s="1" t="s">
        <v>3427</v>
      </c>
    </row>
    <row r="1610" spans="1:11" x14ac:dyDescent="0.35">
      <c r="A1610" s="1" t="s">
        <v>3356</v>
      </c>
      <c r="B1610" s="1" t="s">
        <v>3400</v>
      </c>
      <c r="C1610" s="1" t="s">
        <v>3431</v>
      </c>
      <c r="D1610" s="1" t="str">
        <f>"4510"</f>
        <v>4510</v>
      </c>
      <c r="E1610" s="1" t="str">
        <f>"004718594"</f>
        <v>004718594</v>
      </c>
      <c r="F1610" s="1" t="s">
        <v>3432</v>
      </c>
      <c r="G1610" s="1" t="s">
        <v>15</v>
      </c>
      <c r="H1610" s="1" t="str">
        <f>"10"</f>
        <v>10</v>
      </c>
      <c r="I1610" s="3">
        <v>35.26</v>
      </c>
      <c r="J1610" s="4">
        <v>46066</v>
      </c>
      <c r="K1610" s="1" t="s">
        <v>3433</v>
      </c>
    </row>
    <row r="1611" spans="1:11" x14ac:dyDescent="0.35">
      <c r="A1611" s="1" t="s">
        <v>3356</v>
      </c>
      <c r="B1611" s="1" t="s">
        <v>3400</v>
      </c>
      <c r="C1611" s="1" t="s">
        <v>3444</v>
      </c>
      <c r="D1611" s="1" t="str">
        <f>"5180"</f>
        <v>5180</v>
      </c>
      <c r="E1611" s="1" t="str">
        <f>"005961474"</f>
        <v>005961474</v>
      </c>
      <c r="F1611" s="1" t="s">
        <v>1143</v>
      </c>
      <c r="G1611" s="1" t="s">
        <v>168</v>
      </c>
      <c r="H1611" s="1" t="str">
        <f>"1"</f>
        <v>1</v>
      </c>
      <c r="I1611" s="3" t="str">
        <f>"5688"</f>
        <v>5688</v>
      </c>
      <c r="J1611" s="4">
        <v>46066</v>
      </c>
      <c r="K1611" s="1" t="s">
        <v>3445</v>
      </c>
    </row>
    <row r="1612" spans="1:11" x14ac:dyDescent="0.35">
      <c r="A1612" s="1" t="s">
        <v>3356</v>
      </c>
      <c r="B1612" s="1" t="s">
        <v>3400</v>
      </c>
      <c r="C1612" s="1" t="s">
        <v>3450</v>
      </c>
      <c r="D1612" s="1" t="str">
        <f>"5350"</f>
        <v>5350</v>
      </c>
      <c r="E1612" s="1" t="str">
        <f>"015101288"</f>
        <v>015101288</v>
      </c>
      <c r="F1612" s="1" t="s">
        <v>3451</v>
      </c>
      <c r="G1612" s="1" t="s">
        <v>2946</v>
      </c>
      <c r="H1612" s="1" t="str">
        <f>"2"</f>
        <v>2</v>
      </c>
      <c r="I1612" s="3" t="str">
        <f>"133"</f>
        <v>133</v>
      </c>
      <c r="J1612" s="4">
        <v>46066</v>
      </c>
      <c r="K1612" s="1" t="s">
        <v>3452</v>
      </c>
    </row>
    <row r="1613" spans="1:11" x14ac:dyDescent="0.35">
      <c r="A1613" s="1" t="s">
        <v>3356</v>
      </c>
      <c r="B1613" s="1" t="s">
        <v>3400</v>
      </c>
      <c r="C1613" s="1" t="s">
        <v>3453</v>
      </c>
      <c r="D1613" s="1" t="str">
        <f>"6130"</f>
        <v>6130</v>
      </c>
      <c r="E1613" s="1" t="str">
        <f>"014421834"</f>
        <v>014421834</v>
      </c>
      <c r="F1613" s="1" t="s">
        <v>3454</v>
      </c>
      <c r="G1613" s="1" t="s">
        <v>15</v>
      </c>
      <c r="H1613" s="1" t="str">
        <f>"4"</f>
        <v>4</v>
      </c>
      <c r="I1613" s="3">
        <v>1568.3</v>
      </c>
      <c r="J1613" s="4">
        <v>46066</v>
      </c>
      <c r="K1613" s="1" t="s">
        <v>3455</v>
      </c>
    </row>
    <row r="1614" spans="1:11" x14ac:dyDescent="0.35">
      <c r="A1614" s="1" t="s">
        <v>3356</v>
      </c>
      <c r="B1614" s="1" t="s">
        <v>3400</v>
      </c>
      <c r="C1614" s="1" t="s">
        <v>3456</v>
      </c>
      <c r="D1614" s="1" t="str">
        <f>"7025"</f>
        <v>7025</v>
      </c>
      <c r="E1614" s="1" t="s">
        <v>3457</v>
      </c>
      <c r="F1614" s="1" t="s">
        <v>3458</v>
      </c>
      <c r="G1614" s="1" t="s">
        <v>15</v>
      </c>
      <c r="H1614" s="1" t="str">
        <f>"1"</f>
        <v>1</v>
      </c>
      <c r="I1614" s="3" t="str">
        <f>"350"</f>
        <v>350</v>
      </c>
      <c r="J1614" s="4">
        <v>46066</v>
      </c>
      <c r="K1614" s="1" t="s">
        <v>3459</v>
      </c>
    </row>
    <row r="1615" spans="1:11" x14ac:dyDescent="0.35">
      <c r="A1615" s="1" t="s">
        <v>3356</v>
      </c>
      <c r="B1615" s="1" t="s">
        <v>3400</v>
      </c>
      <c r="C1615" s="1" t="s">
        <v>3460</v>
      </c>
      <c r="D1615" s="1" t="str">
        <f>"7025"</f>
        <v>7025</v>
      </c>
      <c r="E1615" s="1" t="s">
        <v>3461</v>
      </c>
      <c r="F1615" s="1" t="s">
        <v>3462</v>
      </c>
      <c r="G1615" s="1" t="s">
        <v>15</v>
      </c>
      <c r="H1615" s="1" t="str">
        <f>"10"</f>
        <v>10</v>
      </c>
      <c r="I1615" s="3" t="str">
        <f>"25"</f>
        <v>25</v>
      </c>
      <c r="J1615" s="4">
        <v>46066</v>
      </c>
      <c r="K1615" s="1" t="s">
        <v>3463</v>
      </c>
    </row>
    <row r="1616" spans="1:11" x14ac:dyDescent="0.35">
      <c r="A1616" s="1" t="s">
        <v>3356</v>
      </c>
      <c r="B1616" s="1" t="s">
        <v>3400</v>
      </c>
      <c r="C1616" s="1" t="s">
        <v>3464</v>
      </c>
      <c r="D1616" s="1" t="str">
        <f>"7025"</f>
        <v>7025</v>
      </c>
      <c r="E1616" s="1" t="s">
        <v>2110</v>
      </c>
      <c r="F1616" s="1" t="s">
        <v>2111</v>
      </c>
      <c r="G1616" s="1" t="s">
        <v>15</v>
      </c>
      <c r="H1616" s="1" t="str">
        <f>"10"</f>
        <v>10</v>
      </c>
      <c r="I1616" s="3" t="str">
        <f>"20"</f>
        <v>20</v>
      </c>
      <c r="J1616" s="4">
        <v>46066</v>
      </c>
      <c r="K1616" s="1" t="s">
        <v>3465</v>
      </c>
    </row>
    <row r="1617" spans="1:11" x14ac:dyDescent="0.35">
      <c r="A1617" s="1" t="s">
        <v>3356</v>
      </c>
      <c r="B1617" s="1" t="s">
        <v>3400</v>
      </c>
      <c r="C1617" s="1" t="s">
        <v>3466</v>
      </c>
      <c r="D1617" s="1" t="str">
        <f>"7110"</f>
        <v>7110</v>
      </c>
      <c r="E1617" s="1" t="s">
        <v>1066</v>
      </c>
      <c r="F1617" s="1" t="s">
        <v>1067</v>
      </c>
      <c r="G1617" s="1" t="s">
        <v>15</v>
      </c>
      <c r="H1617" s="1" t="str">
        <f>"2"</f>
        <v>2</v>
      </c>
      <c r="I1617" s="3" t="str">
        <f>"436"</f>
        <v>436</v>
      </c>
      <c r="J1617" s="4">
        <v>46066</v>
      </c>
      <c r="K1617" s="1" t="s">
        <v>3467</v>
      </c>
    </row>
    <row r="1618" spans="1:11" x14ac:dyDescent="0.35">
      <c r="A1618" s="1" t="s">
        <v>3356</v>
      </c>
      <c r="B1618" s="1" t="s">
        <v>3400</v>
      </c>
      <c r="C1618" s="1" t="s">
        <v>3468</v>
      </c>
      <c r="D1618" s="1" t="str">
        <f>"7510"</f>
        <v>7510</v>
      </c>
      <c r="E1618" s="1" t="s">
        <v>3469</v>
      </c>
      <c r="F1618" s="1" t="s">
        <v>3470</v>
      </c>
      <c r="G1618" s="1" t="s">
        <v>206</v>
      </c>
      <c r="H1618" s="1" t="str">
        <f>"1"</f>
        <v>1</v>
      </c>
      <c r="I1618" s="3" t="str">
        <f>"25"</f>
        <v>25</v>
      </c>
      <c r="J1618" s="4">
        <v>46066</v>
      </c>
      <c r="K1618" s="1" t="s">
        <v>3471</v>
      </c>
    </row>
    <row r="1619" spans="1:11" x14ac:dyDescent="0.35">
      <c r="A1619" s="1" t="s">
        <v>3356</v>
      </c>
      <c r="B1619" s="1" t="s">
        <v>3400</v>
      </c>
      <c r="C1619" s="1" t="s">
        <v>3472</v>
      </c>
      <c r="D1619" s="1" t="str">
        <f>"7520"</f>
        <v>7520</v>
      </c>
      <c r="E1619" s="1" t="s">
        <v>3473</v>
      </c>
      <c r="F1619" s="1" t="s">
        <v>3474</v>
      </c>
      <c r="G1619" s="1" t="s">
        <v>15</v>
      </c>
      <c r="H1619" s="1" t="str">
        <f>"10"</f>
        <v>10</v>
      </c>
      <c r="I1619" s="3" t="str">
        <f>"50"</f>
        <v>50</v>
      </c>
      <c r="J1619" s="4">
        <v>46066</v>
      </c>
      <c r="K1619" s="1" t="s">
        <v>3475</v>
      </c>
    </row>
    <row r="1620" spans="1:11" x14ac:dyDescent="0.35">
      <c r="A1620" s="1" t="s">
        <v>3356</v>
      </c>
      <c r="B1620" s="1" t="s">
        <v>3400</v>
      </c>
      <c r="C1620" s="1" t="s">
        <v>3480</v>
      </c>
      <c r="D1620" s="1" t="str">
        <f>"7920"</f>
        <v>7920</v>
      </c>
      <c r="E1620" s="1" t="str">
        <f>"002248726"</f>
        <v>002248726</v>
      </c>
      <c r="F1620" s="1" t="s">
        <v>3481</v>
      </c>
      <c r="G1620" s="1" t="s">
        <v>15</v>
      </c>
      <c r="H1620" s="1" t="str">
        <f>"17"</f>
        <v>17</v>
      </c>
      <c r="I1620" s="3">
        <v>25.12</v>
      </c>
      <c r="J1620" s="4">
        <v>46066</v>
      </c>
      <c r="K1620" s="1" t="s">
        <v>3482</v>
      </c>
    </row>
    <row r="1621" spans="1:11" x14ac:dyDescent="0.35">
      <c r="A1621" s="1" t="s">
        <v>3356</v>
      </c>
      <c r="B1621" s="1" t="s">
        <v>3400</v>
      </c>
      <c r="C1621" s="1" t="s">
        <v>3485</v>
      </c>
      <c r="D1621" s="1" t="str">
        <f>"8405"</f>
        <v>8405</v>
      </c>
      <c r="E1621" s="1" t="str">
        <f>"015737954"</f>
        <v>015737954</v>
      </c>
      <c r="F1621" s="1" t="s">
        <v>3486</v>
      </c>
      <c r="G1621" s="1" t="s">
        <v>15</v>
      </c>
      <c r="H1621" s="1" t="str">
        <f>"75"</f>
        <v>75</v>
      </c>
      <c r="I1621" s="3">
        <v>13.21</v>
      </c>
      <c r="J1621" s="4">
        <v>46066</v>
      </c>
      <c r="K1621" s="1" t="s">
        <v>3487</v>
      </c>
    </row>
    <row r="1622" spans="1:11" x14ac:dyDescent="0.35">
      <c r="A1622" s="1" t="s">
        <v>3356</v>
      </c>
      <c r="B1622" s="1" t="s">
        <v>3400</v>
      </c>
      <c r="C1622" s="1" t="s">
        <v>3488</v>
      </c>
      <c r="D1622" s="1" t="str">
        <f>"8415"</f>
        <v>8415</v>
      </c>
      <c r="E1622" s="1" t="str">
        <f>"010997846"</f>
        <v>010997846</v>
      </c>
      <c r="F1622" s="1" t="s">
        <v>2978</v>
      </c>
      <c r="G1622" s="1" t="s">
        <v>15</v>
      </c>
      <c r="H1622" s="1" t="str">
        <f>"3"</f>
        <v>3</v>
      </c>
      <c r="I1622" s="3">
        <v>12.86</v>
      </c>
      <c r="J1622" s="4">
        <v>46066</v>
      </c>
      <c r="K1622" s="1" t="s">
        <v>3489</v>
      </c>
    </row>
    <row r="1623" spans="1:11" x14ac:dyDescent="0.35">
      <c r="A1623" s="1" t="s">
        <v>3356</v>
      </c>
      <c r="B1623" s="1" t="s">
        <v>3400</v>
      </c>
      <c r="C1623" s="1" t="s">
        <v>3490</v>
      </c>
      <c r="D1623" s="1" t="str">
        <f>"8415"</f>
        <v>8415</v>
      </c>
      <c r="E1623" s="1" t="str">
        <f>"010997847"</f>
        <v>010997847</v>
      </c>
      <c r="F1623" s="1" t="s">
        <v>2978</v>
      </c>
      <c r="G1623" s="1" t="s">
        <v>15</v>
      </c>
      <c r="H1623" s="1" t="str">
        <f>"3"</f>
        <v>3</v>
      </c>
      <c r="I1623" s="3">
        <v>12.86</v>
      </c>
      <c r="J1623" s="4">
        <v>46066</v>
      </c>
      <c r="K1623" s="1" t="s">
        <v>3489</v>
      </c>
    </row>
    <row r="1624" spans="1:11" x14ac:dyDescent="0.35">
      <c r="A1624" s="1" t="s">
        <v>3356</v>
      </c>
      <c r="B1624" s="1" t="s">
        <v>3400</v>
      </c>
      <c r="C1624" s="1" t="s">
        <v>3491</v>
      </c>
      <c r="D1624" s="1" t="str">
        <f>"8415"</f>
        <v>8415</v>
      </c>
      <c r="E1624" s="1" t="str">
        <f>"015867085"</f>
        <v>015867085</v>
      </c>
      <c r="F1624" s="1" t="s">
        <v>2405</v>
      </c>
      <c r="G1624" s="1" t="s">
        <v>15</v>
      </c>
      <c r="H1624" s="1" t="str">
        <f>"16"</f>
        <v>16</v>
      </c>
      <c r="I1624" s="3">
        <v>207.17</v>
      </c>
      <c r="J1624" s="4">
        <v>46066</v>
      </c>
      <c r="K1624" s="1" t="s">
        <v>3492</v>
      </c>
    </row>
    <row r="1625" spans="1:11" x14ac:dyDescent="0.35">
      <c r="A1625" s="1" t="s">
        <v>3356</v>
      </c>
      <c r="B1625" s="1" t="s">
        <v>3400</v>
      </c>
      <c r="C1625" s="1" t="s">
        <v>3493</v>
      </c>
      <c r="D1625" s="1" t="str">
        <f>"8415"</f>
        <v>8415</v>
      </c>
      <c r="E1625" s="1" t="str">
        <f>"011811398"</f>
        <v>011811398</v>
      </c>
      <c r="F1625" s="1" t="s">
        <v>2996</v>
      </c>
      <c r="G1625" s="1" t="s">
        <v>15</v>
      </c>
      <c r="H1625" s="1" t="str">
        <f>"75"</f>
        <v>75</v>
      </c>
      <c r="I1625" s="3">
        <v>9.6199999999999992</v>
      </c>
      <c r="J1625" s="4">
        <v>46066</v>
      </c>
      <c r="K1625" s="1" t="s">
        <v>3494</v>
      </c>
    </row>
    <row r="1626" spans="1:11" x14ac:dyDescent="0.35">
      <c r="A1626" s="1" t="s">
        <v>3356</v>
      </c>
      <c r="B1626" s="1" t="s">
        <v>3400</v>
      </c>
      <c r="C1626" s="1" t="s">
        <v>3495</v>
      </c>
      <c r="D1626" s="1" t="str">
        <f>"8415"</f>
        <v>8415</v>
      </c>
      <c r="E1626" s="1" t="str">
        <f>"003761734"</f>
        <v>003761734</v>
      </c>
      <c r="F1626" s="1" t="s">
        <v>2097</v>
      </c>
      <c r="G1626" s="1" t="s">
        <v>15</v>
      </c>
      <c r="H1626" s="1" t="str">
        <f>"3"</f>
        <v>3</v>
      </c>
      <c r="I1626" s="3">
        <v>99.14</v>
      </c>
      <c r="J1626" s="4">
        <v>46066</v>
      </c>
      <c r="K1626" s="1" t="s">
        <v>3496</v>
      </c>
    </row>
    <row r="1627" spans="1:11" x14ac:dyDescent="0.35">
      <c r="A1627" s="1" t="s">
        <v>3356</v>
      </c>
      <c r="B1627" s="1" t="s">
        <v>3400</v>
      </c>
      <c r="C1627" s="1" t="s">
        <v>3497</v>
      </c>
      <c r="D1627" s="1" t="str">
        <f>"8465"</f>
        <v>8465</v>
      </c>
      <c r="E1627" s="1" t="str">
        <f>"013980685"</f>
        <v>013980685</v>
      </c>
      <c r="F1627" s="1" t="s">
        <v>1961</v>
      </c>
      <c r="G1627" s="1" t="s">
        <v>15</v>
      </c>
      <c r="H1627" s="1" t="str">
        <f>"13"</f>
        <v>13</v>
      </c>
      <c r="I1627" s="3">
        <v>47.26</v>
      </c>
      <c r="J1627" s="4">
        <v>46066</v>
      </c>
      <c r="K1627" s="1" t="s">
        <v>3498</v>
      </c>
    </row>
    <row r="1628" spans="1:11" x14ac:dyDescent="0.35">
      <c r="A1628" s="1" t="s">
        <v>3356</v>
      </c>
      <c r="B1628" s="1" t="s">
        <v>3400</v>
      </c>
      <c r="C1628" s="1" t="s">
        <v>3499</v>
      </c>
      <c r="D1628" s="1" t="str">
        <f>"8465"</f>
        <v>8465</v>
      </c>
      <c r="E1628" s="1" t="str">
        <f>"000016471"</f>
        <v>000016471</v>
      </c>
      <c r="F1628" s="1" t="s">
        <v>2260</v>
      </c>
      <c r="G1628" s="1" t="s">
        <v>15</v>
      </c>
      <c r="H1628" s="1" t="str">
        <f>"25"</f>
        <v>25</v>
      </c>
      <c r="I1628" s="3">
        <v>12.49</v>
      </c>
      <c r="J1628" s="4">
        <v>46066</v>
      </c>
      <c r="K1628" s="1" t="s">
        <v>3500</v>
      </c>
    </row>
    <row r="1629" spans="1:11" x14ac:dyDescent="0.35">
      <c r="A1629" s="1" t="s">
        <v>3356</v>
      </c>
      <c r="B1629" s="1" t="s">
        <v>3400</v>
      </c>
      <c r="C1629" s="1" t="s">
        <v>3483</v>
      </c>
      <c r="D1629" s="1" t="str">
        <f>"8340"</f>
        <v>8340</v>
      </c>
      <c r="E1629" s="1" t="str">
        <f>"011373257"</f>
        <v>011373257</v>
      </c>
      <c r="F1629" s="1" t="s">
        <v>2958</v>
      </c>
      <c r="G1629" s="1" t="s">
        <v>15</v>
      </c>
      <c r="H1629" s="1" t="str">
        <f>"15"</f>
        <v>15</v>
      </c>
      <c r="I1629" s="3">
        <v>46.1</v>
      </c>
      <c r="J1629" s="4">
        <v>46070</v>
      </c>
      <c r="K1629" s="1" t="s">
        <v>3484</v>
      </c>
    </row>
    <row r="1630" spans="1:11" x14ac:dyDescent="0.35">
      <c r="A1630" s="1" t="s">
        <v>3356</v>
      </c>
      <c r="B1630" s="1" t="s">
        <v>3666</v>
      </c>
      <c r="C1630" s="1" t="s">
        <v>3697</v>
      </c>
      <c r="D1630" s="1" t="str">
        <f>"3805"</f>
        <v>3805</v>
      </c>
      <c r="E1630" s="1" t="s">
        <v>1020</v>
      </c>
      <c r="F1630" s="1" t="s">
        <v>1021</v>
      </c>
      <c r="G1630" s="1" t="s">
        <v>15</v>
      </c>
      <c r="H1630" s="1" t="str">
        <f>"1"</f>
        <v>1</v>
      </c>
      <c r="I1630" s="3" t="str">
        <f>"7500"</f>
        <v>7500</v>
      </c>
      <c r="J1630" s="4">
        <v>46070</v>
      </c>
      <c r="K1630" s="1" t="s">
        <v>3698</v>
      </c>
    </row>
    <row r="1631" spans="1:11" x14ac:dyDescent="0.35">
      <c r="A1631" s="1" t="s">
        <v>3356</v>
      </c>
      <c r="B1631" s="1" t="s">
        <v>3788</v>
      </c>
      <c r="C1631" s="1" t="s">
        <v>3789</v>
      </c>
      <c r="D1631" s="1" t="str">
        <f>"2320"</f>
        <v>2320</v>
      </c>
      <c r="E1631" s="1" t="s">
        <v>100</v>
      </c>
      <c r="F1631" s="1" t="s">
        <v>101</v>
      </c>
      <c r="G1631" s="1" t="s">
        <v>15</v>
      </c>
      <c r="H1631" s="1" t="str">
        <f>"1"</f>
        <v>1</v>
      </c>
      <c r="I1631" s="3" t="str">
        <f>"50000"</f>
        <v>50000</v>
      </c>
      <c r="J1631" s="4">
        <v>46073</v>
      </c>
      <c r="K1631" s="1" t="s">
        <v>3790</v>
      </c>
    </row>
    <row r="1632" spans="1:11" x14ac:dyDescent="0.35">
      <c r="A1632" s="1" t="s">
        <v>3356</v>
      </c>
      <c r="B1632" s="1" t="s">
        <v>3788</v>
      </c>
      <c r="C1632" s="1" t="s">
        <v>3791</v>
      </c>
      <c r="D1632" s="1" t="str">
        <f>"3920"</f>
        <v>3920</v>
      </c>
      <c r="E1632" s="1" t="str">
        <f>"010769033"</f>
        <v>010769033</v>
      </c>
      <c r="F1632" s="1" t="s">
        <v>1677</v>
      </c>
      <c r="G1632" s="1" t="s">
        <v>15</v>
      </c>
      <c r="H1632" s="1" t="str">
        <f>"1"</f>
        <v>1</v>
      </c>
      <c r="I1632" s="3">
        <v>88.33</v>
      </c>
      <c r="J1632" s="4">
        <v>46073</v>
      </c>
      <c r="K1632" s="1" t="s">
        <v>3792</v>
      </c>
    </row>
    <row r="1633" spans="1:11" x14ac:dyDescent="0.35">
      <c r="A1633" s="1" t="s">
        <v>3356</v>
      </c>
      <c r="B1633" s="1" t="s">
        <v>3788</v>
      </c>
      <c r="C1633" s="1" t="s">
        <v>3793</v>
      </c>
      <c r="D1633" s="1" t="str">
        <f>"6515"</f>
        <v>6515</v>
      </c>
      <c r="E1633" s="1" t="str">
        <f>"014398571"</f>
        <v>014398571</v>
      </c>
      <c r="F1633" s="1" t="s">
        <v>2302</v>
      </c>
      <c r="G1633" s="1" t="s">
        <v>293</v>
      </c>
      <c r="H1633" s="1" t="str">
        <f>"5"</f>
        <v>5</v>
      </c>
      <c r="I1633" s="3">
        <v>171.87</v>
      </c>
      <c r="J1633" s="4">
        <v>46073</v>
      </c>
      <c r="K1633" s="1" t="s">
        <v>3794</v>
      </c>
    </row>
    <row r="1634" spans="1:11" x14ac:dyDescent="0.35">
      <c r="A1634" s="1" t="s">
        <v>3356</v>
      </c>
      <c r="B1634" s="1" t="s">
        <v>3788</v>
      </c>
      <c r="C1634" s="1" t="s">
        <v>3795</v>
      </c>
      <c r="D1634" s="1" t="str">
        <f>"6532"</f>
        <v>6532</v>
      </c>
      <c r="E1634" s="1" t="str">
        <f>"014697522"</f>
        <v>014697522</v>
      </c>
      <c r="F1634" s="1" t="s">
        <v>3796</v>
      </c>
      <c r="G1634" s="1" t="s">
        <v>293</v>
      </c>
      <c r="H1634" s="1" t="str">
        <f>"100"</f>
        <v>100</v>
      </c>
      <c r="I1634" s="3">
        <v>140.97</v>
      </c>
      <c r="J1634" s="4">
        <v>46073</v>
      </c>
      <c r="K1634" s="1" t="s">
        <v>3797</v>
      </c>
    </row>
    <row r="1635" spans="1:11" x14ac:dyDescent="0.35">
      <c r="A1635" s="1" t="s">
        <v>3356</v>
      </c>
      <c r="B1635" s="1" t="s">
        <v>3788</v>
      </c>
      <c r="C1635" s="1" t="s">
        <v>3798</v>
      </c>
      <c r="D1635" s="1" t="str">
        <f>"6625"</f>
        <v>6625</v>
      </c>
      <c r="E1635" s="1" t="str">
        <f>"015349217"</f>
        <v>015349217</v>
      </c>
      <c r="F1635" s="1" t="s">
        <v>644</v>
      </c>
      <c r="G1635" s="1" t="s">
        <v>15</v>
      </c>
      <c r="H1635" s="1" t="str">
        <f>"1"</f>
        <v>1</v>
      </c>
      <c r="I1635" s="3" t="str">
        <f>"6497"</f>
        <v>6497</v>
      </c>
      <c r="J1635" s="4">
        <v>46073</v>
      </c>
      <c r="K1635" s="1" t="s">
        <v>3799</v>
      </c>
    </row>
    <row r="1636" spans="1:11" x14ac:dyDescent="0.35">
      <c r="A1636" s="1" t="s">
        <v>3356</v>
      </c>
      <c r="B1636" s="1" t="s">
        <v>3788</v>
      </c>
      <c r="C1636" s="1" t="s">
        <v>3800</v>
      </c>
      <c r="D1636" s="1" t="str">
        <f>"7125"</f>
        <v>7125</v>
      </c>
      <c r="E1636" s="1" t="s">
        <v>3801</v>
      </c>
      <c r="F1636" s="1" t="s">
        <v>3802</v>
      </c>
      <c r="G1636" s="1" t="s">
        <v>15</v>
      </c>
      <c r="H1636" s="1" t="str">
        <f>"1"</f>
        <v>1</v>
      </c>
      <c r="I1636" s="3" t="str">
        <f>"100"</f>
        <v>100</v>
      </c>
      <c r="J1636" s="4">
        <v>46073</v>
      </c>
      <c r="K1636" s="1" t="s">
        <v>3803</v>
      </c>
    </row>
    <row r="1637" spans="1:11" x14ac:dyDescent="0.35">
      <c r="A1637" s="1" t="s">
        <v>3356</v>
      </c>
      <c r="B1637" s="1" t="s">
        <v>3788</v>
      </c>
      <c r="C1637" s="1" t="s">
        <v>3804</v>
      </c>
      <c r="D1637" s="1" t="str">
        <f>"8105"</f>
        <v>8105</v>
      </c>
      <c r="E1637" s="1" t="str">
        <f>"002854744"</f>
        <v>002854744</v>
      </c>
      <c r="F1637" s="1" t="s">
        <v>3805</v>
      </c>
      <c r="G1637" s="1" t="s">
        <v>3806</v>
      </c>
      <c r="H1637" s="1" t="str">
        <f>"2"</f>
        <v>2</v>
      </c>
      <c r="I1637" s="3">
        <v>93.61</v>
      </c>
      <c r="J1637" s="4">
        <v>46073</v>
      </c>
      <c r="K1637" s="1" t="s">
        <v>3807</v>
      </c>
    </row>
    <row r="1638" spans="1:11" x14ac:dyDescent="0.35">
      <c r="A1638" s="1" t="s">
        <v>3356</v>
      </c>
      <c r="B1638" s="1" t="s">
        <v>3788</v>
      </c>
      <c r="C1638" s="1" t="s">
        <v>3808</v>
      </c>
      <c r="D1638" s="1" t="str">
        <f>"8465"</f>
        <v>8465</v>
      </c>
      <c r="E1638" s="1" t="str">
        <f>"012535335"</f>
        <v>012535335</v>
      </c>
      <c r="F1638" s="1" t="s">
        <v>856</v>
      </c>
      <c r="G1638" s="1" t="s">
        <v>15</v>
      </c>
      <c r="H1638" s="1" t="str">
        <f>"4"</f>
        <v>4</v>
      </c>
      <c r="I1638" s="3">
        <v>39.909999999999997</v>
      </c>
      <c r="J1638" s="4">
        <v>46073</v>
      </c>
      <c r="K1638" s="1" t="s">
        <v>3809</v>
      </c>
    </row>
    <row r="1639" spans="1:11" x14ac:dyDescent="0.35">
      <c r="A1639" s="1" t="s">
        <v>3356</v>
      </c>
      <c r="B1639" s="1" t="s">
        <v>3788</v>
      </c>
      <c r="C1639" s="1" t="s">
        <v>3810</v>
      </c>
      <c r="D1639" s="1" t="str">
        <f>"9925"</f>
        <v>9925</v>
      </c>
      <c r="E1639" s="1" t="str">
        <f>"014795319"</f>
        <v>014795319</v>
      </c>
      <c r="F1639" s="1" t="s">
        <v>3811</v>
      </c>
      <c r="G1639" s="1" t="s">
        <v>15</v>
      </c>
      <c r="H1639" s="1" t="str">
        <f>"1"</f>
        <v>1</v>
      </c>
      <c r="I1639" s="3">
        <v>1660.55</v>
      </c>
      <c r="J1639" s="4">
        <v>46073</v>
      </c>
      <c r="K1639" s="1" t="s">
        <v>3812</v>
      </c>
    </row>
    <row r="1640" spans="1:11" x14ac:dyDescent="0.35">
      <c r="A1640" s="1" t="s">
        <v>3356</v>
      </c>
      <c r="B1640" s="1" t="s">
        <v>3357</v>
      </c>
      <c r="C1640" s="1" t="s">
        <v>3358</v>
      </c>
      <c r="D1640" s="1" t="str">
        <f>"2310"</f>
        <v>2310</v>
      </c>
      <c r="E1640" s="1" t="str">
        <f>"010907739"</f>
        <v>010907739</v>
      </c>
      <c r="F1640" s="1" t="s">
        <v>710</v>
      </c>
      <c r="G1640" s="1" t="s">
        <v>15</v>
      </c>
      <c r="H1640" s="1" t="str">
        <f>"1"</f>
        <v>1</v>
      </c>
      <c r="I1640" s="3" t="str">
        <f>"9176"</f>
        <v>9176</v>
      </c>
      <c r="J1640" s="4">
        <v>46077</v>
      </c>
      <c r="K1640" s="1" t="s">
        <v>3359</v>
      </c>
    </row>
    <row r="1641" spans="1:11" x14ac:dyDescent="0.35">
      <c r="A1641" s="1" t="s">
        <v>3356</v>
      </c>
      <c r="B1641" s="1" t="s">
        <v>3357</v>
      </c>
      <c r="C1641" s="1" t="s">
        <v>3360</v>
      </c>
      <c r="D1641" s="1" t="str">
        <f>"2310"</f>
        <v>2310</v>
      </c>
      <c r="E1641" s="1" t="str">
        <f>"010907739"</f>
        <v>010907739</v>
      </c>
      <c r="F1641" s="1" t="s">
        <v>710</v>
      </c>
      <c r="G1641" s="1" t="s">
        <v>15</v>
      </c>
      <c r="H1641" s="1" t="str">
        <f>"1"</f>
        <v>1</v>
      </c>
      <c r="I1641" s="3" t="str">
        <f>"9176"</f>
        <v>9176</v>
      </c>
      <c r="J1641" s="4">
        <v>46077</v>
      </c>
      <c r="K1641" s="1" t="s">
        <v>3361</v>
      </c>
    </row>
    <row r="1642" spans="1:11" x14ac:dyDescent="0.35">
      <c r="A1642" s="1" t="s">
        <v>3356</v>
      </c>
      <c r="B1642" s="1" t="s">
        <v>3371</v>
      </c>
      <c r="C1642" s="1" t="s">
        <v>3376</v>
      </c>
      <c r="D1642" s="1" t="str">
        <f>"2310"</f>
        <v>2310</v>
      </c>
      <c r="E1642" s="1" t="str">
        <f>"002899082"</f>
        <v>002899082</v>
      </c>
      <c r="F1642" s="1" t="s">
        <v>3377</v>
      </c>
      <c r="G1642" s="1" t="s">
        <v>15</v>
      </c>
      <c r="H1642" s="1" t="str">
        <f>"1"</f>
        <v>1</v>
      </c>
      <c r="I1642" s="3" t="str">
        <f>"124879"</f>
        <v>124879</v>
      </c>
      <c r="J1642" s="4">
        <v>46078</v>
      </c>
      <c r="K1642" s="1" t="s">
        <v>3378</v>
      </c>
    </row>
    <row r="1643" spans="1:11" x14ac:dyDescent="0.35">
      <c r="A1643" s="1" t="s">
        <v>3356</v>
      </c>
      <c r="B1643" s="1" t="s">
        <v>3518</v>
      </c>
      <c r="C1643" s="1" t="s">
        <v>3519</v>
      </c>
      <c r="D1643" s="1" t="str">
        <f>"2320"</f>
        <v>2320</v>
      </c>
      <c r="E1643" s="1" t="s">
        <v>100</v>
      </c>
      <c r="F1643" s="1" t="s">
        <v>101</v>
      </c>
      <c r="G1643" s="1" t="s">
        <v>15</v>
      </c>
      <c r="H1643" s="1" t="str">
        <f>"1"</f>
        <v>1</v>
      </c>
      <c r="I1643" s="3" t="str">
        <f>"56163"</f>
        <v>56163</v>
      </c>
      <c r="J1643" s="4">
        <v>46078</v>
      </c>
      <c r="K1643" s="1" t="s">
        <v>3520</v>
      </c>
    </row>
    <row r="1644" spans="1:11" x14ac:dyDescent="0.35">
      <c r="A1644" s="1" t="s">
        <v>3356</v>
      </c>
      <c r="B1644" s="1" t="s">
        <v>3400</v>
      </c>
      <c r="C1644" s="1" t="s">
        <v>3401</v>
      </c>
      <c r="D1644" s="1" t="str">
        <f>"2530"</f>
        <v>2530</v>
      </c>
      <c r="E1644" s="1" t="s">
        <v>3402</v>
      </c>
      <c r="F1644" s="1" t="s">
        <v>3403</v>
      </c>
      <c r="G1644" s="1" t="s">
        <v>15</v>
      </c>
      <c r="H1644" s="1" t="str">
        <f>"2"</f>
        <v>2</v>
      </c>
      <c r="I1644" s="3" t="str">
        <f>"2386"</f>
        <v>2386</v>
      </c>
      <c r="J1644" s="4">
        <v>46079</v>
      </c>
      <c r="K1644" s="1" t="s">
        <v>3404</v>
      </c>
    </row>
    <row r="1645" spans="1:11" x14ac:dyDescent="0.35">
      <c r="A1645" s="1" t="s">
        <v>3356</v>
      </c>
      <c r="B1645" s="1" t="s">
        <v>3400</v>
      </c>
      <c r="C1645" s="1" t="s">
        <v>3407</v>
      </c>
      <c r="D1645" s="1" t="str">
        <f>"3530"</f>
        <v>3530</v>
      </c>
      <c r="E1645" s="1" t="str">
        <f>"011809072"</f>
        <v>011809072</v>
      </c>
      <c r="F1645" s="1" t="s">
        <v>3408</v>
      </c>
      <c r="G1645" s="1" t="s">
        <v>15</v>
      </c>
      <c r="H1645" s="1" t="str">
        <f>"1"</f>
        <v>1</v>
      </c>
      <c r="I1645" s="3">
        <v>975.72</v>
      </c>
      <c r="J1645" s="4">
        <v>46079</v>
      </c>
      <c r="K1645" s="1" t="s">
        <v>3409</v>
      </c>
    </row>
    <row r="1646" spans="1:11" x14ac:dyDescent="0.35">
      <c r="A1646" s="1" t="s">
        <v>3356</v>
      </c>
      <c r="B1646" s="1" t="s">
        <v>3400</v>
      </c>
      <c r="C1646" s="1" t="s">
        <v>3416</v>
      </c>
      <c r="D1646" s="1" t="str">
        <f>"4020"</f>
        <v>4020</v>
      </c>
      <c r="E1646" s="1" t="str">
        <f>"012047039"</f>
        <v>012047039</v>
      </c>
      <c r="F1646" s="1" t="s">
        <v>962</v>
      </c>
      <c r="G1646" s="1" t="s">
        <v>963</v>
      </c>
      <c r="H1646" s="1" t="str">
        <f>"10"</f>
        <v>10</v>
      </c>
      <c r="I1646" s="3">
        <v>44.27</v>
      </c>
      <c r="J1646" s="4">
        <v>46079</v>
      </c>
      <c r="K1646" s="1" t="s">
        <v>3417</v>
      </c>
    </row>
    <row r="1647" spans="1:11" x14ac:dyDescent="0.35">
      <c r="A1647" s="1" t="s">
        <v>3356</v>
      </c>
      <c r="B1647" s="1" t="s">
        <v>3400</v>
      </c>
      <c r="C1647" s="1" t="s">
        <v>3428</v>
      </c>
      <c r="D1647" s="1" t="str">
        <f>"4320"</f>
        <v>4320</v>
      </c>
      <c r="E1647" s="1" t="str">
        <f>"015478734"</f>
        <v>015478734</v>
      </c>
      <c r="F1647" s="1" t="s">
        <v>3429</v>
      </c>
      <c r="G1647" s="1" t="s">
        <v>15</v>
      </c>
      <c r="H1647" s="1" t="str">
        <f>"2"</f>
        <v>2</v>
      </c>
      <c r="I1647" s="3">
        <v>6758.78</v>
      </c>
      <c r="J1647" s="4">
        <v>46079</v>
      </c>
      <c r="K1647" s="1" t="s">
        <v>3430</v>
      </c>
    </row>
    <row r="1648" spans="1:11" x14ac:dyDescent="0.35">
      <c r="A1648" s="1" t="s">
        <v>3356</v>
      </c>
      <c r="B1648" s="1" t="s">
        <v>3400</v>
      </c>
      <c r="C1648" s="1" t="s">
        <v>3434</v>
      </c>
      <c r="D1648" s="1" t="str">
        <f>"5120"</f>
        <v>5120</v>
      </c>
      <c r="E1648" s="1" t="str">
        <f>"016015164"</f>
        <v>016015164</v>
      </c>
      <c r="F1648" s="1" t="s">
        <v>3435</v>
      </c>
      <c r="G1648" s="1" t="s">
        <v>15</v>
      </c>
      <c r="H1648" s="1" t="str">
        <f>"2"</f>
        <v>2</v>
      </c>
      <c r="I1648" s="3">
        <v>19.77</v>
      </c>
      <c r="J1648" s="4">
        <v>46079</v>
      </c>
      <c r="K1648" s="1" t="s">
        <v>3436</v>
      </c>
    </row>
    <row r="1649" spans="1:11" x14ac:dyDescent="0.35">
      <c r="A1649" s="1" t="s">
        <v>3356</v>
      </c>
      <c r="B1649" s="1" t="s">
        <v>3400</v>
      </c>
      <c r="C1649" s="1" t="s">
        <v>3437</v>
      </c>
      <c r="D1649" s="1" t="str">
        <f>"5120"</f>
        <v>5120</v>
      </c>
      <c r="E1649" s="1" t="str">
        <f>"002289504"</f>
        <v>002289504</v>
      </c>
      <c r="F1649" s="1" t="s">
        <v>3438</v>
      </c>
      <c r="G1649" s="1" t="s">
        <v>15</v>
      </c>
      <c r="H1649" s="1" t="str">
        <f>"5"</f>
        <v>5</v>
      </c>
      <c r="I1649" s="3">
        <v>8.1</v>
      </c>
      <c r="J1649" s="4">
        <v>46079</v>
      </c>
      <c r="K1649" s="1" t="s">
        <v>3439</v>
      </c>
    </row>
    <row r="1650" spans="1:11" x14ac:dyDescent="0.35">
      <c r="A1650" s="1" t="s">
        <v>3356</v>
      </c>
      <c r="B1650" s="1" t="s">
        <v>3400</v>
      </c>
      <c r="C1650" s="1" t="s">
        <v>3440</v>
      </c>
      <c r="D1650" s="1" t="str">
        <f>"5120"</f>
        <v>5120</v>
      </c>
      <c r="E1650" s="1" t="str">
        <f>"016163740"</f>
        <v>016163740</v>
      </c>
      <c r="F1650" s="1" t="s">
        <v>525</v>
      </c>
      <c r="G1650" s="1" t="s">
        <v>15</v>
      </c>
      <c r="H1650" s="1" t="str">
        <f>"2"</f>
        <v>2</v>
      </c>
      <c r="I1650" s="3">
        <v>22.35</v>
      </c>
      <c r="J1650" s="4">
        <v>46079</v>
      </c>
      <c r="K1650" s="1" t="s">
        <v>3441</v>
      </c>
    </row>
    <row r="1651" spans="1:11" x14ac:dyDescent="0.35">
      <c r="A1651" s="1" t="s">
        <v>3356</v>
      </c>
      <c r="B1651" s="1" t="s">
        <v>3400</v>
      </c>
      <c r="C1651" s="1" t="s">
        <v>3446</v>
      </c>
      <c r="D1651" s="1" t="str">
        <f>"5305"</f>
        <v>5305</v>
      </c>
      <c r="E1651" s="1" t="s">
        <v>3447</v>
      </c>
      <c r="F1651" s="1" t="s">
        <v>3448</v>
      </c>
      <c r="G1651" s="1" t="s">
        <v>206</v>
      </c>
      <c r="H1651" s="1" t="str">
        <f>"2"</f>
        <v>2</v>
      </c>
      <c r="I1651" s="3" t="str">
        <f>"85"</f>
        <v>85</v>
      </c>
      <c r="J1651" s="4">
        <v>46079</v>
      </c>
      <c r="K1651" s="1" t="s">
        <v>3449</v>
      </c>
    </row>
    <row r="1652" spans="1:11" x14ac:dyDescent="0.35">
      <c r="A1652" s="1" t="s">
        <v>3356</v>
      </c>
      <c r="B1652" s="1" t="s">
        <v>3400</v>
      </c>
      <c r="C1652" s="1" t="s">
        <v>3476</v>
      </c>
      <c r="D1652" s="1" t="str">
        <f>"7710"</f>
        <v>7710</v>
      </c>
      <c r="E1652" s="1" t="s">
        <v>3477</v>
      </c>
      <c r="F1652" s="1" t="s">
        <v>3478</v>
      </c>
      <c r="G1652" s="1" t="s">
        <v>15</v>
      </c>
      <c r="H1652" s="1" t="str">
        <f>"1"</f>
        <v>1</v>
      </c>
      <c r="I1652" s="3" t="str">
        <f>"903"</f>
        <v>903</v>
      </c>
      <c r="J1652" s="4">
        <v>46079</v>
      </c>
      <c r="K1652" s="1" t="s">
        <v>3479</v>
      </c>
    </row>
    <row r="1653" spans="1:11" x14ac:dyDescent="0.35">
      <c r="A1653" s="1" t="s">
        <v>3356</v>
      </c>
      <c r="B1653" s="1" t="s">
        <v>3601</v>
      </c>
      <c r="C1653" s="1" t="s">
        <v>3621</v>
      </c>
      <c r="D1653" s="1" t="str">
        <f>"5140"</f>
        <v>5140</v>
      </c>
      <c r="E1653" s="1" t="str">
        <f>"015844327"</f>
        <v>015844327</v>
      </c>
      <c r="F1653" s="1" t="s">
        <v>592</v>
      </c>
      <c r="G1653" s="1" t="s">
        <v>15</v>
      </c>
      <c r="H1653" s="1" t="str">
        <f>"2"</f>
        <v>2</v>
      </c>
      <c r="I1653" s="3">
        <v>891.88</v>
      </c>
      <c r="J1653" s="4">
        <v>46079</v>
      </c>
      <c r="K1653" s="1" t="s">
        <v>3622</v>
      </c>
    </row>
    <row r="1654" spans="1:11" x14ac:dyDescent="0.35">
      <c r="A1654" s="1" t="s">
        <v>3356</v>
      </c>
      <c r="B1654" s="1" t="s">
        <v>3601</v>
      </c>
      <c r="C1654" s="1" t="s">
        <v>3632</v>
      </c>
      <c r="D1654" s="1" t="str">
        <f>"6117"</f>
        <v>6117</v>
      </c>
      <c r="E1654" s="1" t="s">
        <v>745</v>
      </c>
      <c r="F1654" s="1" t="s">
        <v>746</v>
      </c>
      <c r="G1654" s="1" t="s">
        <v>15</v>
      </c>
      <c r="H1654" s="1" t="str">
        <f>"6"</f>
        <v>6</v>
      </c>
      <c r="I1654" s="3" t="str">
        <f>"13696"</f>
        <v>13696</v>
      </c>
      <c r="J1654" s="4">
        <v>46079</v>
      </c>
      <c r="K1654" s="1" t="s">
        <v>3633</v>
      </c>
    </row>
    <row r="1655" spans="1:11" x14ac:dyDescent="0.35">
      <c r="A1655" s="1" t="s">
        <v>3356</v>
      </c>
      <c r="B1655" s="1" t="s">
        <v>3661</v>
      </c>
      <c r="C1655" s="1" t="s">
        <v>3662</v>
      </c>
      <c r="D1655" s="1" t="str">
        <f>"6115"</f>
        <v>6115</v>
      </c>
      <c r="E1655" s="1" t="str">
        <f>"013199032"</f>
        <v>013199032</v>
      </c>
      <c r="F1655" s="1" t="s">
        <v>1179</v>
      </c>
      <c r="G1655" s="1" t="s">
        <v>15</v>
      </c>
      <c r="H1655" s="1" t="str">
        <f t="shared" ref="H1655:H1660" si="76">"1"</f>
        <v>1</v>
      </c>
      <c r="I1655" s="3" t="str">
        <f>"17730"</f>
        <v>17730</v>
      </c>
      <c r="J1655" s="4">
        <v>46079</v>
      </c>
      <c r="K1655" s="1" t="s">
        <v>3663</v>
      </c>
    </row>
    <row r="1656" spans="1:11" x14ac:dyDescent="0.35">
      <c r="A1656" s="1" t="s">
        <v>3356</v>
      </c>
      <c r="B1656" s="1" t="s">
        <v>3661</v>
      </c>
      <c r="C1656" s="1" t="s">
        <v>3664</v>
      </c>
      <c r="D1656" s="1" t="str">
        <f>"6115"</f>
        <v>6115</v>
      </c>
      <c r="E1656" s="1" t="str">
        <f>"013199032"</f>
        <v>013199032</v>
      </c>
      <c r="F1656" s="1" t="s">
        <v>1179</v>
      </c>
      <c r="G1656" s="1" t="s">
        <v>15</v>
      </c>
      <c r="H1656" s="1" t="str">
        <f t="shared" si="76"/>
        <v>1</v>
      </c>
      <c r="I1656" s="3" t="str">
        <f>"17730"</f>
        <v>17730</v>
      </c>
      <c r="J1656" s="4">
        <v>46079</v>
      </c>
      <c r="K1656" s="1" t="s">
        <v>3665</v>
      </c>
    </row>
    <row r="1657" spans="1:11" x14ac:dyDescent="0.35">
      <c r="A1657" s="1" t="s">
        <v>3356</v>
      </c>
      <c r="B1657" s="1" t="s">
        <v>3783</v>
      </c>
      <c r="C1657" s="1" t="s">
        <v>3784</v>
      </c>
      <c r="D1657" s="1" t="str">
        <f>"2310"</f>
        <v>2310</v>
      </c>
      <c r="E1657" s="1" t="str">
        <f>"010907739"</f>
        <v>010907739</v>
      </c>
      <c r="F1657" s="1" t="s">
        <v>710</v>
      </c>
      <c r="G1657" s="1" t="s">
        <v>15</v>
      </c>
      <c r="H1657" s="1" t="str">
        <f t="shared" si="76"/>
        <v>1</v>
      </c>
      <c r="I1657" s="3" t="str">
        <f>"9176"</f>
        <v>9176</v>
      </c>
      <c r="J1657" s="4">
        <v>46079</v>
      </c>
      <c r="K1657" s="1" t="s">
        <v>3785</v>
      </c>
    </row>
    <row r="1658" spans="1:11" x14ac:dyDescent="0.35">
      <c r="A1658" s="1" t="s">
        <v>3356</v>
      </c>
      <c r="B1658" s="1" t="s">
        <v>3643</v>
      </c>
      <c r="C1658" s="5" t="s">
        <v>3644</v>
      </c>
      <c r="D1658" s="1" t="str">
        <f>"2320"</f>
        <v>2320</v>
      </c>
      <c r="E1658" s="1" t="str">
        <f>"010752831"</f>
        <v>010752831</v>
      </c>
      <c r="F1658" s="1" t="s">
        <v>3645</v>
      </c>
      <c r="G1658" s="1" t="s">
        <v>15</v>
      </c>
      <c r="H1658" s="1" t="str">
        <f t="shared" si="76"/>
        <v>1</v>
      </c>
      <c r="I1658" s="3" t="str">
        <f>"116500"</f>
        <v>116500</v>
      </c>
      <c r="J1658" s="4">
        <v>46080</v>
      </c>
      <c r="K1658" s="1" t="s">
        <v>4487</v>
      </c>
    </row>
    <row r="1659" spans="1:11" x14ac:dyDescent="0.35">
      <c r="A1659" s="1" t="s">
        <v>3356</v>
      </c>
      <c r="B1659" s="1" t="s">
        <v>3666</v>
      </c>
      <c r="C1659" s="1" t="s">
        <v>3694</v>
      </c>
      <c r="D1659" s="1" t="str">
        <f>"2805"</f>
        <v>2805</v>
      </c>
      <c r="E1659" s="1" t="str">
        <f>"016279171"</f>
        <v>016279171</v>
      </c>
      <c r="F1659" s="1" t="s">
        <v>1158</v>
      </c>
      <c r="G1659" s="1" t="s">
        <v>15</v>
      </c>
      <c r="H1659" s="1" t="str">
        <f t="shared" si="76"/>
        <v>1</v>
      </c>
      <c r="I1659" s="3">
        <v>10256.290000000001</v>
      </c>
      <c r="J1659" s="4">
        <v>46083</v>
      </c>
      <c r="K1659" s="1" t="s">
        <v>3695</v>
      </c>
    </row>
    <row r="1660" spans="1:11" x14ac:dyDescent="0.35">
      <c r="A1660" s="1" t="s">
        <v>3356</v>
      </c>
      <c r="B1660" s="1" t="s">
        <v>3666</v>
      </c>
      <c r="C1660" s="1" t="s">
        <v>3696</v>
      </c>
      <c r="D1660" s="1" t="str">
        <f>"2805"</f>
        <v>2805</v>
      </c>
      <c r="E1660" s="1" t="str">
        <f>"016280600"</f>
        <v>016280600</v>
      </c>
      <c r="F1660" s="1" t="s">
        <v>1161</v>
      </c>
      <c r="G1660" s="1" t="s">
        <v>15</v>
      </c>
      <c r="H1660" s="1" t="str">
        <f t="shared" si="76"/>
        <v>1</v>
      </c>
      <c r="I1660" s="3">
        <v>10548.39</v>
      </c>
      <c r="J1660" s="4">
        <v>46083</v>
      </c>
      <c r="K1660" s="1" t="s">
        <v>3695</v>
      </c>
    </row>
    <row r="1661" spans="1:11" x14ac:dyDescent="0.35">
      <c r="A1661" s="1" t="s">
        <v>3356</v>
      </c>
      <c r="B1661" s="1" t="s">
        <v>3666</v>
      </c>
      <c r="C1661" s="1" t="s">
        <v>3703</v>
      </c>
      <c r="D1661" s="1" t="str">
        <f>"4220"</f>
        <v>4220</v>
      </c>
      <c r="E1661" s="1" t="str">
        <f>"016574027"</f>
        <v>016574027</v>
      </c>
      <c r="F1661" s="1" t="s">
        <v>1880</v>
      </c>
      <c r="G1661" s="1" t="s">
        <v>15</v>
      </c>
      <c r="H1661" s="1" t="str">
        <f>"14"</f>
        <v>14</v>
      </c>
      <c r="I1661" s="3">
        <v>359.25</v>
      </c>
      <c r="J1661" s="4">
        <v>46083</v>
      </c>
      <c r="K1661" s="1" t="s">
        <v>3704</v>
      </c>
    </row>
    <row r="1662" spans="1:11" x14ac:dyDescent="0.35">
      <c r="A1662" s="1" t="s">
        <v>3356</v>
      </c>
      <c r="B1662" s="1" t="s">
        <v>3371</v>
      </c>
      <c r="C1662" s="1" t="s">
        <v>3379</v>
      </c>
      <c r="D1662" s="1" t="str">
        <f>"2360"</f>
        <v>2360</v>
      </c>
      <c r="E1662" s="1" t="str">
        <f>"015900772"</f>
        <v>015900772</v>
      </c>
      <c r="F1662" s="1" t="s">
        <v>1344</v>
      </c>
      <c r="G1662" s="1" t="s">
        <v>15</v>
      </c>
      <c r="H1662" s="1" t="str">
        <f t="shared" ref="H1662:H1668" si="77">"1"</f>
        <v>1</v>
      </c>
      <c r="I1662" s="3" t="str">
        <f>"232404"</f>
        <v>232404</v>
      </c>
      <c r="J1662" s="4">
        <v>46084</v>
      </c>
      <c r="K1662" s="1" t="s">
        <v>3380</v>
      </c>
    </row>
    <row r="1663" spans="1:11" x14ac:dyDescent="0.35">
      <c r="A1663" s="1" t="s">
        <v>3356</v>
      </c>
      <c r="B1663" s="1" t="s">
        <v>3666</v>
      </c>
      <c r="C1663" s="1" t="s">
        <v>3667</v>
      </c>
      <c r="D1663" s="1" t="str">
        <f>"2310"</f>
        <v>2310</v>
      </c>
      <c r="E1663" s="1" t="str">
        <f>"010907739"</f>
        <v>010907739</v>
      </c>
      <c r="F1663" s="1" t="s">
        <v>710</v>
      </c>
      <c r="G1663" s="1" t="s">
        <v>15</v>
      </c>
      <c r="H1663" s="1" t="str">
        <f t="shared" si="77"/>
        <v>1</v>
      </c>
      <c r="I1663" s="3" t="str">
        <f>"9176"</f>
        <v>9176</v>
      </c>
      <c r="J1663" s="4">
        <v>46084</v>
      </c>
      <c r="K1663" s="1" t="s">
        <v>3668</v>
      </c>
    </row>
    <row r="1664" spans="1:11" x14ac:dyDescent="0.35">
      <c r="A1664" s="1" t="s">
        <v>3356</v>
      </c>
      <c r="B1664" s="1" t="s">
        <v>3666</v>
      </c>
      <c r="C1664" s="1" t="s">
        <v>3672</v>
      </c>
      <c r="D1664" s="1" t="str">
        <f>"2310"</f>
        <v>2310</v>
      </c>
      <c r="E1664" s="1" t="str">
        <f>"010907739"</f>
        <v>010907739</v>
      </c>
      <c r="F1664" s="1" t="s">
        <v>710</v>
      </c>
      <c r="G1664" s="1" t="s">
        <v>15</v>
      </c>
      <c r="H1664" s="1" t="str">
        <f t="shared" si="77"/>
        <v>1</v>
      </c>
      <c r="I1664" s="3" t="str">
        <f>"9176"</f>
        <v>9176</v>
      </c>
      <c r="J1664" s="4">
        <v>46084</v>
      </c>
      <c r="K1664" s="1" t="s">
        <v>3668</v>
      </c>
    </row>
    <row r="1665" spans="1:11" x14ac:dyDescent="0.35">
      <c r="A1665" s="1" t="s">
        <v>3356</v>
      </c>
      <c r="B1665" s="1" t="s">
        <v>3386</v>
      </c>
      <c r="C1665" s="1" t="s">
        <v>3387</v>
      </c>
      <c r="D1665" s="1" t="str">
        <f>"3930"</f>
        <v>3930</v>
      </c>
      <c r="E1665" s="1" t="str">
        <f>"011580849"</f>
        <v>011580849</v>
      </c>
      <c r="F1665" s="1" t="s">
        <v>124</v>
      </c>
      <c r="G1665" s="1" t="s">
        <v>15</v>
      </c>
      <c r="H1665" s="1" t="str">
        <f t="shared" si="77"/>
        <v>1</v>
      </c>
      <c r="I1665" s="3" t="str">
        <f>"72370"</f>
        <v>72370</v>
      </c>
      <c r="J1665" s="4">
        <v>46085</v>
      </c>
      <c r="K1665" s="1" t="s">
        <v>3388</v>
      </c>
    </row>
    <row r="1666" spans="1:11" x14ac:dyDescent="0.35">
      <c r="A1666" s="1" t="s">
        <v>3356</v>
      </c>
      <c r="B1666" s="1" t="s">
        <v>3666</v>
      </c>
      <c r="C1666" s="1" t="s">
        <v>3669</v>
      </c>
      <c r="D1666" s="1" t="str">
        <f>"2310"</f>
        <v>2310</v>
      </c>
      <c r="E1666" s="1" t="str">
        <f>"010907739"</f>
        <v>010907739</v>
      </c>
      <c r="F1666" s="1" t="s">
        <v>710</v>
      </c>
      <c r="G1666" s="1" t="s">
        <v>15</v>
      </c>
      <c r="H1666" s="1" t="str">
        <f t="shared" si="77"/>
        <v>1</v>
      </c>
      <c r="I1666" s="3" t="str">
        <f>"9176"</f>
        <v>9176</v>
      </c>
      <c r="J1666" s="4">
        <v>46086</v>
      </c>
      <c r="K1666" s="1" t="s">
        <v>3668</v>
      </c>
    </row>
    <row r="1667" spans="1:11" x14ac:dyDescent="0.35">
      <c r="A1667" s="1" t="s">
        <v>3356</v>
      </c>
      <c r="B1667" s="1" t="s">
        <v>3666</v>
      </c>
      <c r="C1667" s="1" t="s">
        <v>3670</v>
      </c>
      <c r="D1667" s="1" t="str">
        <f>"2310"</f>
        <v>2310</v>
      </c>
      <c r="E1667" s="1" t="str">
        <f>"010907739"</f>
        <v>010907739</v>
      </c>
      <c r="F1667" s="1" t="s">
        <v>710</v>
      </c>
      <c r="G1667" s="1" t="s">
        <v>15</v>
      </c>
      <c r="H1667" s="1" t="str">
        <f t="shared" si="77"/>
        <v>1</v>
      </c>
      <c r="I1667" s="3" t="str">
        <f>"9176"</f>
        <v>9176</v>
      </c>
      <c r="J1667" s="4">
        <v>46086</v>
      </c>
      <c r="K1667" s="1" t="s">
        <v>3668</v>
      </c>
    </row>
    <row r="1668" spans="1:11" x14ac:dyDescent="0.35">
      <c r="A1668" s="1" t="s">
        <v>3356</v>
      </c>
      <c r="B1668" s="1" t="s">
        <v>3666</v>
      </c>
      <c r="C1668" s="1" t="s">
        <v>3671</v>
      </c>
      <c r="D1668" s="1" t="str">
        <f>"2310"</f>
        <v>2310</v>
      </c>
      <c r="E1668" s="1" t="str">
        <f>"010907739"</f>
        <v>010907739</v>
      </c>
      <c r="F1668" s="1" t="s">
        <v>710</v>
      </c>
      <c r="G1668" s="1" t="s">
        <v>15</v>
      </c>
      <c r="H1668" s="1" t="str">
        <f t="shared" si="77"/>
        <v>1</v>
      </c>
      <c r="I1668" s="3" t="str">
        <f>"9176"</f>
        <v>9176</v>
      </c>
      <c r="J1668" s="4">
        <v>46086</v>
      </c>
      <c r="K1668" s="1" t="s">
        <v>3668</v>
      </c>
    </row>
    <row r="1669" spans="1:11" x14ac:dyDescent="0.35">
      <c r="A1669" s="1" t="s">
        <v>3356</v>
      </c>
      <c r="B1669" s="1" t="s">
        <v>3392</v>
      </c>
      <c r="C1669" s="1" t="s">
        <v>3397</v>
      </c>
      <c r="D1669" s="1" t="str">
        <f>"8150"</f>
        <v>8150</v>
      </c>
      <c r="E1669" s="1" t="str">
        <f>"015273780"</f>
        <v>015273780</v>
      </c>
      <c r="F1669" s="1" t="s">
        <v>3398</v>
      </c>
      <c r="G1669" s="1" t="s">
        <v>15</v>
      </c>
      <c r="H1669" s="1" t="str">
        <f>"2"</f>
        <v>2</v>
      </c>
      <c r="I1669" s="3" t="str">
        <f>"3858"</f>
        <v>3858</v>
      </c>
      <c r="J1669" s="4">
        <v>46087</v>
      </c>
      <c r="K1669" s="1" t="s">
        <v>3399</v>
      </c>
    </row>
    <row r="1670" spans="1:11" x14ac:dyDescent="0.35">
      <c r="A1670" s="1" t="s">
        <v>3356</v>
      </c>
      <c r="B1670" s="1" t="s">
        <v>3518</v>
      </c>
      <c r="C1670" s="1" t="s">
        <v>3533</v>
      </c>
      <c r="D1670" s="1" t="str">
        <f>"7105"</f>
        <v>7105</v>
      </c>
      <c r="E1670" s="1" t="str">
        <f>"009350422"</f>
        <v>009350422</v>
      </c>
      <c r="F1670" s="1" t="s">
        <v>887</v>
      </c>
      <c r="G1670" s="1" t="s">
        <v>15</v>
      </c>
      <c r="H1670" s="1" t="str">
        <f>"24"</f>
        <v>24</v>
      </c>
      <c r="I1670" s="3">
        <v>133.93</v>
      </c>
      <c r="J1670" s="4">
        <v>46090</v>
      </c>
      <c r="K1670" s="1" t="s">
        <v>3534</v>
      </c>
    </row>
    <row r="1671" spans="1:11" x14ac:dyDescent="0.35">
      <c r="A1671" s="1" t="s">
        <v>3356</v>
      </c>
      <c r="B1671" s="1" t="s">
        <v>3518</v>
      </c>
      <c r="C1671" s="1" t="s">
        <v>3535</v>
      </c>
      <c r="D1671" s="1" t="str">
        <f>"8465"</f>
        <v>8465</v>
      </c>
      <c r="E1671" s="1" t="str">
        <f>"014456274"</f>
        <v>014456274</v>
      </c>
      <c r="F1671" s="1" t="s">
        <v>3536</v>
      </c>
      <c r="G1671" s="1" t="s">
        <v>15</v>
      </c>
      <c r="H1671" s="1" t="str">
        <f>"26"</f>
        <v>26</v>
      </c>
      <c r="I1671" s="3">
        <v>255.6</v>
      </c>
      <c r="J1671" s="4">
        <v>46090</v>
      </c>
      <c r="K1671" s="1" t="s">
        <v>3534</v>
      </c>
    </row>
    <row r="1672" spans="1:11" x14ac:dyDescent="0.35">
      <c r="A1672" s="1" t="s">
        <v>3356</v>
      </c>
      <c r="B1672" s="1" t="s">
        <v>3518</v>
      </c>
      <c r="C1672" s="1" t="s">
        <v>3537</v>
      </c>
      <c r="D1672" s="1" t="str">
        <f>"8465"</f>
        <v>8465</v>
      </c>
      <c r="E1672" s="1" t="str">
        <f>"015472694"</f>
        <v>015472694</v>
      </c>
      <c r="F1672" s="1" t="s">
        <v>1961</v>
      </c>
      <c r="G1672" s="1" t="s">
        <v>15</v>
      </c>
      <c r="H1672" s="1" t="str">
        <f>"25"</f>
        <v>25</v>
      </c>
      <c r="I1672" s="3">
        <v>96.33</v>
      </c>
      <c r="J1672" s="4">
        <v>46090</v>
      </c>
      <c r="K1672" s="1" t="s">
        <v>3538</v>
      </c>
    </row>
    <row r="1673" spans="1:11" x14ac:dyDescent="0.35">
      <c r="A1673" s="1" t="s">
        <v>3356</v>
      </c>
      <c r="B1673" s="1" t="s">
        <v>3648</v>
      </c>
      <c r="C1673" s="1" t="s">
        <v>3649</v>
      </c>
      <c r="D1673" s="1" t="str">
        <f>"2330"</f>
        <v>2330</v>
      </c>
      <c r="E1673" s="1" t="str">
        <f>"013875426"</f>
        <v>013875426</v>
      </c>
      <c r="F1673" s="1" t="s">
        <v>2101</v>
      </c>
      <c r="G1673" s="1" t="s">
        <v>15</v>
      </c>
      <c r="H1673" s="1" t="str">
        <f>"2"</f>
        <v>2</v>
      </c>
      <c r="I1673" s="3" t="str">
        <f>"9535"</f>
        <v>9535</v>
      </c>
      <c r="J1673" s="4">
        <v>46090</v>
      </c>
      <c r="K1673" s="1" t="s">
        <v>3650</v>
      </c>
    </row>
    <row r="1674" spans="1:11" x14ac:dyDescent="0.35">
      <c r="A1674" s="1" t="s">
        <v>3356</v>
      </c>
      <c r="B1674" s="1" t="s">
        <v>3766</v>
      </c>
      <c r="C1674" s="1" t="s">
        <v>3769</v>
      </c>
      <c r="D1674" s="1" t="str">
        <f>"2320"</f>
        <v>2320</v>
      </c>
      <c r="E1674" s="1" t="s">
        <v>100</v>
      </c>
      <c r="F1674" s="1" t="s">
        <v>101</v>
      </c>
      <c r="G1674" s="1" t="s">
        <v>15</v>
      </c>
      <c r="H1674" s="1" t="str">
        <f>"1"</f>
        <v>1</v>
      </c>
      <c r="I1674" s="3" t="str">
        <f>"70000"</f>
        <v>70000</v>
      </c>
      <c r="J1674" s="4">
        <v>46091</v>
      </c>
      <c r="K1674" s="1" t="s">
        <v>3770</v>
      </c>
    </row>
    <row r="1675" spans="1:11" x14ac:dyDescent="0.35">
      <c r="A1675" s="1" t="s">
        <v>3356</v>
      </c>
      <c r="B1675" s="1" t="s">
        <v>3392</v>
      </c>
      <c r="C1675" s="1" t="s">
        <v>3395</v>
      </c>
      <c r="D1675" s="1" t="str">
        <f>"6115"</f>
        <v>6115</v>
      </c>
      <c r="E1675" s="1" t="str">
        <f>"012755061"</f>
        <v>012755061</v>
      </c>
      <c r="F1675" s="1" t="s">
        <v>383</v>
      </c>
      <c r="G1675" s="1" t="s">
        <v>15</v>
      </c>
      <c r="H1675" s="1" t="str">
        <f>"3"</f>
        <v>3</v>
      </c>
      <c r="I1675" s="3" t="str">
        <f>"10700"</f>
        <v>10700</v>
      </c>
      <c r="J1675" s="4">
        <v>46093</v>
      </c>
      <c r="K1675" s="1" t="s">
        <v>3396</v>
      </c>
    </row>
    <row r="1676" spans="1:11" x14ac:dyDescent="0.35">
      <c r="A1676" s="1" t="s">
        <v>3356</v>
      </c>
      <c r="B1676" s="1" t="s">
        <v>3501</v>
      </c>
      <c r="C1676" s="1" t="s">
        <v>3504</v>
      </c>
      <c r="D1676" s="1" t="str">
        <f>"2330"</f>
        <v>2330</v>
      </c>
      <c r="E1676" s="1" t="str">
        <f>"013819477"</f>
        <v>013819477</v>
      </c>
      <c r="F1676" s="1" t="s">
        <v>3505</v>
      </c>
      <c r="G1676" s="1" t="s">
        <v>15</v>
      </c>
      <c r="H1676" s="1" t="str">
        <f>"1"</f>
        <v>1</v>
      </c>
      <c r="I1676" s="3" t="str">
        <f>"30243"</f>
        <v>30243</v>
      </c>
      <c r="J1676" s="4">
        <v>46093</v>
      </c>
      <c r="K1676" s="1" t="s">
        <v>3506</v>
      </c>
    </row>
    <row r="1677" spans="1:11" x14ac:dyDescent="0.35">
      <c r="A1677" s="1" t="s">
        <v>3356</v>
      </c>
      <c r="B1677" s="1" t="s">
        <v>3501</v>
      </c>
      <c r="C1677" s="1" t="s">
        <v>3502</v>
      </c>
      <c r="D1677" s="1" t="str">
        <f>"2320"</f>
        <v>2320</v>
      </c>
      <c r="E1677" s="1" t="s">
        <v>100</v>
      </c>
      <c r="F1677" s="1" t="s">
        <v>101</v>
      </c>
      <c r="G1677" s="1" t="s">
        <v>15</v>
      </c>
      <c r="H1677" s="1" t="str">
        <f>"1"</f>
        <v>1</v>
      </c>
      <c r="I1677" s="3">
        <v>172597.89</v>
      </c>
      <c r="J1677" s="4">
        <v>46097</v>
      </c>
      <c r="K1677" s="1" t="s">
        <v>3503</v>
      </c>
    </row>
    <row r="1678" spans="1:11" x14ac:dyDescent="0.35">
      <c r="A1678" s="1" t="s">
        <v>3356</v>
      </c>
      <c r="B1678" s="1" t="s">
        <v>3578</v>
      </c>
      <c r="C1678" s="5" t="s">
        <v>3600</v>
      </c>
      <c r="D1678" s="1" t="str">
        <f>"6515"</f>
        <v>6515</v>
      </c>
      <c r="E1678" s="1" t="str">
        <f>"015217976"</f>
        <v>015217976</v>
      </c>
      <c r="F1678" s="1" t="s">
        <v>2250</v>
      </c>
      <c r="G1678" s="1" t="s">
        <v>15</v>
      </c>
      <c r="H1678" s="1" t="str">
        <f>"9"</f>
        <v>9</v>
      </c>
      <c r="I1678" s="3">
        <v>31.1</v>
      </c>
      <c r="J1678" s="4">
        <v>46098</v>
      </c>
      <c r="K1678" s="1" t="s">
        <v>4487</v>
      </c>
    </row>
    <row r="1679" spans="1:11" x14ac:dyDescent="0.35">
      <c r="A1679" s="1" t="s">
        <v>3356</v>
      </c>
      <c r="B1679" s="1" t="s">
        <v>3357</v>
      </c>
      <c r="C1679" s="1" t="s">
        <v>3364</v>
      </c>
      <c r="D1679" s="1" t="str">
        <f>"3825"</f>
        <v>3825</v>
      </c>
      <c r="E1679" s="1" t="str">
        <f>"010957521"</f>
        <v>010957521</v>
      </c>
      <c r="F1679" s="1" t="s">
        <v>2543</v>
      </c>
      <c r="G1679" s="1" t="s">
        <v>15</v>
      </c>
      <c r="H1679" s="1" t="str">
        <f>"1"</f>
        <v>1</v>
      </c>
      <c r="I1679" s="3" t="str">
        <f>"110000"</f>
        <v>110000</v>
      </c>
      <c r="J1679" s="4">
        <v>46098</v>
      </c>
      <c r="K1679" s="1" t="s">
        <v>3365</v>
      </c>
    </row>
    <row r="1680" spans="1:11" x14ac:dyDescent="0.35">
      <c r="A1680" s="1" t="s">
        <v>3356</v>
      </c>
      <c r="B1680" s="1" t="s">
        <v>3766</v>
      </c>
      <c r="C1680" s="1" t="s">
        <v>3767</v>
      </c>
      <c r="D1680" s="1" t="str">
        <f>"2320"</f>
        <v>2320</v>
      </c>
      <c r="E1680" s="1" t="str">
        <f>"011519558"</f>
        <v>011519558</v>
      </c>
      <c r="F1680" s="1" t="s">
        <v>930</v>
      </c>
      <c r="G1680" s="1" t="s">
        <v>15</v>
      </c>
      <c r="H1680" s="1" t="str">
        <f>"1"</f>
        <v>1</v>
      </c>
      <c r="I1680" s="3" t="str">
        <f>"8823"</f>
        <v>8823</v>
      </c>
      <c r="J1680" s="4">
        <v>46098</v>
      </c>
      <c r="K1680" s="1" t="s">
        <v>3768</v>
      </c>
    </row>
    <row r="1681" spans="1:11" x14ac:dyDescent="0.35">
      <c r="A1681" s="1" t="s">
        <v>3356</v>
      </c>
      <c r="B1681" s="1" t="s">
        <v>3783</v>
      </c>
      <c r="C1681" s="1" t="s">
        <v>3786</v>
      </c>
      <c r="D1681" s="1" t="str">
        <f>"5855"</f>
        <v>5855</v>
      </c>
      <c r="E1681" s="1" t="str">
        <f>"014199429"</f>
        <v>014199429</v>
      </c>
      <c r="F1681" s="1" t="s">
        <v>614</v>
      </c>
      <c r="G1681" s="1" t="s">
        <v>15</v>
      </c>
      <c r="H1681" s="1" t="str">
        <f>"8"</f>
        <v>8</v>
      </c>
      <c r="I1681" s="3" t="str">
        <f>"13003"</f>
        <v>13003</v>
      </c>
      <c r="J1681" s="4">
        <v>46098</v>
      </c>
      <c r="K1681" s="1" t="s">
        <v>3787</v>
      </c>
    </row>
    <row r="1682" spans="1:11" x14ac:dyDescent="0.35">
      <c r="A1682" s="1" t="s">
        <v>3356</v>
      </c>
      <c r="B1682" s="1" t="s">
        <v>3518</v>
      </c>
      <c r="C1682" s="1" t="s">
        <v>3526</v>
      </c>
      <c r="D1682" s="1" t="str">
        <f>"2340"</f>
        <v>2340</v>
      </c>
      <c r="E1682" s="1" t="str">
        <f>"013954293"</f>
        <v>013954293</v>
      </c>
      <c r="F1682" s="1" t="s">
        <v>3527</v>
      </c>
      <c r="G1682" s="1" t="s">
        <v>15</v>
      </c>
      <c r="H1682" s="1" t="str">
        <f>"2"</f>
        <v>2</v>
      </c>
      <c r="I1682" s="3">
        <v>5694.11</v>
      </c>
      <c r="J1682" s="4">
        <v>46099</v>
      </c>
      <c r="K1682" s="1" t="s">
        <v>3525</v>
      </c>
    </row>
    <row r="1683" spans="1:11" x14ac:dyDescent="0.35">
      <c r="A1683" s="1" t="s">
        <v>3356</v>
      </c>
      <c r="B1683" s="1" t="s">
        <v>3357</v>
      </c>
      <c r="C1683" s="1" t="s">
        <v>3362</v>
      </c>
      <c r="D1683" s="1" t="str">
        <f>"2330"</f>
        <v>2330</v>
      </c>
      <c r="E1683" s="1" t="s">
        <v>104</v>
      </c>
      <c r="F1683" s="1" t="s">
        <v>105</v>
      </c>
      <c r="G1683" s="1" t="s">
        <v>15</v>
      </c>
      <c r="H1683" s="1" t="str">
        <f t="shared" ref="H1683:H1695" si="78">"1"</f>
        <v>1</v>
      </c>
      <c r="I1683" s="3">
        <v>2645.5</v>
      </c>
      <c r="J1683" s="4">
        <v>46100</v>
      </c>
      <c r="K1683" s="1" t="s">
        <v>3363</v>
      </c>
    </row>
    <row r="1684" spans="1:11" x14ac:dyDescent="0.35">
      <c r="A1684" s="1" t="s">
        <v>3356</v>
      </c>
      <c r="B1684" s="1" t="s">
        <v>3357</v>
      </c>
      <c r="C1684" s="1" t="s">
        <v>3366</v>
      </c>
      <c r="D1684" s="1" t="str">
        <f>"6910"</f>
        <v>6910</v>
      </c>
      <c r="E1684" s="1" t="s">
        <v>647</v>
      </c>
      <c r="F1684" s="1" t="s">
        <v>648</v>
      </c>
      <c r="G1684" s="1" t="s">
        <v>15</v>
      </c>
      <c r="H1684" s="1" t="str">
        <f t="shared" si="78"/>
        <v>1</v>
      </c>
      <c r="I1684" s="3" t="str">
        <f>"3995"</f>
        <v>3995</v>
      </c>
      <c r="J1684" s="4">
        <v>46100</v>
      </c>
      <c r="K1684" s="1" t="s">
        <v>3367</v>
      </c>
    </row>
    <row r="1685" spans="1:11" x14ac:dyDescent="0.35">
      <c r="A1685" s="1" t="s">
        <v>3356</v>
      </c>
      <c r="B1685" s="1" t="s">
        <v>3518</v>
      </c>
      <c r="C1685" s="1" t="s">
        <v>3521</v>
      </c>
      <c r="D1685" s="1" t="str">
        <f>"2320"</f>
        <v>2320</v>
      </c>
      <c r="E1685" s="1" t="str">
        <f>"014473888"</f>
        <v>014473888</v>
      </c>
      <c r="F1685" s="1" t="s">
        <v>930</v>
      </c>
      <c r="G1685" s="1" t="s">
        <v>15</v>
      </c>
      <c r="H1685" s="1" t="str">
        <f t="shared" si="78"/>
        <v>1</v>
      </c>
      <c r="I1685" s="3" t="str">
        <f>"149600"</f>
        <v>149600</v>
      </c>
      <c r="J1685" s="4">
        <v>46100</v>
      </c>
      <c r="K1685" s="1" t="s">
        <v>3522</v>
      </c>
    </row>
    <row r="1686" spans="1:11" x14ac:dyDescent="0.35">
      <c r="A1686" s="1" t="s">
        <v>3356</v>
      </c>
      <c r="B1686" s="1" t="s">
        <v>3518</v>
      </c>
      <c r="C1686" s="1" t="s">
        <v>3528</v>
      </c>
      <c r="D1686" s="1" t="str">
        <f>"2420"</f>
        <v>2420</v>
      </c>
      <c r="E1686" s="1" t="str">
        <f>"001776869"</f>
        <v>001776869</v>
      </c>
      <c r="F1686" s="1" t="s">
        <v>3529</v>
      </c>
      <c r="G1686" s="1" t="s">
        <v>15</v>
      </c>
      <c r="H1686" s="1" t="str">
        <f t="shared" si="78"/>
        <v>1</v>
      </c>
      <c r="I1686" s="3" t="str">
        <f>"220000"</f>
        <v>220000</v>
      </c>
      <c r="J1686" s="4">
        <v>46100</v>
      </c>
      <c r="K1686" s="1" t="s">
        <v>3530</v>
      </c>
    </row>
    <row r="1687" spans="1:11" x14ac:dyDescent="0.35">
      <c r="A1687" s="1" t="s">
        <v>3356</v>
      </c>
      <c r="B1687" s="1" t="s">
        <v>3813</v>
      </c>
      <c r="C1687" s="1" t="s">
        <v>3814</v>
      </c>
      <c r="D1687" s="1" t="str">
        <f>"2330"</f>
        <v>2330</v>
      </c>
      <c r="E1687" s="1" t="str">
        <f>"010911710"</f>
        <v>010911710</v>
      </c>
      <c r="F1687" s="1" t="s">
        <v>3511</v>
      </c>
      <c r="G1687" s="1" t="s">
        <v>15</v>
      </c>
      <c r="H1687" s="1" t="str">
        <f t="shared" si="78"/>
        <v>1</v>
      </c>
      <c r="I1687" s="3" t="str">
        <f>"4200"</f>
        <v>4200</v>
      </c>
      <c r="J1687" s="4">
        <v>46100</v>
      </c>
      <c r="K1687" s="1" t="s">
        <v>3815</v>
      </c>
    </row>
    <row r="1688" spans="1:11" x14ac:dyDescent="0.35">
      <c r="A1688" s="1" t="s">
        <v>3356</v>
      </c>
      <c r="B1688" s="1" t="s">
        <v>3813</v>
      </c>
      <c r="C1688" s="1" t="s">
        <v>3816</v>
      </c>
      <c r="D1688" s="1" t="str">
        <f>"6115"</f>
        <v>6115</v>
      </c>
      <c r="E1688" s="1" t="str">
        <f>"015933959"</f>
        <v>015933959</v>
      </c>
      <c r="F1688" s="1" t="s">
        <v>1179</v>
      </c>
      <c r="G1688" s="1" t="s">
        <v>257</v>
      </c>
      <c r="H1688" s="1" t="str">
        <f t="shared" si="78"/>
        <v>1</v>
      </c>
      <c r="I1688" s="3" t="str">
        <f>"130000"</f>
        <v>130000</v>
      </c>
      <c r="J1688" s="4">
        <v>46100</v>
      </c>
      <c r="K1688" s="1" t="s">
        <v>3817</v>
      </c>
    </row>
    <row r="1689" spans="1:11" x14ac:dyDescent="0.35">
      <c r="A1689" s="1" t="s">
        <v>3356</v>
      </c>
      <c r="B1689" s="1" t="s">
        <v>3813</v>
      </c>
      <c r="C1689" s="1" t="s">
        <v>3818</v>
      </c>
      <c r="D1689" s="1" t="str">
        <f>"6115"</f>
        <v>6115</v>
      </c>
      <c r="E1689" s="1" t="str">
        <f>"015933959"</f>
        <v>015933959</v>
      </c>
      <c r="F1689" s="1" t="s">
        <v>1179</v>
      </c>
      <c r="G1689" s="1" t="s">
        <v>257</v>
      </c>
      <c r="H1689" s="1" t="str">
        <f t="shared" si="78"/>
        <v>1</v>
      </c>
      <c r="I1689" s="3" t="str">
        <f>"130000"</f>
        <v>130000</v>
      </c>
      <c r="J1689" s="4">
        <v>46100</v>
      </c>
      <c r="K1689" s="1" t="s">
        <v>3817</v>
      </c>
    </row>
    <row r="1690" spans="1:11" x14ac:dyDescent="0.35">
      <c r="A1690" s="1" t="s">
        <v>3356</v>
      </c>
      <c r="B1690" s="1" t="s">
        <v>3813</v>
      </c>
      <c r="C1690" s="1" t="s">
        <v>3819</v>
      </c>
      <c r="D1690" s="1" t="str">
        <f>"8340"</f>
        <v>8340</v>
      </c>
      <c r="E1690" s="1" t="str">
        <f>"015662649"</f>
        <v>015662649</v>
      </c>
      <c r="F1690" s="1" t="s">
        <v>3820</v>
      </c>
      <c r="G1690" s="1" t="s">
        <v>15</v>
      </c>
      <c r="H1690" s="1" t="str">
        <f t="shared" si="78"/>
        <v>1</v>
      </c>
      <c r="I1690" s="3">
        <v>129900.19</v>
      </c>
      <c r="J1690" s="4">
        <v>46100</v>
      </c>
      <c r="K1690" s="1" t="s">
        <v>3821</v>
      </c>
    </row>
    <row r="1691" spans="1:11" x14ac:dyDescent="0.35">
      <c r="A1691" s="1" t="s">
        <v>3356</v>
      </c>
      <c r="B1691" s="1" t="s">
        <v>3368</v>
      </c>
      <c r="C1691" s="1" t="s">
        <v>3369</v>
      </c>
      <c r="D1691" s="1" t="str">
        <f>"2330"</f>
        <v>2330</v>
      </c>
      <c r="E1691" s="1" t="s">
        <v>104</v>
      </c>
      <c r="F1691" s="1" t="s">
        <v>105</v>
      </c>
      <c r="G1691" s="1" t="s">
        <v>15</v>
      </c>
      <c r="H1691" s="1" t="str">
        <f t="shared" si="78"/>
        <v>1</v>
      </c>
      <c r="I1691" s="3" t="str">
        <f>"28000"</f>
        <v>28000</v>
      </c>
      <c r="J1691" s="4">
        <v>46104</v>
      </c>
      <c r="K1691" s="1" t="s">
        <v>3370</v>
      </c>
    </row>
    <row r="1692" spans="1:11" x14ac:dyDescent="0.35">
      <c r="A1692" s="1" t="s">
        <v>3356</v>
      </c>
      <c r="B1692" s="1" t="s">
        <v>3392</v>
      </c>
      <c r="C1692" s="1" t="s">
        <v>3393</v>
      </c>
      <c r="D1692" s="1" t="str">
        <f>"3930"</f>
        <v>3930</v>
      </c>
      <c r="E1692" s="1" t="str">
        <f>"013832942"</f>
        <v>013832942</v>
      </c>
      <c r="F1692" s="1" t="s">
        <v>124</v>
      </c>
      <c r="G1692" s="1" t="s">
        <v>15</v>
      </c>
      <c r="H1692" s="1" t="str">
        <f t="shared" si="78"/>
        <v>1</v>
      </c>
      <c r="I1692" s="3" t="str">
        <f>"15008"</f>
        <v>15008</v>
      </c>
      <c r="J1692" s="4">
        <v>46105</v>
      </c>
      <c r="K1692" s="1" t="s">
        <v>3394</v>
      </c>
    </row>
    <row r="1693" spans="1:11" x14ac:dyDescent="0.35">
      <c r="A1693" s="1" t="s">
        <v>3356</v>
      </c>
      <c r="B1693" s="1" t="s">
        <v>3518</v>
      </c>
      <c r="C1693" s="1" t="s">
        <v>3523</v>
      </c>
      <c r="D1693" s="1" t="str">
        <f>"2340"</f>
        <v>2340</v>
      </c>
      <c r="E1693" s="1" t="str">
        <f>"014202816"</f>
        <v>014202816</v>
      </c>
      <c r="F1693" s="1" t="s">
        <v>3524</v>
      </c>
      <c r="G1693" s="1" t="s">
        <v>15</v>
      </c>
      <c r="H1693" s="1" t="str">
        <f t="shared" si="78"/>
        <v>1</v>
      </c>
      <c r="I1693" s="3">
        <v>9662.31</v>
      </c>
      <c r="J1693" s="4">
        <v>46106</v>
      </c>
      <c r="K1693" s="1" t="s">
        <v>3525</v>
      </c>
    </row>
    <row r="1694" spans="1:11" x14ac:dyDescent="0.35">
      <c r="A1694" s="1" t="s">
        <v>3356</v>
      </c>
      <c r="B1694" s="1" t="s">
        <v>3518</v>
      </c>
      <c r="C1694" s="1" t="s">
        <v>3531</v>
      </c>
      <c r="D1694" s="1" t="str">
        <f>"3805"</f>
        <v>3805</v>
      </c>
      <c r="E1694" s="1" t="str">
        <f>"015497814"</f>
        <v>015497814</v>
      </c>
      <c r="F1694" s="1" t="s">
        <v>420</v>
      </c>
      <c r="G1694" s="1" t="s">
        <v>15</v>
      </c>
      <c r="H1694" s="1" t="str">
        <f t="shared" si="78"/>
        <v>1</v>
      </c>
      <c r="I1694" s="3" t="str">
        <f>"123508"</f>
        <v>123508</v>
      </c>
      <c r="J1694" s="4">
        <v>46106</v>
      </c>
      <c r="K1694" s="1" t="s">
        <v>3532</v>
      </c>
    </row>
    <row r="1695" spans="1:11" x14ac:dyDescent="0.35">
      <c r="A1695" s="1" t="s">
        <v>3356</v>
      </c>
      <c r="B1695" s="1" t="s">
        <v>3575</v>
      </c>
      <c r="C1695" s="1" t="s">
        <v>3576</v>
      </c>
      <c r="D1695" s="1" t="str">
        <f>"2330"</f>
        <v>2330</v>
      </c>
      <c r="E1695" s="1" t="s">
        <v>104</v>
      </c>
      <c r="F1695" s="1" t="s">
        <v>105</v>
      </c>
      <c r="G1695" s="1" t="s">
        <v>15</v>
      </c>
      <c r="H1695" s="1" t="str">
        <f t="shared" si="78"/>
        <v>1</v>
      </c>
      <c r="I1695" s="3" t="str">
        <f>"40000"</f>
        <v>40000</v>
      </c>
      <c r="J1695" s="4">
        <v>46106</v>
      </c>
      <c r="K1695" s="1" t="s">
        <v>3577</v>
      </c>
    </row>
    <row r="1696" spans="1:11" x14ac:dyDescent="0.35">
      <c r="A1696" s="1" t="s">
        <v>3356</v>
      </c>
      <c r="B1696" s="1" t="s">
        <v>3578</v>
      </c>
      <c r="C1696" s="1" t="s">
        <v>3579</v>
      </c>
      <c r="D1696" s="1" t="str">
        <f>"1005"</f>
        <v>1005</v>
      </c>
      <c r="E1696" s="1" t="str">
        <f>"016316485"</f>
        <v>016316485</v>
      </c>
      <c r="F1696" s="1" t="s">
        <v>2502</v>
      </c>
      <c r="G1696" s="1" t="s">
        <v>15</v>
      </c>
      <c r="H1696" s="1" t="str">
        <f>"15"</f>
        <v>15</v>
      </c>
      <c r="I1696" s="3">
        <v>1140.4100000000001</v>
      </c>
      <c r="J1696" s="4">
        <v>46106</v>
      </c>
      <c r="K1696" s="1" t="s">
        <v>3580</v>
      </c>
    </row>
    <row r="1697" spans="1:11" x14ac:dyDescent="0.35">
      <c r="A1697" s="1" t="s">
        <v>3356</v>
      </c>
      <c r="B1697" s="1" t="s">
        <v>3601</v>
      </c>
      <c r="C1697" s="1" t="s">
        <v>3604</v>
      </c>
      <c r="D1697" s="1" t="str">
        <f>"2320"</f>
        <v>2320</v>
      </c>
      <c r="E1697" s="1" t="str">
        <f>"007529289"</f>
        <v>007529289</v>
      </c>
      <c r="F1697" s="1" t="s">
        <v>930</v>
      </c>
      <c r="G1697" s="1" t="s">
        <v>15</v>
      </c>
      <c r="H1697" s="1" t="str">
        <f>"1"</f>
        <v>1</v>
      </c>
      <c r="I1697" s="3" t="str">
        <f>"4202"</f>
        <v>4202</v>
      </c>
      <c r="J1697" s="4">
        <v>46106</v>
      </c>
      <c r="K1697" s="1" t="s">
        <v>3605</v>
      </c>
    </row>
    <row r="1698" spans="1:11" x14ac:dyDescent="0.35">
      <c r="A1698" s="1" t="s">
        <v>3356</v>
      </c>
      <c r="B1698" s="1" t="s">
        <v>3601</v>
      </c>
      <c r="C1698" s="1" t="s">
        <v>3606</v>
      </c>
      <c r="D1698" s="1" t="str">
        <f>"2320"</f>
        <v>2320</v>
      </c>
      <c r="E1698" s="1" t="str">
        <f>"009260949"</f>
        <v>009260949</v>
      </c>
      <c r="F1698" s="1" t="s">
        <v>930</v>
      </c>
      <c r="G1698" s="1" t="s">
        <v>15</v>
      </c>
      <c r="H1698" s="1" t="str">
        <f>"1"</f>
        <v>1</v>
      </c>
      <c r="I1698" s="3" t="str">
        <f>"10260"</f>
        <v>10260</v>
      </c>
      <c r="J1698" s="4">
        <v>46106</v>
      </c>
      <c r="K1698" s="1" t="s">
        <v>3607</v>
      </c>
    </row>
    <row r="1699" spans="1:11" x14ac:dyDescent="0.35">
      <c r="A1699" s="1" t="s">
        <v>3356</v>
      </c>
      <c r="B1699" s="1" t="s">
        <v>3371</v>
      </c>
      <c r="C1699" s="1" t="s">
        <v>3372</v>
      </c>
      <c r="D1699" s="1" t="str">
        <f>"2310"</f>
        <v>2310</v>
      </c>
      <c r="E1699" s="1" t="s">
        <v>3373</v>
      </c>
      <c r="F1699" s="1" t="s">
        <v>3374</v>
      </c>
      <c r="G1699" s="1" t="s">
        <v>15</v>
      </c>
      <c r="H1699" s="1" t="str">
        <f>"1"</f>
        <v>1</v>
      </c>
      <c r="I1699" s="3" t="str">
        <f>"9176"</f>
        <v>9176</v>
      </c>
      <c r="J1699" s="4">
        <v>46107</v>
      </c>
      <c r="K1699" s="1" t="s">
        <v>3375</v>
      </c>
    </row>
    <row r="1700" spans="1:11" x14ac:dyDescent="0.35">
      <c r="A1700" s="1" t="s">
        <v>3356</v>
      </c>
      <c r="B1700" s="1" t="s">
        <v>3766</v>
      </c>
      <c r="C1700" s="1" t="s">
        <v>3771</v>
      </c>
      <c r="D1700" s="1" t="str">
        <f>"2320"</f>
        <v>2320</v>
      </c>
      <c r="E1700" s="1" t="s">
        <v>100</v>
      </c>
      <c r="F1700" s="1" t="s">
        <v>101</v>
      </c>
      <c r="G1700" s="1" t="s">
        <v>15</v>
      </c>
      <c r="H1700" s="1" t="str">
        <f>"1"</f>
        <v>1</v>
      </c>
      <c r="I1700" s="3" t="str">
        <f>"15000"</f>
        <v>15000</v>
      </c>
      <c r="J1700" s="4">
        <v>46107</v>
      </c>
      <c r="K1700" s="1" t="s">
        <v>3772</v>
      </c>
    </row>
    <row r="1701" spans="1:11" x14ac:dyDescent="0.35">
      <c r="A1701" s="1" t="s">
        <v>3356</v>
      </c>
      <c r="B1701" s="1" t="s">
        <v>3777</v>
      </c>
      <c r="C1701" s="1" t="s">
        <v>3781</v>
      </c>
      <c r="D1701" s="1" t="str">
        <f>"8145"</f>
        <v>8145</v>
      </c>
      <c r="E1701" s="1" t="str">
        <f>"014654187"</f>
        <v>014654187</v>
      </c>
      <c r="F1701" s="1" t="s">
        <v>753</v>
      </c>
      <c r="G1701" s="1" t="s">
        <v>15</v>
      </c>
      <c r="H1701" s="1" t="str">
        <f>"3"</f>
        <v>3</v>
      </c>
      <c r="I1701" s="3">
        <v>17477.91</v>
      </c>
      <c r="J1701" s="4">
        <v>46107</v>
      </c>
      <c r="K1701" s="1" t="s">
        <v>3782</v>
      </c>
    </row>
    <row r="1702" spans="1:11" x14ac:dyDescent="0.35">
      <c r="A1702" s="1" t="s">
        <v>3356</v>
      </c>
      <c r="B1702" s="1" t="s">
        <v>3509</v>
      </c>
      <c r="C1702" s="1" t="s">
        <v>3516</v>
      </c>
      <c r="D1702" s="1" t="str">
        <f>"8115"</f>
        <v>8115</v>
      </c>
      <c r="E1702" s="1" t="str">
        <f>"001682275"</f>
        <v>001682275</v>
      </c>
      <c r="F1702" s="1" t="s">
        <v>431</v>
      </c>
      <c r="G1702" s="1" t="s">
        <v>15</v>
      </c>
      <c r="H1702" s="1" t="str">
        <f>"1"</f>
        <v>1</v>
      </c>
      <c r="I1702" s="3" t="str">
        <f>"1324"</f>
        <v>1324</v>
      </c>
      <c r="J1702" s="4">
        <v>46111</v>
      </c>
      <c r="K1702" s="1" t="s">
        <v>3517</v>
      </c>
    </row>
    <row r="1703" spans="1:11" x14ac:dyDescent="0.35">
      <c r="A1703" s="1" t="s">
        <v>3356</v>
      </c>
      <c r="B1703" s="1" t="s">
        <v>3542</v>
      </c>
      <c r="C1703" s="1" t="s">
        <v>3543</v>
      </c>
      <c r="D1703" s="1" t="str">
        <f>"2330"</f>
        <v>2330</v>
      </c>
      <c r="E1703" s="1" t="s">
        <v>104</v>
      </c>
      <c r="F1703" s="1" t="s">
        <v>105</v>
      </c>
      <c r="G1703" s="1" t="s">
        <v>15</v>
      </c>
      <c r="H1703" s="1" t="str">
        <f>"1"</f>
        <v>1</v>
      </c>
      <c r="I1703" s="3" t="str">
        <f>"16229"</f>
        <v>16229</v>
      </c>
      <c r="J1703" s="4">
        <v>46112</v>
      </c>
      <c r="K1703" s="1" t="s">
        <v>3544</v>
      </c>
    </row>
    <row r="1704" spans="1:11" x14ac:dyDescent="0.35">
      <c r="A1704" s="1" t="s">
        <v>3822</v>
      </c>
      <c r="B1704" s="1" t="s">
        <v>4202</v>
      </c>
      <c r="C1704" s="1" t="s">
        <v>4214</v>
      </c>
      <c r="D1704" s="1" t="str">
        <f>"3750"</f>
        <v>3750</v>
      </c>
      <c r="E1704" s="1" t="s">
        <v>4215</v>
      </c>
      <c r="F1704" s="1" t="s">
        <v>4216</v>
      </c>
      <c r="G1704" s="1" t="s">
        <v>15</v>
      </c>
      <c r="H1704" s="1" t="str">
        <f>"2"</f>
        <v>2</v>
      </c>
      <c r="I1704" s="3" t="str">
        <f>"300"</f>
        <v>300</v>
      </c>
      <c r="J1704" s="4">
        <v>46029</v>
      </c>
      <c r="K1704" s="1" t="s">
        <v>4217</v>
      </c>
    </row>
    <row r="1705" spans="1:11" x14ac:dyDescent="0.35">
      <c r="A1705" s="1" t="s">
        <v>3822</v>
      </c>
      <c r="B1705" s="1" t="s">
        <v>3830</v>
      </c>
      <c r="C1705" s="1" t="s">
        <v>3912</v>
      </c>
      <c r="D1705" s="1" t="str">
        <f>"5120"</f>
        <v>5120</v>
      </c>
      <c r="E1705" s="1" t="s">
        <v>3859</v>
      </c>
      <c r="F1705" s="1" t="s">
        <v>3860</v>
      </c>
      <c r="G1705" s="1" t="s">
        <v>15</v>
      </c>
      <c r="H1705" s="1" t="str">
        <f>"2"</f>
        <v>2</v>
      </c>
      <c r="I1705" s="3">
        <v>318.76</v>
      </c>
      <c r="J1705" s="4">
        <v>46030</v>
      </c>
      <c r="K1705" s="1" t="s">
        <v>3913</v>
      </c>
    </row>
    <row r="1706" spans="1:11" x14ac:dyDescent="0.35">
      <c r="A1706" s="1" t="s">
        <v>3822</v>
      </c>
      <c r="B1706" s="1" t="s">
        <v>3830</v>
      </c>
      <c r="C1706" s="1" t="s">
        <v>3914</v>
      </c>
      <c r="D1706" s="1" t="str">
        <f>"5120"</f>
        <v>5120</v>
      </c>
      <c r="E1706" s="1" t="s">
        <v>2780</v>
      </c>
      <c r="F1706" s="1" t="s">
        <v>807</v>
      </c>
      <c r="G1706" s="1" t="s">
        <v>15</v>
      </c>
      <c r="H1706" s="1" t="str">
        <f>"2"</f>
        <v>2</v>
      </c>
      <c r="I1706" s="3">
        <v>25.87</v>
      </c>
      <c r="J1706" s="4">
        <v>46030</v>
      </c>
      <c r="K1706" s="1" t="s">
        <v>3915</v>
      </c>
    </row>
    <row r="1707" spans="1:11" x14ac:dyDescent="0.35">
      <c r="A1707" s="1" t="s">
        <v>3822</v>
      </c>
      <c r="B1707" s="1" t="s">
        <v>3830</v>
      </c>
      <c r="C1707" s="1" t="s">
        <v>3934</v>
      </c>
      <c r="D1707" s="1" t="str">
        <f>"5120"</f>
        <v>5120</v>
      </c>
      <c r="E1707" s="1" t="s">
        <v>2752</v>
      </c>
      <c r="F1707" s="1" t="s">
        <v>2753</v>
      </c>
      <c r="G1707" s="1" t="s">
        <v>15</v>
      </c>
      <c r="H1707" s="1" t="str">
        <f>"7"</f>
        <v>7</v>
      </c>
      <c r="I1707" s="3">
        <v>28.56</v>
      </c>
      <c r="J1707" s="4">
        <v>46030</v>
      </c>
      <c r="K1707" s="1" t="s">
        <v>3935</v>
      </c>
    </row>
    <row r="1708" spans="1:11" x14ac:dyDescent="0.35">
      <c r="A1708" s="1" t="s">
        <v>3822</v>
      </c>
      <c r="B1708" s="1" t="s">
        <v>3830</v>
      </c>
      <c r="C1708" s="1" t="s">
        <v>3936</v>
      </c>
      <c r="D1708" s="1" t="str">
        <f>"5120"</f>
        <v>5120</v>
      </c>
      <c r="E1708" s="1" t="s">
        <v>537</v>
      </c>
      <c r="F1708" s="1" t="s">
        <v>538</v>
      </c>
      <c r="G1708" s="1" t="s">
        <v>15</v>
      </c>
      <c r="H1708" s="1" t="str">
        <f>"10"</f>
        <v>10</v>
      </c>
      <c r="I1708" s="3">
        <v>28.32</v>
      </c>
      <c r="J1708" s="4">
        <v>46030</v>
      </c>
      <c r="K1708" s="1" t="s">
        <v>3937</v>
      </c>
    </row>
    <row r="1709" spans="1:11" x14ac:dyDescent="0.35">
      <c r="A1709" s="1" t="s">
        <v>3822</v>
      </c>
      <c r="B1709" s="1" t="s">
        <v>3830</v>
      </c>
      <c r="C1709" s="1" t="s">
        <v>3940</v>
      </c>
      <c r="D1709" s="1" t="str">
        <f>"5130"</f>
        <v>5130</v>
      </c>
      <c r="E1709" s="1" t="s">
        <v>579</v>
      </c>
      <c r="F1709" s="1" t="s">
        <v>580</v>
      </c>
      <c r="G1709" s="1" t="s">
        <v>15</v>
      </c>
      <c r="H1709" s="1" t="str">
        <f>"2"</f>
        <v>2</v>
      </c>
      <c r="I1709" s="3">
        <v>2253.3000000000002</v>
      </c>
      <c r="J1709" s="4">
        <v>46030</v>
      </c>
      <c r="K1709" s="1" t="s">
        <v>3941</v>
      </c>
    </row>
    <row r="1710" spans="1:11" x14ac:dyDescent="0.35">
      <c r="A1710" s="1" t="s">
        <v>3822</v>
      </c>
      <c r="B1710" s="1" t="s">
        <v>3830</v>
      </c>
      <c r="C1710" s="1" t="s">
        <v>3948</v>
      </c>
      <c r="D1710" s="1" t="str">
        <f>"5130"</f>
        <v>5130</v>
      </c>
      <c r="E1710" s="1" t="s">
        <v>579</v>
      </c>
      <c r="F1710" s="1" t="s">
        <v>580</v>
      </c>
      <c r="G1710" s="1" t="s">
        <v>15</v>
      </c>
      <c r="H1710" s="1" t="str">
        <f>"2"</f>
        <v>2</v>
      </c>
      <c r="I1710" s="3">
        <v>444.07</v>
      </c>
      <c r="J1710" s="4">
        <v>46030</v>
      </c>
      <c r="K1710" s="1" t="s">
        <v>3949</v>
      </c>
    </row>
    <row r="1711" spans="1:11" x14ac:dyDescent="0.35">
      <c r="A1711" s="1" t="s">
        <v>3822</v>
      </c>
      <c r="B1711" s="1" t="s">
        <v>3830</v>
      </c>
      <c r="C1711" s="1" t="s">
        <v>3954</v>
      </c>
      <c r="D1711" s="1" t="str">
        <f>"5130"</f>
        <v>5130</v>
      </c>
      <c r="E1711" s="1" t="s">
        <v>573</v>
      </c>
      <c r="F1711" s="1" t="s">
        <v>574</v>
      </c>
      <c r="G1711" s="1" t="s">
        <v>15</v>
      </c>
      <c r="H1711" s="1" t="str">
        <f>"2"</f>
        <v>2</v>
      </c>
      <c r="I1711" s="3">
        <v>337.08</v>
      </c>
      <c r="J1711" s="4">
        <v>46030</v>
      </c>
      <c r="K1711" s="1" t="s">
        <v>3955</v>
      </c>
    </row>
    <row r="1712" spans="1:11" x14ac:dyDescent="0.35">
      <c r="A1712" s="1" t="s">
        <v>3822</v>
      </c>
      <c r="B1712" s="1" t="s">
        <v>3830</v>
      </c>
      <c r="C1712" s="1" t="s">
        <v>3969</v>
      </c>
      <c r="D1712" s="1" t="str">
        <f>"5130"</f>
        <v>5130</v>
      </c>
      <c r="E1712" s="1" t="s">
        <v>579</v>
      </c>
      <c r="F1712" s="1" t="s">
        <v>580</v>
      </c>
      <c r="G1712" s="1" t="s">
        <v>15</v>
      </c>
      <c r="H1712" s="1" t="str">
        <f t="shared" ref="H1712:H1717" si="79">"1"</f>
        <v>1</v>
      </c>
      <c r="I1712" s="3">
        <v>2893.65</v>
      </c>
      <c r="J1712" s="4">
        <v>46030</v>
      </c>
      <c r="K1712" s="1" t="s">
        <v>3970</v>
      </c>
    </row>
    <row r="1713" spans="1:11" x14ac:dyDescent="0.35">
      <c r="A1713" s="1" t="s">
        <v>3822</v>
      </c>
      <c r="B1713" s="1" t="s">
        <v>3830</v>
      </c>
      <c r="C1713" s="1" t="s">
        <v>3991</v>
      </c>
      <c r="D1713" s="1" t="str">
        <f>"5133"</f>
        <v>5133</v>
      </c>
      <c r="E1713" s="1" t="str">
        <f>"002930983"</f>
        <v>002930983</v>
      </c>
      <c r="F1713" s="1" t="s">
        <v>3992</v>
      </c>
      <c r="G1713" s="1" t="s">
        <v>257</v>
      </c>
      <c r="H1713" s="1" t="str">
        <f t="shared" si="79"/>
        <v>1</v>
      </c>
      <c r="I1713" s="3">
        <v>70.790000000000006</v>
      </c>
      <c r="J1713" s="4">
        <v>46030</v>
      </c>
      <c r="K1713" s="1" t="s">
        <v>3993</v>
      </c>
    </row>
    <row r="1714" spans="1:11" x14ac:dyDescent="0.35">
      <c r="A1714" s="1" t="s">
        <v>3822</v>
      </c>
      <c r="B1714" s="1" t="s">
        <v>4063</v>
      </c>
      <c r="C1714" s="1" t="s">
        <v>4064</v>
      </c>
      <c r="D1714" s="1" t="str">
        <f>"8115"</f>
        <v>8115</v>
      </c>
      <c r="E1714" s="1" t="str">
        <f>"001682275"</f>
        <v>001682275</v>
      </c>
      <c r="F1714" s="1" t="s">
        <v>431</v>
      </c>
      <c r="G1714" s="1" t="s">
        <v>15</v>
      </c>
      <c r="H1714" s="1" t="str">
        <f t="shared" si="79"/>
        <v>1</v>
      </c>
      <c r="I1714" s="3" t="str">
        <f>"1324"</f>
        <v>1324</v>
      </c>
      <c r="J1714" s="4">
        <v>46030</v>
      </c>
      <c r="K1714" s="1" t="s">
        <v>4065</v>
      </c>
    </row>
    <row r="1715" spans="1:11" x14ac:dyDescent="0.35">
      <c r="A1715" s="1" t="s">
        <v>3822</v>
      </c>
      <c r="B1715" s="1" t="s">
        <v>4093</v>
      </c>
      <c r="C1715" s="1" t="s">
        <v>4101</v>
      </c>
      <c r="D1715" s="1" t="str">
        <f>"4110"</f>
        <v>4110</v>
      </c>
      <c r="E1715" s="1" t="str">
        <f>"013944187"</f>
        <v>013944187</v>
      </c>
      <c r="F1715" s="1" t="s">
        <v>4102</v>
      </c>
      <c r="G1715" s="1" t="s">
        <v>15</v>
      </c>
      <c r="H1715" s="1" t="str">
        <f t="shared" si="79"/>
        <v>1</v>
      </c>
      <c r="I1715" s="3">
        <v>4374.46</v>
      </c>
      <c r="J1715" s="4">
        <v>46030</v>
      </c>
      <c r="K1715" s="1" t="s">
        <v>4103</v>
      </c>
    </row>
    <row r="1716" spans="1:11" x14ac:dyDescent="0.35">
      <c r="A1716" s="1" t="s">
        <v>3822</v>
      </c>
      <c r="B1716" s="1" t="s">
        <v>4202</v>
      </c>
      <c r="C1716" s="1" t="s">
        <v>4226</v>
      </c>
      <c r="D1716" s="1" t="str">
        <f>"6115"</f>
        <v>6115</v>
      </c>
      <c r="E1716" s="1" t="str">
        <f>"013199032"</f>
        <v>013199032</v>
      </c>
      <c r="F1716" s="1" t="s">
        <v>1179</v>
      </c>
      <c r="G1716" s="1" t="s">
        <v>15</v>
      </c>
      <c r="H1716" s="1" t="str">
        <f t="shared" si="79"/>
        <v>1</v>
      </c>
      <c r="I1716" s="3" t="str">
        <f>"17730"</f>
        <v>17730</v>
      </c>
      <c r="J1716" s="4">
        <v>46030</v>
      </c>
      <c r="K1716" s="1" t="s">
        <v>4227</v>
      </c>
    </row>
    <row r="1717" spans="1:11" x14ac:dyDescent="0.35">
      <c r="A1717" s="1" t="s">
        <v>3822</v>
      </c>
      <c r="B1717" s="1" t="s">
        <v>4066</v>
      </c>
      <c r="C1717" s="1" t="s">
        <v>4067</v>
      </c>
      <c r="D1717" s="1" t="str">
        <f>"1385"</f>
        <v>1385</v>
      </c>
      <c r="E1717" s="1" t="str">
        <f>"015936219"</f>
        <v>015936219</v>
      </c>
      <c r="F1717" s="1" t="s">
        <v>2079</v>
      </c>
      <c r="G1717" s="1" t="s">
        <v>15</v>
      </c>
      <c r="H1717" s="1" t="str">
        <f t="shared" si="79"/>
        <v>1</v>
      </c>
      <c r="I1717" s="3" t="str">
        <f>"77000"</f>
        <v>77000</v>
      </c>
      <c r="J1717" s="4">
        <v>46035</v>
      </c>
      <c r="K1717" s="1" t="s">
        <v>4068</v>
      </c>
    </row>
    <row r="1718" spans="1:11" x14ac:dyDescent="0.35">
      <c r="A1718" s="1" t="s">
        <v>3822</v>
      </c>
      <c r="B1718" s="1" t="s">
        <v>4233</v>
      </c>
      <c r="C1718" s="1" t="s">
        <v>4241</v>
      </c>
      <c r="D1718" s="1" t="str">
        <f>"5180"</f>
        <v>5180</v>
      </c>
      <c r="E1718" s="1" t="str">
        <f>"015487634"</f>
        <v>015487634</v>
      </c>
      <c r="F1718" s="1" t="s">
        <v>1831</v>
      </c>
      <c r="G1718" s="1" t="s">
        <v>257</v>
      </c>
      <c r="H1718" s="1" t="str">
        <f>"2"</f>
        <v>2</v>
      </c>
      <c r="I1718" s="3" t="str">
        <f>"2048"</f>
        <v>2048</v>
      </c>
      <c r="J1718" s="4">
        <v>46035</v>
      </c>
      <c r="K1718" s="1" t="s">
        <v>4242</v>
      </c>
    </row>
    <row r="1719" spans="1:11" x14ac:dyDescent="0.35">
      <c r="A1719" s="1" t="s">
        <v>3822</v>
      </c>
      <c r="B1719" s="1" t="s">
        <v>4233</v>
      </c>
      <c r="C1719" s="1" t="s">
        <v>4245</v>
      </c>
      <c r="D1719" s="1" t="str">
        <f>"8465"</f>
        <v>8465</v>
      </c>
      <c r="E1719" s="1" t="str">
        <f>"015247632"</f>
        <v>015247632</v>
      </c>
      <c r="F1719" s="1" t="s">
        <v>4182</v>
      </c>
      <c r="G1719" s="1" t="s">
        <v>15</v>
      </c>
      <c r="H1719" s="1" t="str">
        <f>"12"</f>
        <v>12</v>
      </c>
      <c r="I1719" s="3">
        <v>168.09</v>
      </c>
      <c r="J1719" s="4">
        <v>46035</v>
      </c>
      <c r="K1719" s="1" t="s">
        <v>4246</v>
      </c>
    </row>
    <row r="1720" spans="1:11" x14ac:dyDescent="0.35">
      <c r="A1720" s="1" t="s">
        <v>3822</v>
      </c>
      <c r="B1720" s="1" t="s">
        <v>3830</v>
      </c>
      <c r="C1720" s="1" t="s">
        <v>3831</v>
      </c>
      <c r="D1720" s="1" t="str">
        <f>"1385"</f>
        <v>1385</v>
      </c>
      <c r="E1720" s="1" t="str">
        <f>"015936219"</f>
        <v>015936219</v>
      </c>
      <c r="F1720" s="1" t="s">
        <v>2079</v>
      </c>
      <c r="G1720" s="1" t="s">
        <v>15</v>
      </c>
      <c r="H1720" s="1" t="str">
        <f>"1"</f>
        <v>1</v>
      </c>
      <c r="I1720" s="3" t="str">
        <f>"77000"</f>
        <v>77000</v>
      </c>
      <c r="J1720" s="4">
        <v>46037</v>
      </c>
      <c r="K1720" s="1" t="s">
        <v>3832</v>
      </c>
    </row>
    <row r="1721" spans="1:11" x14ac:dyDescent="0.35">
      <c r="A1721" s="1" t="s">
        <v>3822</v>
      </c>
      <c r="B1721" s="1" t="s">
        <v>3830</v>
      </c>
      <c r="C1721" s="1" t="s">
        <v>3998</v>
      </c>
      <c r="D1721" s="1" t="str">
        <f>"5180"</f>
        <v>5180</v>
      </c>
      <c r="E1721" s="1" t="s">
        <v>268</v>
      </c>
      <c r="F1721" s="1" t="s">
        <v>269</v>
      </c>
      <c r="G1721" s="1" t="s">
        <v>15</v>
      </c>
      <c r="H1721" s="1" t="str">
        <f>"1"</f>
        <v>1</v>
      </c>
      <c r="I1721" s="3" t="str">
        <f>"1452"</f>
        <v>1452</v>
      </c>
      <c r="J1721" s="4">
        <v>46037</v>
      </c>
      <c r="K1721" s="1" t="s">
        <v>3949</v>
      </c>
    </row>
    <row r="1722" spans="1:11" x14ac:dyDescent="0.35">
      <c r="A1722" s="1" t="s">
        <v>3822</v>
      </c>
      <c r="B1722" s="1" t="s">
        <v>3830</v>
      </c>
      <c r="C1722" s="1" t="s">
        <v>3999</v>
      </c>
      <c r="D1722" s="1" t="str">
        <f>"5180"</f>
        <v>5180</v>
      </c>
      <c r="E1722" s="1" t="str">
        <f>"014993546"</f>
        <v>014993546</v>
      </c>
      <c r="F1722" s="1" t="s">
        <v>2134</v>
      </c>
      <c r="G1722" s="1" t="s">
        <v>168</v>
      </c>
      <c r="H1722" s="1" t="str">
        <f>"1"</f>
        <v>1</v>
      </c>
      <c r="I1722" s="3" t="str">
        <f>"4918"</f>
        <v>4918</v>
      </c>
      <c r="J1722" s="4">
        <v>46037</v>
      </c>
      <c r="K1722" s="1" t="s">
        <v>4000</v>
      </c>
    </row>
    <row r="1723" spans="1:11" x14ac:dyDescent="0.35">
      <c r="A1723" s="1" t="s">
        <v>3822</v>
      </c>
      <c r="B1723" s="1" t="s">
        <v>3830</v>
      </c>
      <c r="C1723" s="1" t="s">
        <v>4001</v>
      </c>
      <c r="D1723" s="1" t="str">
        <f>"5180"</f>
        <v>5180</v>
      </c>
      <c r="E1723" s="1" t="str">
        <f>"015487634"</f>
        <v>015487634</v>
      </c>
      <c r="F1723" s="1" t="s">
        <v>1831</v>
      </c>
      <c r="G1723" s="1" t="s">
        <v>257</v>
      </c>
      <c r="H1723" s="1" t="str">
        <f>"2"</f>
        <v>2</v>
      </c>
      <c r="I1723" s="3" t="str">
        <f>"2048"</f>
        <v>2048</v>
      </c>
      <c r="J1723" s="4">
        <v>46037</v>
      </c>
      <c r="K1723" s="1" t="s">
        <v>4002</v>
      </c>
    </row>
    <row r="1724" spans="1:11" x14ac:dyDescent="0.35">
      <c r="A1724" s="1" t="s">
        <v>3822</v>
      </c>
      <c r="B1724" s="1" t="s">
        <v>3830</v>
      </c>
      <c r="C1724" s="1" t="s">
        <v>4012</v>
      </c>
      <c r="D1724" s="1" t="str">
        <f>"6115"</f>
        <v>6115</v>
      </c>
      <c r="E1724" s="1" t="str">
        <f>"017240888"</f>
        <v>017240888</v>
      </c>
      <c r="F1724" s="1" t="s">
        <v>4013</v>
      </c>
      <c r="G1724" s="1" t="s">
        <v>15</v>
      </c>
      <c r="H1724" s="1" t="str">
        <f>"1"</f>
        <v>1</v>
      </c>
      <c r="I1724" s="3">
        <v>12089.42</v>
      </c>
      <c r="J1724" s="4">
        <v>46037</v>
      </c>
      <c r="K1724" s="1" t="s">
        <v>4014</v>
      </c>
    </row>
    <row r="1725" spans="1:11" x14ac:dyDescent="0.35">
      <c r="A1725" s="1" t="s">
        <v>3822</v>
      </c>
      <c r="B1725" s="1" t="s">
        <v>3830</v>
      </c>
      <c r="C1725" s="1" t="s">
        <v>4015</v>
      </c>
      <c r="D1725" s="1" t="str">
        <f>"6115"</f>
        <v>6115</v>
      </c>
      <c r="E1725" s="1" t="str">
        <f>"017240888"</f>
        <v>017240888</v>
      </c>
      <c r="F1725" s="1" t="s">
        <v>4013</v>
      </c>
      <c r="G1725" s="1" t="s">
        <v>15</v>
      </c>
      <c r="H1725" s="1" t="str">
        <f>"1"</f>
        <v>1</v>
      </c>
      <c r="I1725" s="3">
        <v>12089.42</v>
      </c>
      <c r="J1725" s="4">
        <v>46037</v>
      </c>
      <c r="K1725" s="1" t="s">
        <v>4014</v>
      </c>
    </row>
    <row r="1726" spans="1:11" x14ac:dyDescent="0.35">
      <c r="A1726" s="1" t="s">
        <v>3822</v>
      </c>
      <c r="B1726" s="1" t="s">
        <v>3830</v>
      </c>
      <c r="C1726" s="1" t="s">
        <v>4016</v>
      </c>
      <c r="D1726" s="1" t="str">
        <f>"6230"</f>
        <v>6230</v>
      </c>
      <c r="E1726" s="1" t="s">
        <v>3594</v>
      </c>
      <c r="F1726" s="1" t="s">
        <v>3595</v>
      </c>
      <c r="G1726" s="1" t="s">
        <v>15</v>
      </c>
      <c r="H1726" s="1" t="str">
        <f>"2"</f>
        <v>2</v>
      </c>
      <c r="I1726" s="3" t="str">
        <f>"5860"</f>
        <v>5860</v>
      </c>
      <c r="J1726" s="4">
        <v>46037</v>
      </c>
      <c r="K1726" s="1" t="s">
        <v>4017</v>
      </c>
    </row>
    <row r="1727" spans="1:11" x14ac:dyDescent="0.35">
      <c r="A1727" s="1" t="s">
        <v>3822</v>
      </c>
      <c r="B1727" s="1" t="s">
        <v>3830</v>
      </c>
      <c r="C1727" s="1" t="s">
        <v>4024</v>
      </c>
      <c r="D1727" s="1" t="str">
        <f>"7830"</f>
        <v>7830</v>
      </c>
      <c r="E1727" s="1" t="str">
        <f>"016751851"</f>
        <v>016751851</v>
      </c>
      <c r="F1727" s="1" t="s">
        <v>4025</v>
      </c>
      <c r="G1727" s="1" t="s">
        <v>15</v>
      </c>
      <c r="H1727" s="1" t="str">
        <f>"1"</f>
        <v>1</v>
      </c>
      <c r="I1727" s="3" t="str">
        <f>"2585"</f>
        <v>2585</v>
      </c>
      <c r="J1727" s="4">
        <v>46037</v>
      </c>
      <c r="K1727" s="1" t="s">
        <v>4026</v>
      </c>
    </row>
    <row r="1728" spans="1:11" x14ac:dyDescent="0.35">
      <c r="A1728" s="1" t="s">
        <v>3822</v>
      </c>
      <c r="B1728" s="1" t="s">
        <v>3830</v>
      </c>
      <c r="C1728" s="1" t="s">
        <v>4030</v>
      </c>
      <c r="D1728" s="1" t="str">
        <f>"8145"</f>
        <v>8145</v>
      </c>
      <c r="E1728" s="1" t="s">
        <v>2635</v>
      </c>
      <c r="F1728" s="1" t="s">
        <v>2636</v>
      </c>
      <c r="G1728" s="1" t="s">
        <v>15</v>
      </c>
      <c r="H1728" s="1" t="str">
        <f>"1"</f>
        <v>1</v>
      </c>
      <c r="I1728" s="3">
        <v>17920.97</v>
      </c>
      <c r="J1728" s="4">
        <v>46037</v>
      </c>
      <c r="K1728" s="1" t="s">
        <v>4031</v>
      </c>
    </row>
    <row r="1729" spans="1:11" x14ac:dyDescent="0.35">
      <c r="A1729" s="1" t="s">
        <v>3822</v>
      </c>
      <c r="B1729" s="1" t="s">
        <v>3830</v>
      </c>
      <c r="C1729" s="1" t="s">
        <v>4035</v>
      </c>
      <c r="D1729" s="1" t="str">
        <f>"8340"</f>
        <v>8340</v>
      </c>
      <c r="E1729" s="1" t="str">
        <f>"013347529"</f>
        <v>013347529</v>
      </c>
      <c r="F1729" s="1" t="s">
        <v>4036</v>
      </c>
      <c r="G1729" s="1" t="s">
        <v>15</v>
      </c>
      <c r="H1729" s="1" t="str">
        <f>"1"</f>
        <v>1</v>
      </c>
      <c r="I1729" s="3">
        <v>5827.09</v>
      </c>
      <c r="J1729" s="4">
        <v>46037</v>
      </c>
      <c r="K1729" s="1" t="s">
        <v>4037</v>
      </c>
    </row>
    <row r="1730" spans="1:11" x14ac:dyDescent="0.35">
      <c r="A1730" s="1" t="s">
        <v>3822</v>
      </c>
      <c r="B1730" s="1" t="s">
        <v>3830</v>
      </c>
      <c r="C1730" s="1" t="s">
        <v>4038</v>
      </c>
      <c r="D1730" s="1" t="str">
        <f>"8415"</f>
        <v>8415</v>
      </c>
      <c r="E1730" s="1" t="str">
        <f>"015347383"</f>
        <v>015347383</v>
      </c>
      <c r="F1730" s="1" t="s">
        <v>1939</v>
      </c>
      <c r="G1730" s="1" t="s">
        <v>15</v>
      </c>
      <c r="H1730" s="1" t="str">
        <f>"10"</f>
        <v>10</v>
      </c>
      <c r="I1730" s="3">
        <v>52.7</v>
      </c>
      <c r="J1730" s="4">
        <v>46037</v>
      </c>
      <c r="K1730" s="1" t="s">
        <v>4039</v>
      </c>
    </row>
    <row r="1731" spans="1:11" x14ac:dyDescent="0.35">
      <c r="A1731" s="1" t="s">
        <v>3822</v>
      </c>
      <c r="B1731" s="1" t="s">
        <v>4093</v>
      </c>
      <c r="C1731" s="1" t="s">
        <v>4104</v>
      </c>
      <c r="D1731" s="1" t="str">
        <f>"4520"</f>
        <v>4520</v>
      </c>
      <c r="E1731" s="1" t="s">
        <v>4105</v>
      </c>
      <c r="F1731" s="1" t="s">
        <v>4106</v>
      </c>
      <c r="G1731" s="1" t="s">
        <v>15</v>
      </c>
      <c r="H1731" s="1" t="str">
        <f>"3"</f>
        <v>3</v>
      </c>
      <c r="I1731" s="3" t="str">
        <f>"749"</f>
        <v>749</v>
      </c>
      <c r="J1731" s="4">
        <v>46037</v>
      </c>
      <c r="K1731" s="1" t="s">
        <v>4107</v>
      </c>
    </row>
    <row r="1732" spans="1:11" x14ac:dyDescent="0.35">
      <c r="A1732" s="1" t="s">
        <v>3822</v>
      </c>
      <c r="B1732" s="1" t="s">
        <v>4066</v>
      </c>
      <c r="C1732" s="1" t="s">
        <v>4069</v>
      </c>
      <c r="D1732" s="1" t="str">
        <f>"5180"</f>
        <v>5180</v>
      </c>
      <c r="E1732" s="1" t="str">
        <f>"015595981"</f>
        <v>015595981</v>
      </c>
      <c r="F1732" s="1" t="s">
        <v>2584</v>
      </c>
      <c r="G1732" s="1" t="s">
        <v>168</v>
      </c>
      <c r="H1732" s="1" t="str">
        <f>"1"</f>
        <v>1</v>
      </c>
      <c r="I1732" s="3" t="str">
        <f>"1774"</f>
        <v>1774</v>
      </c>
      <c r="J1732" s="4">
        <v>46042</v>
      </c>
      <c r="K1732" s="1" t="s">
        <v>4070</v>
      </c>
    </row>
    <row r="1733" spans="1:11" x14ac:dyDescent="0.35">
      <c r="A1733" s="1" t="s">
        <v>3822</v>
      </c>
      <c r="B1733" s="1" t="s">
        <v>4066</v>
      </c>
      <c r="C1733" s="1" t="s">
        <v>4071</v>
      </c>
      <c r="D1733" s="1" t="str">
        <f>"6545"</f>
        <v>6545</v>
      </c>
      <c r="E1733" s="1" t="str">
        <f>"016092699"</f>
        <v>016092699</v>
      </c>
      <c r="F1733" s="1" t="s">
        <v>1350</v>
      </c>
      <c r="G1733" s="1" t="s">
        <v>257</v>
      </c>
      <c r="H1733" s="1" t="str">
        <f>"2"</f>
        <v>2</v>
      </c>
      <c r="I1733" s="3">
        <v>8495.23</v>
      </c>
      <c r="J1733" s="4">
        <v>46042</v>
      </c>
      <c r="K1733" s="1" t="s">
        <v>4072</v>
      </c>
    </row>
    <row r="1734" spans="1:11" x14ac:dyDescent="0.35">
      <c r="A1734" s="1" t="s">
        <v>3822</v>
      </c>
      <c r="B1734" s="1" t="s">
        <v>4066</v>
      </c>
      <c r="C1734" s="1" t="s">
        <v>4073</v>
      </c>
      <c r="D1734" s="1" t="str">
        <f>"8140"</f>
        <v>8140</v>
      </c>
      <c r="E1734" s="1" t="str">
        <f>"009601699"</f>
        <v>009601699</v>
      </c>
      <c r="F1734" s="1" t="s">
        <v>4074</v>
      </c>
      <c r="G1734" s="1" t="s">
        <v>15</v>
      </c>
      <c r="H1734" s="1" t="str">
        <f>"50"</f>
        <v>50</v>
      </c>
      <c r="I1734" s="3">
        <v>11.1</v>
      </c>
      <c r="J1734" s="4">
        <v>46042</v>
      </c>
      <c r="K1734" s="1" t="s">
        <v>4075</v>
      </c>
    </row>
    <row r="1735" spans="1:11" x14ac:dyDescent="0.35">
      <c r="A1735" s="1" t="s">
        <v>3822</v>
      </c>
      <c r="B1735" s="1" t="s">
        <v>4138</v>
      </c>
      <c r="C1735" s="1" t="s">
        <v>4152</v>
      </c>
      <c r="D1735" s="1" t="str">
        <f>"6910"</f>
        <v>6910</v>
      </c>
      <c r="E1735" s="1" t="str">
        <f>"016297815"</f>
        <v>016297815</v>
      </c>
      <c r="F1735" s="1" t="s">
        <v>1048</v>
      </c>
      <c r="G1735" s="1" t="s">
        <v>257</v>
      </c>
      <c r="H1735" s="1" t="str">
        <f>"1"</f>
        <v>1</v>
      </c>
      <c r="I1735" s="3">
        <v>428158.5</v>
      </c>
      <c r="J1735" s="4">
        <v>46043</v>
      </c>
      <c r="K1735" s="1" t="s">
        <v>4153</v>
      </c>
    </row>
    <row r="1736" spans="1:11" x14ac:dyDescent="0.35">
      <c r="A1736" s="1" t="s">
        <v>3822</v>
      </c>
      <c r="B1736" s="1" t="s">
        <v>4175</v>
      </c>
      <c r="C1736" s="1" t="s">
        <v>4176</v>
      </c>
      <c r="D1736" s="1" t="str">
        <f>"6115"</f>
        <v>6115</v>
      </c>
      <c r="E1736" s="1" t="str">
        <f>"017240888"</f>
        <v>017240888</v>
      </c>
      <c r="F1736" s="1" t="s">
        <v>4013</v>
      </c>
      <c r="G1736" s="1" t="s">
        <v>15</v>
      </c>
      <c r="H1736" s="1" t="str">
        <f>"3"</f>
        <v>3</v>
      </c>
      <c r="I1736" s="3">
        <v>12089.42</v>
      </c>
      <c r="J1736" s="4">
        <v>46043</v>
      </c>
      <c r="K1736" s="1" t="s">
        <v>4177</v>
      </c>
    </row>
    <row r="1737" spans="1:11" x14ac:dyDescent="0.35">
      <c r="A1737" s="1" t="s">
        <v>3822</v>
      </c>
      <c r="B1737" s="1" t="s">
        <v>4175</v>
      </c>
      <c r="C1737" s="1" t="s">
        <v>4178</v>
      </c>
      <c r="D1737" s="1" t="str">
        <f>"6115"</f>
        <v>6115</v>
      </c>
      <c r="E1737" s="1" t="str">
        <f>"012755061"</f>
        <v>012755061</v>
      </c>
      <c r="F1737" s="1" t="s">
        <v>383</v>
      </c>
      <c r="G1737" s="1" t="s">
        <v>15</v>
      </c>
      <c r="H1737" s="1" t="str">
        <f>"1"</f>
        <v>1</v>
      </c>
      <c r="I1737" s="3" t="str">
        <f>"10700"</f>
        <v>10700</v>
      </c>
      <c r="J1737" s="4">
        <v>46043</v>
      </c>
      <c r="K1737" s="1" t="s">
        <v>4179</v>
      </c>
    </row>
    <row r="1738" spans="1:11" x14ac:dyDescent="0.35">
      <c r="A1738" s="1" t="s">
        <v>3822</v>
      </c>
      <c r="B1738" s="1" t="s">
        <v>4175</v>
      </c>
      <c r="C1738" s="1" t="s">
        <v>4180</v>
      </c>
      <c r="D1738" s="1" t="str">
        <f>"6115"</f>
        <v>6115</v>
      </c>
      <c r="E1738" s="1" t="str">
        <f>"016122549"</f>
        <v>016122549</v>
      </c>
      <c r="F1738" s="1" t="s">
        <v>3659</v>
      </c>
      <c r="G1738" s="1" t="s">
        <v>15</v>
      </c>
      <c r="H1738" s="1" t="str">
        <f>"3"</f>
        <v>3</v>
      </c>
      <c r="I1738" s="3" t="str">
        <f>"7873"</f>
        <v>7873</v>
      </c>
      <c r="J1738" s="4">
        <v>46043</v>
      </c>
      <c r="K1738" s="1" t="s">
        <v>4179</v>
      </c>
    </row>
    <row r="1739" spans="1:11" x14ac:dyDescent="0.35">
      <c r="A1739" s="1" t="s">
        <v>3822</v>
      </c>
      <c r="B1739" s="1" t="s">
        <v>4175</v>
      </c>
      <c r="C1739" s="1" t="s">
        <v>4181</v>
      </c>
      <c r="D1739" s="1" t="str">
        <f>"8465"</f>
        <v>8465</v>
      </c>
      <c r="E1739" s="1" t="str">
        <f>"015247632"</f>
        <v>015247632</v>
      </c>
      <c r="F1739" s="1" t="s">
        <v>4182</v>
      </c>
      <c r="G1739" s="1" t="s">
        <v>15</v>
      </c>
      <c r="H1739" s="1" t="str">
        <f>"10"</f>
        <v>10</v>
      </c>
      <c r="I1739" s="3">
        <v>168.09</v>
      </c>
      <c r="J1739" s="4">
        <v>46043</v>
      </c>
      <c r="K1739" s="1" t="s">
        <v>4183</v>
      </c>
    </row>
    <row r="1740" spans="1:11" x14ac:dyDescent="0.35">
      <c r="A1740" s="1" t="s">
        <v>3822</v>
      </c>
      <c r="B1740" s="1" t="s">
        <v>4138</v>
      </c>
      <c r="C1740" s="1" t="s">
        <v>4145</v>
      </c>
      <c r="D1740" s="1" t="str">
        <f>"2360"</f>
        <v>2360</v>
      </c>
      <c r="E1740" s="1" t="str">
        <f>"016631022"</f>
        <v>016631022</v>
      </c>
      <c r="F1740" s="1" t="s">
        <v>1275</v>
      </c>
      <c r="G1740" s="1" t="s">
        <v>15</v>
      </c>
      <c r="H1740" s="1" t="str">
        <f>"2"</f>
        <v>2</v>
      </c>
      <c r="I1740" s="3">
        <v>53375.13</v>
      </c>
      <c r="J1740" s="4">
        <v>46044</v>
      </c>
      <c r="K1740" s="1" t="s">
        <v>4146</v>
      </c>
    </row>
    <row r="1741" spans="1:11" x14ac:dyDescent="0.35">
      <c r="A1741" s="1" t="s">
        <v>3822</v>
      </c>
      <c r="B1741" s="1" t="s">
        <v>4233</v>
      </c>
      <c r="C1741" s="1" t="s">
        <v>4237</v>
      </c>
      <c r="D1741" s="1" t="str">
        <f>"4520"</f>
        <v>4520</v>
      </c>
      <c r="E1741" s="1" t="s">
        <v>4105</v>
      </c>
      <c r="F1741" s="1" t="s">
        <v>4106</v>
      </c>
      <c r="G1741" s="1" t="s">
        <v>15</v>
      </c>
      <c r="H1741" s="1" t="str">
        <f>"1"</f>
        <v>1</v>
      </c>
      <c r="I1741" s="3" t="str">
        <f>"4900"</f>
        <v>4900</v>
      </c>
      <c r="J1741" s="4">
        <v>46044</v>
      </c>
      <c r="K1741" s="1" t="s">
        <v>4238</v>
      </c>
    </row>
    <row r="1742" spans="1:11" x14ac:dyDescent="0.35">
      <c r="A1742" s="1" t="s">
        <v>3822</v>
      </c>
      <c r="B1742" s="1" t="s">
        <v>4076</v>
      </c>
      <c r="C1742" s="1" t="s">
        <v>4090</v>
      </c>
      <c r="D1742" s="1" t="str">
        <f>"8465"</f>
        <v>8465</v>
      </c>
      <c r="E1742" s="1" t="str">
        <f>"015248362"</f>
        <v>015248362</v>
      </c>
      <c r="F1742" s="1" t="s">
        <v>4091</v>
      </c>
      <c r="G1742" s="1" t="s">
        <v>15</v>
      </c>
      <c r="H1742" s="1" t="str">
        <f>"7"</f>
        <v>7</v>
      </c>
      <c r="I1742" s="3">
        <v>33.159999999999997</v>
      </c>
      <c r="J1742" s="4">
        <v>46049</v>
      </c>
      <c r="K1742" s="1" t="s">
        <v>4092</v>
      </c>
    </row>
    <row r="1743" spans="1:11" x14ac:dyDescent="0.35">
      <c r="A1743" s="1" t="s">
        <v>3822</v>
      </c>
      <c r="B1743" s="1" t="s">
        <v>3830</v>
      </c>
      <c r="C1743" s="1" t="s">
        <v>4018</v>
      </c>
      <c r="D1743" s="1" t="str">
        <f>"6230"</f>
        <v>6230</v>
      </c>
      <c r="E1743" s="1" t="s">
        <v>3594</v>
      </c>
      <c r="F1743" s="1" t="s">
        <v>3595</v>
      </c>
      <c r="G1743" s="1" t="s">
        <v>15</v>
      </c>
      <c r="H1743" s="1" t="str">
        <f>"5"</f>
        <v>5</v>
      </c>
      <c r="I1743" s="3">
        <v>755.97</v>
      </c>
      <c r="J1743" s="4">
        <v>46055</v>
      </c>
      <c r="K1743" s="1" t="s">
        <v>4019</v>
      </c>
    </row>
    <row r="1744" spans="1:11" x14ac:dyDescent="0.35">
      <c r="A1744" s="1" t="s">
        <v>3822</v>
      </c>
      <c r="B1744" s="1" t="s">
        <v>4184</v>
      </c>
      <c r="C1744" s="1" t="s">
        <v>4185</v>
      </c>
      <c r="D1744" s="1" t="str">
        <f>"2320"</f>
        <v>2320</v>
      </c>
      <c r="E1744" s="1" t="str">
        <f>"010907826"</f>
        <v>010907826</v>
      </c>
      <c r="F1744" s="1" t="s">
        <v>1860</v>
      </c>
      <c r="G1744" s="1" t="s">
        <v>15</v>
      </c>
      <c r="H1744" s="1" t="str">
        <f>"1"</f>
        <v>1</v>
      </c>
      <c r="I1744" s="3" t="str">
        <f>"21000"</f>
        <v>21000</v>
      </c>
      <c r="J1744" s="4">
        <v>46057</v>
      </c>
      <c r="K1744" s="1" t="s">
        <v>4186</v>
      </c>
    </row>
    <row r="1745" spans="1:11" x14ac:dyDescent="0.35">
      <c r="A1745" s="1" t="s">
        <v>3822</v>
      </c>
      <c r="B1745" s="1" t="s">
        <v>4184</v>
      </c>
      <c r="C1745" s="1" t="s">
        <v>4187</v>
      </c>
      <c r="D1745" s="1" t="str">
        <f>"2320"</f>
        <v>2320</v>
      </c>
      <c r="E1745" s="1" t="s">
        <v>1016</v>
      </c>
      <c r="F1745" s="1" t="s">
        <v>1017</v>
      </c>
      <c r="G1745" s="1" t="s">
        <v>15</v>
      </c>
      <c r="H1745" s="1" t="str">
        <f>"1"</f>
        <v>1</v>
      </c>
      <c r="I1745" s="3" t="str">
        <f>"58126"</f>
        <v>58126</v>
      </c>
      <c r="J1745" s="4">
        <v>46057</v>
      </c>
      <c r="K1745" s="1" t="s">
        <v>4188</v>
      </c>
    </row>
    <row r="1746" spans="1:11" x14ac:dyDescent="0.35">
      <c r="A1746" s="1" t="s">
        <v>3822</v>
      </c>
      <c r="B1746" s="1" t="s">
        <v>4192</v>
      </c>
      <c r="C1746" s="1" t="s">
        <v>4193</v>
      </c>
      <c r="D1746" s="1" t="str">
        <f>"5855"</f>
        <v>5855</v>
      </c>
      <c r="E1746" s="1" t="str">
        <f>"014572953"</f>
        <v>014572953</v>
      </c>
      <c r="F1746" s="1" t="s">
        <v>3314</v>
      </c>
      <c r="G1746" s="1" t="s">
        <v>15</v>
      </c>
      <c r="H1746" s="1" t="str">
        <f>"2"</f>
        <v>2</v>
      </c>
      <c r="I1746" s="3" t="str">
        <f>"192"</f>
        <v>192</v>
      </c>
      <c r="J1746" s="4">
        <v>46057</v>
      </c>
      <c r="K1746" s="1" t="s">
        <v>4194</v>
      </c>
    </row>
    <row r="1747" spans="1:11" x14ac:dyDescent="0.35">
      <c r="A1747" s="1" t="s">
        <v>3822</v>
      </c>
      <c r="B1747" s="1" t="s">
        <v>4192</v>
      </c>
      <c r="C1747" s="1" t="s">
        <v>4195</v>
      </c>
      <c r="D1747" s="1" t="str">
        <f>"5965"</f>
        <v>5965</v>
      </c>
      <c r="E1747" s="1" t="str">
        <f>"014441216"</f>
        <v>014441216</v>
      </c>
      <c r="F1747" s="1" t="s">
        <v>4196</v>
      </c>
      <c r="G1747" s="1" t="s">
        <v>15</v>
      </c>
      <c r="H1747" s="1" t="str">
        <f>"6"</f>
        <v>6</v>
      </c>
      <c r="I1747" s="3" t="str">
        <f>"24"</f>
        <v>24</v>
      </c>
      <c r="J1747" s="4">
        <v>46057</v>
      </c>
      <c r="K1747" s="1" t="s">
        <v>4194</v>
      </c>
    </row>
    <row r="1748" spans="1:11" x14ac:dyDescent="0.35">
      <c r="A1748" s="1" t="s">
        <v>3822</v>
      </c>
      <c r="B1748" s="1" t="s">
        <v>3830</v>
      </c>
      <c r="C1748" s="1" t="s">
        <v>3835</v>
      </c>
      <c r="D1748" s="1" t="str">
        <f>"2320"</f>
        <v>2320</v>
      </c>
      <c r="E1748" s="1" t="str">
        <f>"013719583"</f>
        <v>013719583</v>
      </c>
      <c r="F1748" s="1" t="s">
        <v>1860</v>
      </c>
      <c r="G1748" s="1" t="s">
        <v>15</v>
      </c>
      <c r="H1748" s="1" t="str">
        <f>"1"</f>
        <v>1</v>
      </c>
      <c r="I1748" s="3" t="str">
        <f>"63682"</f>
        <v>63682</v>
      </c>
      <c r="J1748" s="4">
        <v>46058</v>
      </c>
      <c r="K1748" s="1" t="s">
        <v>3836</v>
      </c>
    </row>
    <row r="1749" spans="1:11" x14ac:dyDescent="0.35">
      <c r="A1749" s="1" t="s">
        <v>3822</v>
      </c>
      <c r="B1749" s="1" t="s">
        <v>3830</v>
      </c>
      <c r="C1749" s="1" t="s">
        <v>3839</v>
      </c>
      <c r="D1749" s="1" t="str">
        <f>"2530"</f>
        <v>2530</v>
      </c>
      <c r="E1749" s="1" t="str">
        <f>"001046497"</f>
        <v>001046497</v>
      </c>
      <c r="F1749" s="1" t="s">
        <v>3840</v>
      </c>
      <c r="G1749" s="1" t="s">
        <v>15</v>
      </c>
      <c r="H1749" s="1" t="str">
        <f>"10"</f>
        <v>10</v>
      </c>
      <c r="I1749" s="3">
        <v>250.47</v>
      </c>
      <c r="J1749" s="4">
        <v>46058</v>
      </c>
      <c r="K1749" s="1" t="s">
        <v>3841</v>
      </c>
    </row>
    <row r="1750" spans="1:11" x14ac:dyDescent="0.35">
      <c r="A1750" s="1" t="s">
        <v>3822</v>
      </c>
      <c r="B1750" s="1" t="s">
        <v>3830</v>
      </c>
      <c r="C1750" s="1" t="s">
        <v>3851</v>
      </c>
      <c r="D1750" s="1" t="str">
        <f>"5110"</f>
        <v>5110</v>
      </c>
      <c r="E1750" s="1" t="str">
        <f>"005858428"</f>
        <v>005858428</v>
      </c>
      <c r="F1750" s="1" t="s">
        <v>3852</v>
      </c>
      <c r="G1750" s="1" t="s">
        <v>15</v>
      </c>
      <c r="H1750" s="1" t="str">
        <f t="shared" ref="H1750:H1756" si="80">"2"</f>
        <v>2</v>
      </c>
      <c r="I1750" s="3">
        <v>10.86</v>
      </c>
      <c r="J1750" s="4">
        <v>46058</v>
      </c>
      <c r="K1750" s="1" t="s">
        <v>3853</v>
      </c>
    </row>
    <row r="1751" spans="1:11" x14ac:dyDescent="0.35">
      <c r="A1751" s="1" t="s">
        <v>3822</v>
      </c>
      <c r="B1751" s="1" t="s">
        <v>3830</v>
      </c>
      <c r="C1751" s="1" t="s">
        <v>3854</v>
      </c>
      <c r="D1751" s="1" t="str">
        <f>"5110"</f>
        <v>5110</v>
      </c>
      <c r="E1751" s="1" t="str">
        <f>"005858425"</f>
        <v>005858425</v>
      </c>
      <c r="F1751" s="1" t="s">
        <v>3852</v>
      </c>
      <c r="G1751" s="1" t="s">
        <v>15</v>
      </c>
      <c r="H1751" s="1" t="str">
        <f t="shared" si="80"/>
        <v>2</v>
      </c>
      <c r="I1751" s="3">
        <v>246.75</v>
      </c>
      <c r="J1751" s="4">
        <v>46058</v>
      </c>
      <c r="K1751" s="1" t="s">
        <v>3855</v>
      </c>
    </row>
    <row r="1752" spans="1:11" x14ac:dyDescent="0.35">
      <c r="A1752" s="1" t="s">
        <v>3822</v>
      </c>
      <c r="B1752" s="1" t="s">
        <v>3830</v>
      </c>
      <c r="C1752" s="1" t="s">
        <v>3856</v>
      </c>
      <c r="D1752" s="1" t="str">
        <f t="shared" ref="D1752:D1794" si="81">"5120"</f>
        <v>5120</v>
      </c>
      <c r="E1752" s="1" t="s">
        <v>542</v>
      </c>
      <c r="F1752" s="1" t="s">
        <v>543</v>
      </c>
      <c r="G1752" s="1" t="s">
        <v>15</v>
      </c>
      <c r="H1752" s="1" t="str">
        <f t="shared" si="80"/>
        <v>2</v>
      </c>
      <c r="I1752" s="3">
        <v>25.34</v>
      </c>
      <c r="J1752" s="4">
        <v>46058</v>
      </c>
      <c r="K1752" s="1" t="s">
        <v>3857</v>
      </c>
    </row>
    <row r="1753" spans="1:11" x14ac:dyDescent="0.35">
      <c r="A1753" s="1" t="s">
        <v>3822</v>
      </c>
      <c r="B1753" s="1" t="s">
        <v>3830</v>
      </c>
      <c r="C1753" s="1" t="s">
        <v>3858</v>
      </c>
      <c r="D1753" s="1" t="str">
        <f t="shared" si="81"/>
        <v>5120</v>
      </c>
      <c r="E1753" s="1" t="s">
        <v>3859</v>
      </c>
      <c r="F1753" s="1" t="s">
        <v>3860</v>
      </c>
      <c r="G1753" s="1" t="s">
        <v>15</v>
      </c>
      <c r="H1753" s="1" t="str">
        <f t="shared" si="80"/>
        <v>2</v>
      </c>
      <c r="I1753" s="3">
        <v>131.85</v>
      </c>
      <c r="J1753" s="4">
        <v>46058</v>
      </c>
      <c r="K1753" s="1" t="s">
        <v>3861</v>
      </c>
    </row>
    <row r="1754" spans="1:11" x14ac:dyDescent="0.35">
      <c r="A1754" s="1" t="s">
        <v>3822</v>
      </c>
      <c r="B1754" s="1" t="s">
        <v>3830</v>
      </c>
      <c r="C1754" s="1" t="s">
        <v>3862</v>
      </c>
      <c r="D1754" s="1" t="str">
        <f t="shared" si="81"/>
        <v>5120</v>
      </c>
      <c r="E1754" s="1" t="s">
        <v>2085</v>
      </c>
      <c r="F1754" s="1" t="s">
        <v>2086</v>
      </c>
      <c r="G1754" s="1" t="s">
        <v>15</v>
      </c>
      <c r="H1754" s="1" t="str">
        <f t="shared" si="80"/>
        <v>2</v>
      </c>
      <c r="I1754" s="3" t="str">
        <f>"599"</f>
        <v>599</v>
      </c>
      <c r="J1754" s="4">
        <v>46058</v>
      </c>
      <c r="K1754" s="1" t="s">
        <v>3863</v>
      </c>
    </row>
    <row r="1755" spans="1:11" x14ac:dyDescent="0.35">
      <c r="A1755" s="1" t="s">
        <v>3822</v>
      </c>
      <c r="B1755" s="1" t="s">
        <v>3830</v>
      </c>
      <c r="C1755" s="1" t="s">
        <v>3864</v>
      </c>
      <c r="D1755" s="1" t="str">
        <f t="shared" si="81"/>
        <v>5120</v>
      </c>
      <c r="E1755" s="1" t="s">
        <v>2085</v>
      </c>
      <c r="F1755" s="1" t="s">
        <v>2086</v>
      </c>
      <c r="G1755" s="1" t="s">
        <v>15</v>
      </c>
      <c r="H1755" s="1" t="str">
        <f t="shared" si="80"/>
        <v>2</v>
      </c>
      <c r="I1755" s="3" t="str">
        <f>"400"</f>
        <v>400</v>
      </c>
      <c r="J1755" s="4">
        <v>46058</v>
      </c>
      <c r="K1755" s="1" t="s">
        <v>3863</v>
      </c>
    </row>
    <row r="1756" spans="1:11" x14ac:dyDescent="0.35">
      <c r="A1756" s="1" t="s">
        <v>3822</v>
      </c>
      <c r="B1756" s="1" t="s">
        <v>3830</v>
      </c>
      <c r="C1756" s="1" t="s">
        <v>3865</v>
      </c>
      <c r="D1756" s="1" t="str">
        <f t="shared" si="81"/>
        <v>5120</v>
      </c>
      <c r="E1756" s="1" t="s">
        <v>2085</v>
      </c>
      <c r="F1756" s="1" t="s">
        <v>2086</v>
      </c>
      <c r="G1756" s="1" t="s">
        <v>15</v>
      </c>
      <c r="H1756" s="1" t="str">
        <f t="shared" si="80"/>
        <v>2</v>
      </c>
      <c r="I1756" s="3" t="str">
        <f>"668"</f>
        <v>668</v>
      </c>
      <c r="J1756" s="4">
        <v>46058</v>
      </c>
      <c r="K1756" s="1" t="s">
        <v>3863</v>
      </c>
    </row>
    <row r="1757" spans="1:11" x14ac:dyDescent="0.35">
      <c r="A1757" s="1" t="s">
        <v>3822</v>
      </c>
      <c r="B1757" s="1" t="s">
        <v>3830</v>
      </c>
      <c r="C1757" s="1" t="s">
        <v>3866</v>
      </c>
      <c r="D1757" s="1" t="str">
        <f t="shared" si="81"/>
        <v>5120</v>
      </c>
      <c r="E1757" s="1" t="s">
        <v>2085</v>
      </c>
      <c r="F1757" s="1" t="s">
        <v>2086</v>
      </c>
      <c r="G1757" s="1" t="s">
        <v>15</v>
      </c>
      <c r="H1757" s="1" t="str">
        <f>"1"</f>
        <v>1</v>
      </c>
      <c r="I1757" s="3" t="str">
        <f>"549"</f>
        <v>549</v>
      </c>
      <c r="J1757" s="4">
        <v>46058</v>
      </c>
      <c r="K1757" s="1" t="s">
        <v>3867</v>
      </c>
    </row>
    <row r="1758" spans="1:11" x14ac:dyDescent="0.35">
      <c r="A1758" s="1" t="s">
        <v>3822</v>
      </c>
      <c r="B1758" s="1" t="s">
        <v>3830</v>
      </c>
      <c r="C1758" s="1" t="s">
        <v>3868</v>
      </c>
      <c r="D1758" s="1" t="str">
        <f t="shared" si="81"/>
        <v>5120</v>
      </c>
      <c r="E1758" s="1" t="s">
        <v>542</v>
      </c>
      <c r="F1758" s="1" t="s">
        <v>543</v>
      </c>
      <c r="G1758" s="1" t="s">
        <v>15</v>
      </c>
      <c r="H1758" s="1" t="str">
        <f>"2"</f>
        <v>2</v>
      </c>
      <c r="I1758" s="3" t="str">
        <f>"12"</f>
        <v>12</v>
      </c>
      <c r="J1758" s="4">
        <v>46058</v>
      </c>
      <c r="K1758" s="1" t="s">
        <v>3869</v>
      </c>
    </row>
    <row r="1759" spans="1:11" x14ac:dyDescent="0.35">
      <c r="A1759" s="1" t="s">
        <v>3822</v>
      </c>
      <c r="B1759" s="1" t="s">
        <v>3830</v>
      </c>
      <c r="C1759" s="1" t="s">
        <v>3870</v>
      </c>
      <c r="D1759" s="1" t="str">
        <f t="shared" si="81"/>
        <v>5120</v>
      </c>
      <c r="E1759" s="1" t="s">
        <v>542</v>
      </c>
      <c r="F1759" s="1" t="s">
        <v>543</v>
      </c>
      <c r="G1759" s="1" t="s">
        <v>15</v>
      </c>
      <c r="H1759" s="1" t="str">
        <f>"1"</f>
        <v>1</v>
      </c>
      <c r="I1759" s="3" t="str">
        <f>"412"</f>
        <v>412</v>
      </c>
      <c r="J1759" s="4">
        <v>46058</v>
      </c>
      <c r="K1759" s="1" t="s">
        <v>3869</v>
      </c>
    </row>
    <row r="1760" spans="1:11" x14ac:dyDescent="0.35">
      <c r="A1760" s="1" t="s">
        <v>3822</v>
      </c>
      <c r="B1760" s="1" t="s">
        <v>3830</v>
      </c>
      <c r="C1760" s="1" t="s">
        <v>3871</v>
      </c>
      <c r="D1760" s="1" t="str">
        <f t="shared" si="81"/>
        <v>5120</v>
      </c>
      <c r="E1760" s="1" t="s">
        <v>2085</v>
      </c>
      <c r="F1760" s="1" t="s">
        <v>2086</v>
      </c>
      <c r="G1760" s="1" t="s">
        <v>15</v>
      </c>
      <c r="H1760" s="1" t="str">
        <f>"1"</f>
        <v>1</v>
      </c>
      <c r="I1760" s="3">
        <v>932.56</v>
      </c>
      <c r="J1760" s="4">
        <v>46058</v>
      </c>
      <c r="K1760" s="1" t="s">
        <v>3867</v>
      </c>
    </row>
    <row r="1761" spans="1:11" x14ac:dyDescent="0.35">
      <c r="A1761" s="1" t="s">
        <v>3822</v>
      </c>
      <c r="B1761" s="1" t="s">
        <v>3830</v>
      </c>
      <c r="C1761" s="1" t="s">
        <v>3880</v>
      </c>
      <c r="D1761" s="1" t="str">
        <f t="shared" si="81"/>
        <v>5120</v>
      </c>
      <c r="E1761" s="1" t="str">
        <f>"002778301"</f>
        <v>002778301</v>
      </c>
      <c r="F1761" s="1" t="s">
        <v>522</v>
      </c>
      <c r="G1761" s="1" t="s">
        <v>15</v>
      </c>
      <c r="H1761" s="1" t="str">
        <f t="shared" ref="H1761:H1766" si="82">"2"</f>
        <v>2</v>
      </c>
      <c r="I1761" s="3">
        <v>12.93</v>
      </c>
      <c r="J1761" s="4">
        <v>46058</v>
      </c>
      <c r="K1761" s="1" t="s">
        <v>3881</v>
      </c>
    </row>
    <row r="1762" spans="1:11" x14ac:dyDescent="0.35">
      <c r="A1762" s="1" t="s">
        <v>3822</v>
      </c>
      <c r="B1762" s="1" t="s">
        <v>3830</v>
      </c>
      <c r="C1762" s="1" t="s">
        <v>3882</v>
      </c>
      <c r="D1762" s="1" t="str">
        <f t="shared" si="81"/>
        <v>5120</v>
      </c>
      <c r="E1762" s="1" t="s">
        <v>2780</v>
      </c>
      <c r="F1762" s="1" t="s">
        <v>807</v>
      </c>
      <c r="G1762" s="1" t="s">
        <v>15</v>
      </c>
      <c r="H1762" s="1" t="str">
        <f t="shared" si="82"/>
        <v>2</v>
      </c>
      <c r="I1762" s="3">
        <v>106.4</v>
      </c>
      <c r="J1762" s="4">
        <v>46058</v>
      </c>
      <c r="K1762" s="1" t="s">
        <v>3883</v>
      </c>
    </row>
    <row r="1763" spans="1:11" x14ac:dyDescent="0.35">
      <c r="A1763" s="1" t="s">
        <v>3822</v>
      </c>
      <c r="B1763" s="1" t="s">
        <v>3830</v>
      </c>
      <c r="C1763" s="1" t="s">
        <v>3884</v>
      </c>
      <c r="D1763" s="1" t="str">
        <f t="shared" si="81"/>
        <v>5120</v>
      </c>
      <c r="E1763" s="1" t="s">
        <v>2780</v>
      </c>
      <c r="F1763" s="1" t="s">
        <v>807</v>
      </c>
      <c r="G1763" s="1" t="s">
        <v>15</v>
      </c>
      <c r="H1763" s="1" t="str">
        <f t="shared" si="82"/>
        <v>2</v>
      </c>
      <c r="I1763" s="3">
        <v>17.940000000000001</v>
      </c>
      <c r="J1763" s="4">
        <v>46058</v>
      </c>
      <c r="K1763" s="1" t="s">
        <v>3883</v>
      </c>
    </row>
    <row r="1764" spans="1:11" x14ac:dyDescent="0.35">
      <c r="A1764" s="1" t="s">
        <v>3822</v>
      </c>
      <c r="B1764" s="1" t="s">
        <v>3830</v>
      </c>
      <c r="C1764" s="1" t="s">
        <v>3885</v>
      </c>
      <c r="D1764" s="1" t="str">
        <f t="shared" si="81"/>
        <v>5120</v>
      </c>
      <c r="E1764" s="1" t="s">
        <v>542</v>
      </c>
      <c r="F1764" s="1" t="s">
        <v>543</v>
      </c>
      <c r="G1764" s="1" t="s">
        <v>15</v>
      </c>
      <c r="H1764" s="1" t="str">
        <f t="shared" si="82"/>
        <v>2</v>
      </c>
      <c r="I1764" s="3">
        <v>6.04</v>
      </c>
      <c r="J1764" s="4">
        <v>46058</v>
      </c>
      <c r="K1764" s="1" t="s">
        <v>3886</v>
      </c>
    </row>
    <row r="1765" spans="1:11" x14ac:dyDescent="0.35">
      <c r="A1765" s="1" t="s">
        <v>3822</v>
      </c>
      <c r="B1765" s="1" t="s">
        <v>3830</v>
      </c>
      <c r="C1765" s="1" t="s">
        <v>3887</v>
      </c>
      <c r="D1765" s="1" t="str">
        <f t="shared" si="81"/>
        <v>5120</v>
      </c>
      <c r="E1765" s="1" t="s">
        <v>2085</v>
      </c>
      <c r="F1765" s="1" t="s">
        <v>2086</v>
      </c>
      <c r="G1765" s="1" t="s">
        <v>15</v>
      </c>
      <c r="H1765" s="1" t="str">
        <f t="shared" si="82"/>
        <v>2</v>
      </c>
      <c r="I1765" s="3">
        <v>150.13</v>
      </c>
      <c r="J1765" s="4">
        <v>46058</v>
      </c>
      <c r="K1765" s="1" t="s">
        <v>3867</v>
      </c>
    </row>
    <row r="1766" spans="1:11" x14ac:dyDescent="0.35">
      <c r="A1766" s="1" t="s">
        <v>3822</v>
      </c>
      <c r="B1766" s="1" t="s">
        <v>3830</v>
      </c>
      <c r="C1766" s="1" t="s">
        <v>3888</v>
      </c>
      <c r="D1766" s="1" t="str">
        <f t="shared" si="81"/>
        <v>5120</v>
      </c>
      <c r="E1766" s="1" t="s">
        <v>2085</v>
      </c>
      <c r="F1766" s="1" t="s">
        <v>2086</v>
      </c>
      <c r="G1766" s="1" t="s">
        <v>15</v>
      </c>
      <c r="H1766" s="1" t="str">
        <f t="shared" si="82"/>
        <v>2</v>
      </c>
      <c r="I1766" s="3" t="str">
        <f>"28"</f>
        <v>28</v>
      </c>
      <c r="J1766" s="4">
        <v>46058</v>
      </c>
      <c r="K1766" s="1" t="s">
        <v>3867</v>
      </c>
    </row>
    <row r="1767" spans="1:11" x14ac:dyDescent="0.35">
      <c r="A1767" s="1" t="s">
        <v>3822</v>
      </c>
      <c r="B1767" s="1" t="s">
        <v>3830</v>
      </c>
      <c r="C1767" s="1" t="s">
        <v>3890</v>
      </c>
      <c r="D1767" s="1" t="str">
        <f t="shared" si="81"/>
        <v>5120</v>
      </c>
      <c r="E1767" s="1" t="s">
        <v>2085</v>
      </c>
      <c r="F1767" s="1" t="s">
        <v>2086</v>
      </c>
      <c r="G1767" s="1" t="s">
        <v>15</v>
      </c>
      <c r="H1767" s="1" t="str">
        <f>"1"</f>
        <v>1</v>
      </c>
      <c r="I1767" s="3" t="str">
        <f>"5615"</f>
        <v>5615</v>
      </c>
      <c r="J1767" s="4">
        <v>46058</v>
      </c>
      <c r="K1767" s="1" t="s">
        <v>3867</v>
      </c>
    </row>
    <row r="1768" spans="1:11" x14ac:dyDescent="0.35">
      <c r="A1768" s="1" t="s">
        <v>3822</v>
      </c>
      <c r="B1768" s="1" t="s">
        <v>3830</v>
      </c>
      <c r="C1768" s="1" t="s">
        <v>3891</v>
      </c>
      <c r="D1768" s="1" t="str">
        <f t="shared" si="81"/>
        <v>5120</v>
      </c>
      <c r="E1768" s="1" t="str">
        <f>"013365636"</f>
        <v>013365636</v>
      </c>
      <c r="F1768" s="1" t="s">
        <v>525</v>
      </c>
      <c r="G1768" s="1" t="s">
        <v>15</v>
      </c>
      <c r="H1768" s="1" t="str">
        <f>"2"</f>
        <v>2</v>
      </c>
      <c r="I1768" s="3">
        <v>12.8</v>
      </c>
      <c r="J1768" s="4">
        <v>46058</v>
      </c>
      <c r="K1768" s="1" t="s">
        <v>3892</v>
      </c>
    </row>
    <row r="1769" spans="1:11" x14ac:dyDescent="0.35">
      <c r="A1769" s="1" t="s">
        <v>3822</v>
      </c>
      <c r="B1769" s="1" t="s">
        <v>3830</v>
      </c>
      <c r="C1769" s="1" t="s">
        <v>3893</v>
      </c>
      <c r="D1769" s="1" t="str">
        <f t="shared" si="81"/>
        <v>5120</v>
      </c>
      <c r="E1769" s="1" t="str">
        <f>"002289515"</f>
        <v>002289515</v>
      </c>
      <c r="F1769" s="1" t="s">
        <v>3438</v>
      </c>
      <c r="G1769" s="1" t="s">
        <v>15</v>
      </c>
      <c r="H1769" s="1" t="str">
        <f>"2"</f>
        <v>2</v>
      </c>
      <c r="I1769" s="3">
        <v>29.63</v>
      </c>
      <c r="J1769" s="4">
        <v>46058</v>
      </c>
      <c r="K1769" s="1" t="s">
        <v>3894</v>
      </c>
    </row>
    <row r="1770" spans="1:11" x14ac:dyDescent="0.35">
      <c r="A1770" s="1" t="s">
        <v>3822</v>
      </c>
      <c r="B1770" s="1" t="s">
        <v>3830</v>
      </c>
      <c r="C1770" s="1" t="s">
        <v>3895</v>
      </c>
      <c r="D1770" s="1" t="str">
        <f t="shared" si="81"/>
        <v>5120</v>
      </c>
      <c r="E1770" s="1" t="s">
        <v>2085</v>
      </c>
      <c r="F1770" s="1" t="s">
        <v>2086</v>
      </c>
      <c r="G1770" s="1" t="s">
        <v>15</v>
      </c>
      <c r="H1770" s="1" t="str">
        <f>"1"</f>
        <v>1</v>
      </c>
      <c r="I1770" s="3">
        <v>149.97999999999999</v>
      </c>
      <c r="J1770" s="4">
        <v>46058</v>
      </c>
      <c r="K1770" s="1" t="s">
        <v>3896</v>
      </c>
    </row>
    <row r="1771" spans="1:11" x14ac:dyDescent="0.35">
      <c r="A1771" s="1" t="s">
        <v>3822</v>
      </c>
      <c r="B1771" s="1" t="s">
        <v>3830</v>
      </c>
      <c r="C1771" s="1" t="s">
        <v>3897</v>
      </c>
      <c r="D1771" s="1" t="str">
        <f t="shared" si="81"/>
        <v>5120</v>
      </c>
      <c r="E1771" s="1" t="str">
        <f>"002645207"</f>
        <v>002645207</v>
      </c>
      <c r="F1771" s="1" t="s">
        <v>3898</v>
      </c>
      <c r="G1771" s="1" t="s">
        <v>15</v>
      </c>
      <c r="H1771" s="1" t="str">
        <f t="shared" ref="H1771:H1779" si="83">"2"</f>
        <v>2</v>
      </c>
      <c r="I1771" s="3">
        <v>339.7</v>
      </c>
      <c r="J1771" s="4">
        <v>46058</v>
      </c>
      <c r="K1771" s="1" t="s">
        <v>3899</v>
      </c>
    </row>
    <row r="1772" spans="1:11" x14ac:dyDescent="0.35">
      <c r="A1772" s="1" t="s">
        <v>3822</v>
      </c>
      <c r="B1772" s="1" t="s">
        <v>3830</v>
      </c>
      <c r="C1772" s="1" t="s">
        <v>3900</v>
      </c>
      <c r="D1772" s="1" t="str">
        <f t="shared" si="81"/>
        <v>5120</v>
      </c>
      <c r="E1772" s="1" t="s">
        <v>2085</v>
      </c>
      <c r="F1772" s="1" t="s">
        <v>2086</v>
      </c>
      <c r="G1772" s="1" t="s">
        <v>15</v>
      </c>
      <c r="H1772" s="1" t="str">
        <f t="shared" si="83"/>
        <v>2</v>
      </c>
      <c r="I1772" s="3">
        <v>42.28</v>
      </c>
      <c r="J1772" s="4">
        <v>46058</v>
      </c>
      <c r="K1772" s="1" t="s">
        <v>3896</v>
      </c>
    </row>
    <row r="1773" spans="1:11" x14ac:dyDescent="0.35">
      <c r="A1773" s="1" t="s">
        <v>3822</v>
      </c>
      <c r="B1773" s="1" t="s">
        <v>3830</v>
      </c>
      <c r="C1773" s="1" t="s">
        <v>3901</v>
      </c>
      <c r="D1773" s="1" t="str">
        <f t="shared" si="81"/>
        <v>5120</v>
      </c>
      <c r="E1773" s="1" t="str">
        <f>"014288264"</f>
        <v>014288264</v>
      </c>
      <c r="F1773" s="1" t="s">
        <v>3902</v>
      </c>
      <c r="G1773" s="1" t="s">
        <v>15</v>
      </c>
      <c r="H1773" s="1" t="str">
        <f t="shared" si="83"/>
        <v>2</v>
      </c>
      <c r="I1773" s="3">
        <v>27.28</v>
      </c>
      <c r="J1773" s="4">
        <v>46058</v>
      </c>
      <c r="K1773" s="1" t="s">
        <v>3881</v>
      </c>
    </row>
    <row r="1774" spans="1:11" x14ac:dyDescent="0.35">
      <c r="A1774" s="1" t="s">
        <v>3822</v>
      </c>
      <c r="B1774" s="1" t="s">
        <v>3830</v>
      </c>
      <c r="C1774" s="1" t="s">
        <v>3903</v>
      </c>
      <c r="D1774" s="1" t="str">
        <f t="shared" si="81"/>
        <v>5120</v>
      </c>
      <c r="E1774" s="1" t="s">
        <v>2085</v>
      </c>
      <c r="F1774" s="1" t="s">
        <v>2086</v>
      </c>
      <c r="G1774" s="1" t="s">
        <v>15</v>
      </c>
      <c r="H1774" s="1" t="str">
        <f t="shared" si="83"/>
        <v>2</v>
      </c>
      <c r="I1774" s="3" t="str">
        <f>"1618"</f>
        <v>1618</v>
      </c>
      <c r="J1774" s="4">
        <v>46058</v>
      </c>
      <c r="K1774" s="1" t="s">
        <v>3896</v>
      </c>
    </row>
    <row r="1775" spans="1:11" x14ac:dyDescent="0.35">
      <c r="A1775" s="1" t="s">
        <v>3822</v>
      </c>
      <c r="B1775" s="1" t="s">
        <v>3830</v>
      </c>
      <c r="C1775" s="1" t="s">
        <v>3904</v>
      </c>
      <c r="D1775" s="1" t="str">
        <f t="shared" si="81"/>
        <v>5120</v>
      </c>
      <c r="E1775" s="1" t="str">
        <f>"000819100"</f>
        <v>000819100</v>
      </c>
      <c r="F1775" s="1" t="s">
        <v>522</v>
      </c>
      <c r="G1775" s="1" t="s">
        <v>15</v>
      </c>
      <c r="H1775" s="1" t="str">
        <f t="shared" si="83"/>
        <v>2</v>
      </c>
      <c r="I1775" s="3">
        <v>141.53</v>
      </c>
      <c r="J1775" s="4">
        <v>46058</v>
      </c>
      <c r="K1775" s="1" t="s">
        <v>3881</v>
      </c>
    </row>
    <row r="1776" spans="1:11" x14ac:dyDescent="0.35">
      <c r="A1776" s="1" t="s">
        <v>3822</v>
      </c>
      <c r="B1776" s="1" t="s">
        <v>3830</v>
      </c>
      <c r="C1776" s="1" t="s">
        <v>3905</v>
      </c>
      <c r="D1776" s="1" t="str">
        <f t="shared" si="81"/>
        <v>5120</v>
      </c>
      <c r="E1776" s="1" t="str">
        <f>"013350749"</f>
        <v>013350749</v>
      </c>
      <c r="F1776" s="1" t="s">
        <v>3906</v>
      </c>
      <c r="G1776" s="1" t="s">
        <v>15</v>
      </c>
      <c r="H1776" s="1" t="str">
        <f t="shared" si="83"/>
        <v>2</v>
      </c>
      <c r="I1776" s="3" t="str">
        <f>"35"</f>
        <v>35</v>
      </c>
      <c r="J1776" s="4">
        <v>46058</v>
      </c>
      <c r="K1776" s="1" t="s">
        <v>3907</v>
      </c>
    </row>
    <row r="1777" spans="1:11" x14ac:dyDescent="0.35">
      <c r="A1777" s="1" t="s">
        <v>3822</v>
      </c>
      <c r="B1777" s="1" t="s">
        <v>3830</v>
      </c>
      <c r="C1777" s="1" t="s">
        <v>3908</v>
      </c>
      <c r="D1777" s="1" t="str">
        <f t="shared" si="81"/>
        <v>5120</v>
      </c>
      <c r="E1777" s="1" t="s">
        <v>2780</v>
      </c>
      <c r="F1777" s="1" t="s">
        <v>807</v>
      </c>
      <c r="G1777" s="1" t="s">
        <v>15</v>
      </c>
      <c r="H1777" s="1" t="str">
        <f t="shared" si="83"/>
        <v>2</v>
      </c>
      <c r="I1777" s="3" t="str">
        <f>"12"</f>
        <v>12</v>
      </c>
      <c r="J1777" s="4">
        <v>46058</v>
      </c>
      <c r="K1777" s="1" t="s">
        <v>3909</v>
      </c>
    </row>
    <row r="1778" spans="1:11" x14ac:dyDescent="0.35">
      <c r="A1778" s="1" t="s">
        <v>3822</v>
      </c>
      <c r="B1778" s="1" t="s">
        <v>3830</v>
      </c>
      <c r="C1778" s="1" t="s">
        <v>3910</v>
      </c>
      <c r="D1778" s="1" t="str">
        <f t="shared" si="81"/>
        <v>5120</v>
      </c>
      <c r="E1778" s="1" t="str">
        <f>"002401418"</f>
        <v>002401418</v>
      </c>
      <c r="F1778" s="1" t="s">
        <v>3911</v>
      </c>
      <c r="G1778" s="1" t="s">
        <v>15</v>
      </c>
      <c r="H1778" s="1" t="str">
        <f t="shared" si="83"/>
        <v>2</v>
      </c>
      <c r="I1778" s="3">
        <v>33.25</v>
      </c>
      <c r="J1778" s="4">
        <v>46058</v>
      </c>
      <c r="K1778" s="1" t="s">
        <v>3907</v>
      </c>
    </row>
    <row r="1779" spans="1:11" x14ac:dyDescent="0.35">
      <c r="A1779" s="1" t="s">
        <v>3822</v>
      </c>
      <c r="B1779" s="1" t="s">
        <v>3830</v>
      </c>
      <c r="C1779" s="1" t="s">
        <v>3916</v>
      </c>
      <c r="D1779" s="1" t="str">
        <f t="shared" si="81"/>
        <v>5120</v>
      </c>
      <c r="E1779" s="1" t="str">
        <f>"002243161"</f>
        <v>002243161</v>
      </c>
      <c r="F1779" s="1" t="s">
        <v>3902</v>
      </c>
      <c r="G1779" s="1" t="s">
        <v>15</v>
      </c>
      <c r="H1779" s="1" t="str">
        <f t="shared" si="83"/>
        <v>2</v>
      </c>
      <c r="I1779" s="3">
        <v>31.51</v>
      </c>
      <c r="J1779" s="4">
        <v>46058</v>
      </c>
      <c r="K1779" s="1" t="s">
        <v>3881</v>
      </c>
    </row>
    <row r="1780" spans="1:11" x14ac:dyDescent="0.35">
      <c r="A1780" s="1" t="s">
        <v>3822</v>
      </c>
      <c r="B1780" s="1" t="s">
        <v>3830</v>
      </c>
      <c r="C1780" s="1" t="s">
        <v>3917</v>
      </c>
      <c r="D1780" s="1" t="str">
        <f t="shared" si="81"/>
        <v>5120</v>
      </c>
      <c r="E1780" s="1" t="s">
        <v>542</v>
      </c>
      <c r="F1780" s="1" t="s">
        <v>543</v>
      </c>
      <c r="G1780" s="1" t="s">
        <v>15</v>
      </c>
      <c r="H1780" s="1" t="str">
        <f>"1"</f>
        <v>1</v>
      </c>
      <c r="I1780" s="3" t="str">
        <f>"283"</f>
        <v>283</v>
      </c>
      <c r="J1780" s="4">
        <v>46058</v>
      </c>
      <c r="K1780" s="1" t="s">
        <v>3918</v>
      </c>
    </row>
    <row r="1781" spans="1:11" x14ac:dyDescent="0.35">
      <c r="A1781" s="1" t="s">
        <v>3822</v>
      </c>
      <c r="B1781" s="1" t="s">
        <v>3830</v>
      </c>
      <c r="C1781" s="1" t="s">
        <v>3919</v>
      </c>
      <c r="D1781" s="1" t="str">
        <f t="shared" si="81"/>
        <v>5120</v>
      </c>
      <c r="E1781" s="1" t="s">
        <v>542</v>
      </c>
      <c r="F1781" s="1" t="s">
        <v>543</v>
      </c>
      <c r="G1781" s="1" t="s">
        <v>15</v>
      </c>
      <c r="H1781" s="1" t="str">
        <f>"2"</f>
        <v>2</v>
      </c>
      <c r="I1781" s="3">
        <v>15.91</v>
      </c>
      <c r="J1781" s="4">
        <v>46058</v>
      </c>
      <c r="K1781" s="1" t="s">
        <v>3918</v>
      </c>
    </row>
    <row r="1782" spans="1:11" x14ac:dyDescent="0.35">
      <c r="A1782" s="1" t="s">
        <v>3822</v>
      </c>
      <c r="B1782" s="1" t="s">
        <v>3830</v>
      </c>
      <c r="C1782" s="1" t="s">
        <v>3920</v>
      </c>
      <c r="D1782" s="1" t="str">
        <f t="shared" si="81"/>
        <v>5120</v>
      </c>
      <c r="E1782" s="1" t="s">
        <v>542</v>
      </c>
      <c r="F1782" s="1" t="s">
        <v>543</v>
      </c>
      <c r="G1782" s="1" t="s">
        <v>15</v>
      </c>
      <c r="H1782" s="1" t="str">
        <f>"2"</f>
        <v>2</v>
      </c>
      <c r="I1782" s="3">
        <v>21.81</v>
      </c>
      <c r="J1782" s="4">
        <v>46058</v>
      </c>
      <c r="K1782" s="1" t="s">
        <v>3918</v>
      </c>
    </row>
    <row r="1783" spans="1:11" x14ac:dyDescent="0.35">
      <c r="A1783" s="1" t="s">
        <v>3822</v>
      </c>
      <c r="B1783" s="1" t="s">
        <v>3830</v>
      </c>
      <c r="C1783" s="1" t="s">
        <v>3921</v>
      </c>
      <c r="D1783" s="1" t="str">
        <f t="shared" si="81"/>
        <v>5120</v>
      </c>
      <c r="E1783" s="1" t="str">
        <f>"002772321"</f>
        <v>002772321</v>
      </c>
      <c r="F1783" s="1" t="s">
        <v>522</v>
      </c>
      <c r="G1783" s="1" t="s">
        <v>15</v>
      </c>
      <c r="H1783" s="1" t="str">
        <f>"2"</f>
        <v>2</v>
      </c>
      <c r="I1783" s="3">
        <v>62.19</v>
      </c>
      <c r="J1783" s="4">
        <v>46058</v>
      </c>
      <c r="K1783" s="1" t="s">
        <v>3922</v>
      </c>
    </row>
    <row r="1784" spans="1:11" x14ac:dyDescent="0.35">
      <c r="A1784" s="1" t="s">
        <v>3822</v>
      </c>
      <c r="B1784" s="1" t="s">
        <v>3830</v>
      </c>
      <c r="C1784" s="1" t="s">
        <v>3923</v>
      </c>
      <c r="D1784" s="1" t="str">
        <f t="shared" si="81"/>
        <v>5120</v>
      </c>
      <c r="E1784" s="1" t="s">
        <v>537</v>
      </c>
      <c r="F1784" s="1" t="s">
        <v>538</v>
      </c>
      <c r="G1784" s="1" t="s">
        <v>15</v>
      </c>
      <c r="H1784" s="1" t="str">
        <f>"2"</f>
        <v>2</v>
      </c>
      <c r="I1784" s="3">
        <v>26.94</v>
      </c>
      <c r="J1784" s="4">
        <v>46058</v>
      </c>
      <c r="K1784" s="1" t="s">
        <v>3922</v>
      </c>
    </row>
    <row r="1785" spans="1:11" x14ac:dyDescent="0.35">
      <c r="A1785" s="1" t="s">
        <v>3822</v>
      </c>
      <c r="B1785" s="1" t="s">
        <v>3830</v>
      </c>
      <c r="C1785" s="1" t="s">
        <v>3924</v>
      </c>
      <c r="D1785" s="1" t="str">
        <f t="shared" si="81"/>
        <v>5120</v>
      </c>
      <c r="E1785" s="1" t="s">
        <v>537</v>
      </c>
      <c r="F1785" s="1" t="s">
        <v>538</v>
      </c>
      <c r="G1785" s="1" t="s">
        <v>15</v>
      </c>
      <c r="H1785" s="1" t="str">
        <f>"2"</f>
        <v>2</v>
      </c>
      <c r="I1785" s="3">
        <v>8.4</v>
      </c>
      <c r="J1785" s="4">
        <v>46058</v>
      </c>
      <c r="K1785" s="1" t="s">
        <v>3922</v>
      </c>
    </row>
    <row r="1786" spans="1:11" x14ac:dyDescent="0.35">
      <c r="A1786" s="1" t="s">
        <v>3822</v>
      </c>
      <c r="B1786" s="1" t="s">
        <v>3830</v>
      </c>
      <c r="C1786" s="1" t="s">
        <v>3925</v>
      </c>
      <c r="D1786" s="1" t="str">
        <f t="shared" si="81"/>
        <v>5120</v>
      </c>
      <c r="E1786" s="1" t="s">
        <v>537</v>
      </c>
      <c r="F1786" s="1" t="s">
        <v>538</v>
      </c>
      <c r="G1786" s="1" t="s">
        <v>15</v>
      </c>
      <c r="H1786" s="1" t="str">
        <f>"1"</f>
        <v>1</v>
      </c>
      <c r="I1786" s="3">
        <v>35.18</v>
      </c>
      <c r="J1786" s="4">
        <v>46058</v>
      </c>
      <c r="K1786" s="1" t="s">
        <v>3922</v>
      </c>
    </row>
    <row r="1787" spans="1:11" x14ac:dyDescent="0.35">
      <c r="A1787" s="1" t="s">
        <v>3822</v>
      </c>
      <c r="B1787" s="1" t="s">
        <v>3830</v>
      </c>
      <c r="C1787" s="1" t="s">
        <v>3926</v>
      </c>
      <c r="D1787" s="1" t="str">
        <f t="shared" si="81"/>
        <v>5120</v>
      </c>
      <c r="E1787" s="1" t="s">
        <v>537</v>
      </c>
      <c r="F1787" s="1" t="s">
        <v>538</v>
      </c>
      <c r="G1787" s="1" t="s">
        <v>15</v>
      </c>
      <c r="H1787" s="1" t="str">
        <f t="shared" ref="H1787:H1795" si="84">"2"</f>
        <v>2</v>
      </c>
      <c r="I1787" s="3">
        <v>311.64</v>
      </c>
      <c r="J1787" s="4">
        <v>46058</v>
      </c>
      <c r="K1787" s="1" t="s">
        <v>3922</v>
      </c>
    </row>
    <row r="1788" spans="1:11" x14ac:dyDescent="0.35">
      <c r="A1788" s="1" t="s">
        <v>3822</v>
      </c>
      <c r="B1788" s="1" t="s">
        <v>3830</v>
      </c>
      <c r="C1788" s="1" t="s">
        <v>3927</v>
      </c>
      <c r="D1788" s="1" t="str">
        <f t="shared" si="81"/>
        <v>5120</v>
      </c>
      <c r="E1788" s="1" t="s">
        <v>537</v>
      </c>
      <c r="F1788" s="1" t="s">
        <v>538</v>
      </c>
      <c r="G1788" s="1" t="s">
        <v>15</v>
      </c>
      <c r="H1788" s="1" t="str">
        <f t="shared" si="84"/>
        <v>2</v>
      </c>
      <c r="I1788" s="3">
        <v>98.07</v>
      </c>
      <c r="J1788" s="4">
        <v>46058</v>
      </c>
      <c r="K1788" s="1" t="s">
        <v>3922</v>
      </c>
    </row>
    <row r="1789" spans="1:11" x14ac:dyDescent="0.35">
      <c r="A1789" s="1" t="s">
        <v>3822</v>
      </c>
      <c r="B1789" s="1" t="s">
        <v>3830</v>
      </c>
      <c r="C1789" s="1" t="s">
        <v>3928</v>
      </c>
      <c r="D1789" s="1" t="str">
        <f t="shared" si="81"/>
        <v>5120</v>
      </c>
      <c r="E1789" s="1" t="str">
        <f>"001848676"</f>
        <v>001848676</v>
      </c>
      <c r="F1789" s="1" t="s">
        <v>3929</v>
      </c>
      <c r="G1789" s="1" t="s">
        <v>15</v>
      </c>
      <c r="H1789" s="1" t="str">
        <f t="shared" si="84"/>
        <v>2</v>
      </c>
      <c r="I1789" s="3">
        <v>60.23</v>
      </c>
      <c r="J1789" s="4">
        <v>46058</v>
      </c>
      <c r="K1789" s="1" t="s">
        <v>3922</v>
      </c>
    </row>
    <row r="1790" spans="1:11" x14ac:dyDescent="0.35">
      <c r="A1790" s="1" t="s">
        <v>3822</v>
      </c>
      <c r="B1790" s="1" t="s">
        <v>3830</v>
      </c>
      <c r="C1790" s="1" t="s">
        <v>3930</v>
      </c>
      <c r="D1790" s="1" t="str">
        <f t="shared" si="81"/>
        <v>5120</v>
      </c>
      <c r="E1790" s="1" t="s">
        <v>2085</v>
      </c>
      <c r="F1790" s="1" t="s">
        <v>2086</v>
      </c>
      <c r="G1790" s="1" t="s">
        <v>15</v>
      </c>
      <c r="H1790" s="1" t="str">
        <f t="shared" si="84"/>
        <v>2</v>
      </c>
      <c r="I1790" s="3">
        <v>14.07</v>
      </c>
      <c r="J1790" s="4">
        <v>46058</v>
      </c>
      <c r="K1790" s="1" t="s">
        <v>3896</v>
      </c>
    </row>
    <row r="1791" spans="1:11" x14ac:dyDescent="0.35">
      <c r="A1791" s="1" t="s">
        <v>3822</v>
      </c>
      <c r="B1791" s="1" t="s">
        <v>3830</v>
      </c>
      <c r="C1791" s="1" t="s">
        <v>3931</v>
      </c>
      <c r="D1791" s="1" t="str">
        <f t="shared" si="81"/>
        <v>5120</v>
      </c>
      <c r="E1791" s="1" t="s">
        <v>542</v>
      </c>
      <c r="F1791" s="1" t="s">
        <v>543</v>
      </c>
      <c r="G1791" s="1" t="s">
        <v>15</v>
      </c>
      <c r="H1791" s="1" t="str">
        <f t="shared" si="84"/>
        <v>2</v>
      </c>
      <c r="I1791" s="3">
        <v>11.16</v>
      </c>
      <c r="J1791" s="4">
        <v>46058</v>
      </c>
      <c r="K1791" s="1" t="s">
        <v>3886</v>
      </c>
    </row>
    <row r="1792" spans="1:11" x14ac:dyDescent="0.35">
      <c r="A1792" s="1" t="s">
        <v>3822</v>
      </c>
      <c r="B1792" s="1" t="s">
        <v>3830</v>
      </c>
      <c r="C1792" s="1" t="s">
        <v>3932</v>
      </c>
      <c r="D1792" s="1" t="str">
        <f t="shared" si="81"/>
        <v>5120</v>
      </c>
      <c r="E1792" s="1" t="str">
        <f>"014288309"</f>
        <v>014288309</v>
      </c>
      <c r="F1792" s="1" t="s">
        <v>3902</v>
      </c>
      <c r="G1792" s="1" t="s">
        <v>15</v>
      </c>
      <c r="H1792" s="1" t="str">
        <f t="shared" si="84"/>
        <v>2</v>
      </c>
      <c r="I1792" s="3">
        <v>33.44</v>
      </c>
      <c r="J1792" s="4">
        <v>46058</v>
      </c>
      <c r="K1792" s="1" t="s">
        <v>3922</v>
      </c>
    </row>
    <row r="1793" spans="1:11" x14ac:dyDescent="0.35">
      <c r="A1793" s="1" t="s">
        <v>3822</v>
      </c>
      <c r="B1793" s="1" t="s">
        <v>3830</v>
      </c>
      <c r="C1793" s="1" t="s">
        <v>3933</v>
      </c>
      <c r="D1793" s="1" t="str">
        <f t="shared" si="81"/>
        <v>5120</v>
      </c>
      <c r="E1793" s="1" t="str">
        <f>"002772695"</f>
        <v>002772695</v>
      </c>
      <c r="F1793" s="1" t="s">
        <v>522</v>
      </c>
      <c r="G1793" s="1" t="s">
        <v>15</v>
      </c>
      <c r="H1793" s="1" t="str">
        <f t="shared" si="84"/>
        <v>2</v>
      </c>
      <c r="I1793" s="3">
        <v>98.78</v>
      </c>
      <c r="J1793" s="4">
        <v>46058</v>
      </c>
      <c r="K1793" s="1" t="s">
        <v>3922</v>
      </c>
    </row>
    <row r="1794" spans="1:11" x14ac:dyDescent="0.35">
      <c r="A1794" s="1" t="s">
        <v>3822</v>
      </c>
      <c r="B1794" s="1" t="s">
        <v>3830</v>
      </c>
      <c r="C1794" s="1" t="s">
        <v>3938</v>
      </c>
      <c r="D1794" s="1" t="str">
        <f t="shared" si="81"/>
        <v>5120</v>
      </c>
      <c r="E1794" s="1" t="s">
        <v>542</v>
      </c>
      <c r="F1794" s="1" t="s">
        <v>543</v>
      </c>
      <c r="G1794" s="1" t="s">
        <v>15</v>
      </c>
      <c r="H1794" s="1" t="str">
        <f t="shared" si="84"/>
        <v>2</v>
      </c>
      <c r="I1794" s="3">
        <v>32.22</v>
      </c>
      <c r="J1794" s="4">
        <v>46058</v>
      </c>
      <c r="K1794" s="1" t="s">
        <v>3939</v>
      </c>
    </row>
    <row r="1795" spans="1:11" x14ac:dyDescent="0.35">
      <c r="A1795" s="1" t="s">
        <v>3822</v>
      </c>
      <c r="B1795" s="1" t="s">
        <v>3830</v>
      </c>
      <c r="C1795" s="1" t="s">
        <v>3942</v>
      </c>
      <c r="D1795" s="1" t="str">
        <f>"5130"</f>
        <v>5130</v>
      </c>
      <c r="E1795" s="1" t="s">
        <v>579</v>
      </c>
      <c r="F1795" s="1" t="s">
        <v>580</v>
      </c>
      <c r="G1795" s="1" t="s">
        <v>15</v>
      </c>
      <c r="H1795" s="1" t="str">
        <f t="shared" si="84"/>
        <v>2</v>
      </c>
      <c r="I1795" s="3">
        <v>1878.44</v>
      </c>
      <c r="J1795" s="4">
        <v>46058</v>
      </c>
      <c r="K1795" s="1" t="s">
        <v>3943</v>
      </c>
    </row>
    <row r="1796" spans="1:11" x14ac:dyDescent="0.35">
      <c r="A1796" s="1" t="s">
        <v>3822</v>
      </c>
      <c r="B1796" s="1" t="s">
        <v>3830</v>
      </c>
      <c r="C1796" s="1" t="s">
        <v>3944</v>
      </c>
      <c r="D1796" s="1" t="str">
        <f>"5130"</f>
        <v>5130</v>
      </c>
      <c r="E1796" s="1" t="s">
        <v>3945</v>
      </c>
      <c r="F1796" s="1" t="s">
        <v>3946</v>
      </c>
      <c r="G1796" s="1" t="s">
        <v>15</v>
      </c>
      <c r="H1796" s="1" t="str">
        <f>"1"</f>
        <v>1</v>
      </c>
      <c r="I1796" s="3">
        <v>810.46</v>
      </c>
      <c r="J1796" s="4">
        <v>46058</v>
      </c>
      <c r="K1796" s="1" t="s">
        <v>3947</v>
      </c>
    </row>
    <row r="1797" spans="1:11" x14ac:dyDescent="0.35">
      <c r="A1797" s="1" t="s">
        <v>3822</v>
      </c>
      <c r="B1797" s="1" t="s">
        <v>3830</v>
      </c>
      <c r="C1797" s="1" t="s">
        <v>3968</v>
      </c>
      <c r="D1797" s="1" t="str">
        <f>"5130"</f>
        <v>5130</v>
      </c>
      <c r="E1797" s="1" t="s">
        <v>579</v>
      </c>
      <c r="F1797" s="1" t="s">
        <v>580</v>
      </c>
      <c r="G1797" s="1" t="s">
        <v>15</v>
      </c>
      <c r="H1797" s="1" t="str">
        <f>"2"</f>
        <v>2</v>
      </c>
      <c r="I1797" s="3" t="str">
        <f>"38"</f>
        <v>38</v>
      </c>
      <c r="J1797" s="4">
        <v>46058</v>
      </c>
      <c r="K1797" s="1" t="s">
        <v>3943</v>
      </c>
    </row>
    <row r="1798" spans="1:11" x14ac:dyDescent="0.35">
      <c r="A1798" s="1" t="s">
        <v>3822</v>
      </c>
      <c r="B1798" s="1" t="s">
        <v>3830</v>
      </c>
      <c r="C1798" s="1" t="s">
        <v>3973</v>
      </c>
      <c r="D1798" s="1" t="str">
        <f>"5130"</f>
        <v>5130</v>
      </c>
      <c r="E1798" s="1" t="s">
        <v>3945</v>
      </c>
      <c r="F1798" s="1" t="s">
        <v>3946</v>
      </c>
      <c r="G1798" s="1" t="s">
        <v>15</v>
      </c>
      <c r="H1798" s="1" t="str">
        <f>"2"</f>
        <v>2</v>
      </c>
      <c r="I1798" s="3" t="str">
        <f>"150"</f>
        <v>150</v>
      </c>
      <c r="J1798" s="4">
        <v>46058</v>
      </c>
      <c r="K1798" s="1" t="s">
        <v>3974</v>
      </c>
    </row>
    <row r="1799" spans="1:11" x14ac:dyDescent="0.35">
      <c r="A1799" s="1" t="s">
        <v>3822</v>
      </c>
      <c r="B1799" s="1" t="s">
        <v>3830</v>
      </c>
      <c r="C1799" s="1" t="s">
        <v>3979</v>
      </c>
      <c r="D1799" s="1" t="str">
        <f>"5130"</f>
        <v>5130</v>
      </c>
      <c r="E1799" s="1" t="s">
        <v>579</v>
      </c>
      <c r="F1799" s="1" t="s">
        <v>580</v>
      </c>
      <c r="G1799" s="1" t="s">
        <v>15</v>
      </c>
      <c r="H1799" s="1" t="str">
        <f>"1"</f>
        <v>1</v>
      </c>
      <c r="I1799" s="3" t="str">
        <f>"2200"</f>
        <v>2200</v>
      </c>
      <c r="J1799" s="4">
        <v>46058</v>
      </c>
      <c r="K1799" s="1" t="s">
        <v>3980</v>
      </c>
    </row>
    <row r="1800" spans="1:11" x14ac:dyDescent="0.35">
      <c r="A1800" s="1" t="s">
        <v>3822</v>
      </c>
      <c r="B1800" s="1" t="s">
        <v>3830</v>
      </c>
      <c r="C1800" s="1" t="s">
        <v>3981</v>
      </c>
      <c r="D1800" s="1" t="str">
        <f>"5133"</f>
        <v>5133</v>
      </c>
      <c r="E1800" s="1" t="str">
        <f>"008654227"</f>
        <v>008654227</v>
      </c>
      <c r="F1800" s="1" t="s">
        <v>3982</v>
      </c>
      <c r="G1800" s="1" t="s">
        <v>15</v>
      </c>
      <c r="H1800" s="1" t="str">
        <f t="shared" ref="H1800:H1805" si="85">"2"</f>
        <v>2</v>
      </c>
      <c r="I1800" s="3">
        <v>4.6500000000000004</v>
      </c>
      <c r="J1800" s="4">
        <v>46058</v>
      </c>
      <c r="K1800" s="1" t="s">
        <v>3983</v>
      </c>
    </row>
    <row r="1801" spans="1:11" x14ac:dyDescent="0.35">
      <c r="A1801" s="1" t="s">
        <v>3822</v>
      </c>
      <c r="B1801" s="1" t="s">
        <v>3830</v>
      </c>
      <c r="C1801" s="1" t="s">
        <v>3984</v>
      </c>
      <c r="D1801" s="1" t="str">
        <f>"5133"</f>
        <v>5133</v>
      </c>
      <c r="E1801" s="1" t="str">
        <f>"008654228"</f>
        <v>008654228</v>
      </c>
      <c r="F1801" s="1" t="s">
        <v>3982</v>
      </c>
      <c r="G1801" s="1" t="s">
        <v>15</v>
      </c>
      <c r="H1801" s="1" t="str">
        <f t="shared" si="85"/>
        <v>2</v>
      </c>
      <c r="I1801" s="3">
        <v>6.64</v>
      </c>
      <c r="J1801" s="4">
        <v>46058</v>
      </c>
      <c r="K1801" s="1" t="s">
        <v>3983</v>
      </c>
    </row>
    <row r="1802" spans="1:11" x14ac:dyDescent="0.35">
      <c r="A1802" s="1" t="s">
        <v>3822</v>
      </c>
      <c r="B1802" s="1" t="s">
        <v>3830</v>
      </c>
      <c r="C1802" s="1" t="s">
        <v>3985</v>
      </c>
      <c r="D1802" s="1" t="str">
        <f>"5133"</f>
        <v>5133</v>
      </c>
      <c r="E1802" s="1" t="str">
        <f>"008654229"</f>
        <v>008654229</v>
      </c>
      <c r="F1802" s="1" t="s">
        <v>3982</v>
      </c>
      <c r="G1802" s="1" t="s">
        <v>15</v>
      </c>
      <c r="H1802" s="1" t="str">
        <f t="shared" si="85"/>
        <v>2</v>
      </c>
      <c r="I1802" s="3">
        <v>4.7300000000000004</v>
      </c>
      <c r="J1802" s="4">
        <v>46058</v>
      </c>
      <c r="K1802" s="1" t="s">
        <v>3983</v>
      </c>
    </row>
    <row r="1803" spans="1:11" x14ac:dyDescent="0.35">
      <c r="A1803" s="1" t="s">
        <v>3822</v>
      </c>
      <c r="B1803" s="1" t="s">
        <v>3830</v>
      </c>
      <c r="C1803" s="1" t="s">
        <v>3986</v>
      </c>
      <c r="D1803" s="1" t="str">
        <f>"5133"</f>
        <v>5133</v>
      </c>
      <c r="E1803" s="1" t="s">
        <v>588</v>
      </c>
      <c r="F1803" s="1" t="s">
        <v>589</v>
      </c>
      <c r="G1803" s="1" t="s">
        <v>15</v>
      </c>
      <c r="H1803" s="1" t="str">
        <f t="shared" si="85"/>
        <v>2</v>
      </c>
      <c r="I1803" s="3" t="str">
        <f>"700"</f>
        <v>700</v>
      </c>
      <c r="J1803" s="4">
        <v>46058</v>
      </c>
      <c r="K1803" s="1" t="s">
        <v>3987</v>
      </c>
    </row>
    <row r="1804" spans="1:11" x14ac:dyDescent="0.35">
      <c r="A1804" s="1" t="s">
        <v>3822</v>
      </c>
      <c r="B1804" s="1" t="s">
        <v>3830</v>
      </c>
      <c r="C1804" s="1" t="s">
        <v>3988</v>
      </c>
      <c r="D1804" s="1" t="str">
        <f>"5133"</f>
        <v>5133</v>
      </c>
      <c r="E1804" s="1" t="str">
        <f>"002281325"</f>
        <v>002281325</v>
      </c>
      <c r="F1804" s="1" t="s">
        <v>3989</v>
      </c>
      <c r="G1804" s="1" t="s">
        <v>15</v>
      </c>
      <c r="H1804" s="1" t="str">
        <f t="shared" si="85"/>
        <v>2</v>
      </c>
      <c r="I1804" s="3">
        <v>28.85</v>
      </c>
      <c r="J1804" s="4">
        <v>46058</v>
      </c>
      <c r="K1804" s="1" t="s">
        <v>3990</v>
      </c>
    </row>
    <row r="1805" spans="1:11" x14ac:dyDescent="0.35">
      <c r="A1805" s="1" t="s">
        <v>3822</v>
      </c>
      <c r="B1805" s="1" t="s">
        <v>3830</v>
      </c>
      <c r="C1805" s="1" t="s">
        <v>4003</v>
      </c>
      <c r="D1805" s="1" t="str">
        <f>"5180"</f>
        <v>5180</v>
      </c>
      <c r="E1805" s="1" t="str">
        <f>"007853895"</f>
        <v>007853895</v>
      </c>
      <c r="F1805" s="1" t="s">
        <v>4004</v>
      </c>
      <c r="G1805" s="1" t="s">
        <v>168</v>
      </c>
      <c r="H1805" s="1" t="str">
        <f t="shared" si="85"/>
        <v>2</v>
      </c>
      <c r="I1805" s="3">
        <v>1040.31</v>
      </c>
      <c r="J1805" s="4">
        <v>46058</v>
      </c>
      <c r="K1805" s="1" t="s">
        <v>4005</v>
      </c>
    </row>
    <row r="1806" spans="1:11" x14ac:dyDescent="0.35">
      <c r="A1806" s="1" t="s">
        <v>3822</v>
      </c>
      <c r="B1806" s="1" t="s">
        <v>3830</v>
      </c>
      <c r="C1806" s="1" t="s">
        <v>4006</v>
      </c>
      <c r="D1806" s="1" t="str">
        <f>"5180"</f>
        <v>5180</v>
      </c>
      <c r="E1806" s="1" t="str">
        <f>"015709246"</f>
        <v>015709246</v>
      </c>
      <c r="F1806" s="1" t="s">
        <v>274</v>
      </c>
      <c r="G1806" s="1" t="s">
        <v>168</v>
      </c>
      <c r="H1806" s="1" t="str">
        <f>"1"</f>
        <v>1</v>
      </c>
      <c r="I1806" s="3" t="str">
        <f>"8000"</f>
        <v>8000</v>
      </c>
      <c r="J1806" s="4">
        <v>46058</v>
      </c>
      <c r="K1806" s="1" t="s">
        <v>4007</v>
      </c>
    </row>
    <row r="1807" spans="1:11" x14ac:dyDescent="0.35">
      <c r="A1807" s="1" t="s">
        <v>3822</v>
      </c>
      <c r="B1807" s="1" t="s">
        <v>4093</v>
      </c>
      <c r="C1807" s="1" t="s">
        <v>4094</v>
      </c>
      <c r="D1807" s="1" t="str">
        <f>"2530"</f>
        <v>2530</v>
      </c>
      <c r="E1807" s="1" t="str">
        <f>"001046497"</f>
        <v>001046497</v>
      </c>
      <c r="F1807" s="1" t="s">
        <v>3840</v>
      </c>
      <c r="G1807" s="1" t="s">
        <v>15</v>
      </c>
      <c r="H1807" s="1" t="str">
        <f>"8"</f>
        <v>8</v>
      </c>
      <c r="I1807" s="3">
        <v>250.47</v>
      </c>
      <c r="J1807" s="4">
        <v>46058</v>
      </c>
      <c r="K1807" s="1" t="s">
        <v>4095</v>
      </c>
    </row>
    <row r="1808" spans="1:11" x14ac:dyDescent="0.35">
      <c r="A1808" s="1" t="s">
        <v>3822</v>
      </c>
      <c r="B1808" s="1" t="s">
        <v>4093</v>
      </c>
      <c r="C1808" s="1" t="s">
        <v>4111</v>
      </c>
      <c r="D1808" s="1" t="str">
        <f>"5120"</f>
        <v>5120</v>
      </c>
      <c r="E1808" s="1" t="str">
        <f>"008117752"</f>
        <v>008117752</v>
      </c>
      <c r="F1808" s="1" t="s">
        <v>2762</v>
      </c>
      <c r="G1808" s="1" t="s">
        <v>15</v>
      </c>
      <c r="H1808" s="1" t="str">
        <f>"4"</f>
        <v>4</v>
      </c>
      <c r="I1808" s="3">
        <v>311.02999999999997</v>
      </c>
      <c r="J1808" s="4">
        <v>46058</v>
      </c>
      <c r="K1808" s="1" t="s">
        <v>4112</v>
      </c>
    </row>
    <row r="1809" spans="1:11" x14ac:dyDescent="0.35">
      <c r="A1809" s="1" t="s">
        <v>3822</v>
      </c>
      <c r="B1809" s="1" t="s">
        <v>4093</v>
      </c>
      <c r="C1809" s="1" t="s">
        <v>4120</v>
      </c>
      <c r="D1809" s="1" t="str">
        <f>"6685"</f>
        <v>6685</v>
      </c>
      <c r="E1809" s="1" t="str">
        <f>"014257336"</f>
        <v>014257336</v>
      </c>
      <c r="F1809" s="1" t="s">
        <v>4121</v>
      </c>
      <c r="G1809" s="1" t="s">
        <v>15</v>
      </c>
      <c r="H1809" s="1" t="str">
        <f>"4"</f>
        <v>4</v>
      </c>
      <c r="I1809" s="3">
        <v>83.7</v>
      </c>
      <c r="J1809" s="4">
        <v>46058</v>
      </c>
      <c r="K1809" s="1" t="s">
        <v>4122</v>
      </c>
    </row>
    <row r="1810" spans="1:11" x14ac:dyDescent="0.35">
      <c r="A1810" s="1" t="s">
        <v>3822</v>
      </c>
      <c r="B1810" s="1" t="s">
        <v>4093</v>
      </c>
      <c r="C1810" s="1" t="s">
        <v>4123</v>
      </c>
      <c r="D1810" s="1" t="str">
        <f>"7730"</f>
        <v>7730</v>
      </c>
      <c r="E1810" s="1" t="s">
        <v>1750</v>
      </c>
      <c r="F1810" s="1" t="s">
        <v>1751</v>
      </c>
      <c r="G1810" s="1" t="s">
        <v>15</v>
      </c>
      <c r="H1810" s="1" t="str">
        <f>"1"</f>
        <v>1</v>
      </c>
      <c r="I1810" s="3" t="str">
        <f>"971"</f>
        <v>971</v>
      </c>
      <c r="J1810" s="4">
        <v>46058</v>
      </c>
      <c r="K1810" s="1" t="s">
        <v>4124</v>
      </c>
    </row>
    <row r="1811" spans="1:11" x14ac:dyDescent="0.35">
      <c r="A1811" s="1" t="s">
        <v>3822</v>
      </c>
      <c r="B1811" s="1" t="s">
        <v>4093</v>
      </c>
      <c r="C1811" s="1" t="s">
        <v>4125</v>
      </c>
      <c r="D1811" s="1" t="str">
        <f>"8115"</f>
        <v>8115</v>
      </c>
      <c r="E1811" s="1" t="s">
        <v>412</v>
      </c>
      <c r="F1811" s="1" t="s">
        <v>413</v>
      </c>
      <c r="G1811" s="1" t="s">
        <v>15</v>
      </c>
      <c r="H1811" s="1" t="str">
        <f>"6"</f>
        <v>6</v>
      </c>
      <c r="I1811" s="3">
        <v>489.5</v>
      </c>
      <c r="J1811" s="4">
        <v>46058</v>
      </c>
      <c r="K1811" s="1" t="s">
        <v>4126</v>
      </c>
    </row>
    <row r="1812" spans="1:11" x14ac:dyDescent="0.35">
      <c r="A1812" s="1" t="s">
        <v>3822</v>
      </c>
      <c r="B1812" s="1" t="s">
        <v>4093</v>
      </c>
      <c r="C1812" s="1" t="s">
        <v>4130</v>
      </c>
      <c r="D1812" s="1" t="str">
        <f>"8465"</f>
        <v>8465</v>
      </c>
      <c r="E1812" s="1" t="str">
        <f>"015938664"</f>
        <v>015938664</v>
      </c>
      <c r="F1812" s="1" t="s">
        <v>1642</v>
      </c>
      <c r="G1812" s="1" t="s">
        <v>15</v>
      </c>
      <c r="H1812" s="1" t="str">
        <f>"3"</f>
        <v>3</v>
      </c>
      <c r="I1812" s="3">
        <v>75.17</v>
      </c>
      <c r="J1812" s="4">
        <v>46058</v>
      </c>
      <c r="K1812" s="1" t="s">
        <v>4131</v>
      </c>
    </row>
    <row r="1813" spans="1:11" x14ac:dyDescent="0.35">
      <c r="A1813" s="1" t="s">
        <v>3822</v>
      </c>
      <c r="B1813" s="1" t="s">
        <v>4093</v>
      </c>
      <c r="C1813" s="1" t="s">
        <v>4132</v>
      </c>
      <c r="D1813" s="1" t="str">
        <f>"8465"</f>
        <v>8465</v>
      </c>
      <c r="E1813" s="1" t="str">
        <f>"016046541"</f>
        <v>016046541</v>
      </c>
      <c r="F1813" s="1" t="s">
        <v>52</v>
      </c>
      <c r="G1813" s="1" t="s">
        <v>15</v>
      </c>
      <c r="H1813" s="1" t="str">
        <f>"25"</f>
        <v>25</v>
      </c>
      <c r="I1813" s="3">
        <v>40.270000000000003</v>
      </c>
      <c r="J1813" s="4">
        <v>46058</v>
      </c>
      <c r="K1813" s="1" t="s">
        <v>4133</v>
      </c>
    </row>
    <row r="1814" spans="1:11" x14ac:dyDescent="0.35">
      <c r="A1814" s="1" t="s">
        <v>3822</v>
      </c>
      <c r="B1814" s="1" t="s">
        <v>3830</v>
      </c>
      <c r="C1814" s="1" t="s">
        <v>3889</v>
      </c>
      <c r="D1814" s="1" t="str">
        <f>"5120"</f>
        <v>5120</v>
      </c>
      <c r="E1814" s="1" t="s">
        <v>2085</v>
      </c>
      <c r="F1814" s="1" t="s">
        <v>2086</v>
      </c>
      <c r="G1814" s="1" t="s">
        <v>15</v>
      </c>
      <c r="H1814" s="1" t="str">
        <f>"2"</f>
        <v>2</v>
      </c>
      <c r="I1814" s="3" t="str">
        <f>"152"</f>
        <v>152</v>
      </c>
      <c r="J1814" s="4">
        <v>46059</v>
      </c>
      <c r="K1814" s="1" t="s">
        <v>3867</v>
      </c>
    </row>
    <row r="1815" spans="1:11" x14ac:dyDescent="0.35">
      <c r="A1815" s="1" t="s">
        <v>3822</v>
      </c>
      <c r="B1815" s="1" t="s">
        <v>4076</v>
      </c>
      <c r="C1815" s="1" t="s">
        <v>4086</v>
      </c>
      <c r="D1815" s="1" t="str">
        <f>"8145"</f>
        <v>8145</v>
      </c>
      <c r="E1815" s="1" t="s">
        <v>815</v>
      </c>
      <c r="F1815" s="1" t="s">
        <v>816</v>
      </c>
      <c r="G1815" s="1" t="s">
        <v>15</v>
      </c>
      <c r="H1815" s="1" t="str">
        <f>"1"</f>
        <v>1</v>
      </c>
      <c r="I1815" s="3" t="str">
        <f>"300"</f>
        <v>300</v>
      </c>
      <c r="J1815" s="4">
        <v>46059</v>
      </c>
      <c r="K1815" s="1" t="s">
        <v>4087</v>
      </c>
    </row>
    <row r="1816" spans="1:11" x14ac:dyDescent="0.35">
      <c r="A1816" s="1" t="s">
        <v>3822</v>
      </c>
      <c r="B1816" s="1" t="s">
        <v>4134</v>
      </c>
      <c r="C1816" s="1" t="s">
        <v>4135</v>
      </c>
      <c r="D1816" s="1" t="str">
        <f>"5830"</f>
        <v>5830</v>
      </c>
      <c r="E1816" s="1" t="str">
        <f>"016822934"</f>
        <v>016822934</v>
      </c>
      <c r="F1816" s="1" t="s">
        <v>4136</v>
      </c>
      <c r="G1816" s="1" t="s">
        <v>15</v>
      </c>
      <c r="H1816" s="1" t="str">
        <f>"1"</f>
        <v>1</v>
      </c>
      <c r="I1816" s="3">
        <v>35736.33</v>
      </c>
      <c r="J1816" s="4">
        <v>46059</v>
      </c>
      <c r="K1816" s="1" t="s">
        <v>4137</v>
      </c>
    </row>
    <row r="1817" spans="1:11" x14ac:dyDescent="0.35">
      <c r="A1817" s="1" t="s">
        <v>3822</v>
      </c>
      <c r="B1817" s="1" t="s">
        <v>4202</v>
      </c>
      <c r="C1817" s="1" t="s">
        <v>4230</v>
      </c>
      <c r="D1817" s="1" t="str">
        <f>"7360"</f>
        <v>7360</v>
      </c>
      <c r="E1817" s="1" t="str">
        <f>"014808487"</f>
        <v>014808487</v>
      </c>
      <c r="F1817" s="1" t="s">
        <v>4231</v>
      </c>
      <c r="G1817" s="1" t="s">
        <v>15</v>
      </c>
      <c r="H1817" s="1" t="str">
        <f>"1"</f>
        <v>1</v>
      </c>
      <c r="I1817" s="3">
        <v>912.91</v>
      </c>
      <c r="J1817" s="4">
        <v>46059</v>
      </c>
      <c r="K1817" s="1" t="s">
        <v>4232</v>
      </c>
    </row>
    <row r="1818" spans="1:11" x14ac:dyDescent="0.35">
      <c r="A1818" s="1" t="s">
        <v>3822</v>
      </c>
      <c r="B1818" s="1" t="s">
        <v>4076</v>
      </c>
      <c r="C1818" s="1" t="s">
        <v>4088</v>
      </c>
      <c r="D1818" s="1" t="str">
        <f>"8465"</f>
        <v>8465</v>
      </c>
      <c r="E1818" s="1" t="str">
        <f>"015800981"</f>
        <v>015800981</v>
      </c>
      <c r="F1818" s="1" t="s">
        <v>343</v>
      </c>
      <c r="G1818" s="1" t="s">
        <v>15</v>
      </c>
      <c r="H1818" s="1" t="str">
        <f>"7"</f>
        <v>7</v>
      </c>
      <c r="I1818" s="3">
        <v>75.150000000000006</v>
      </c>
      <c r="J1818" s="4">
        <v>46063</v>
      </c>
      <c r="K1818" s="1" t="s">
        <v>4089</v>
      </c>
    </row>
    <row r="1819" spans="1:11" x14ac:dyDescent="0.35">
      <c r="A1819" s="1" t="s">
        <v>3822</v>
      </c>
      <c r="B1819" s="1" t="s">
        <v>4138</v>
      </c>
      <c r="C1819" s="1" t="s">
        <v>4139</v>
      </c>
      <c r="D1819" s="1" t="str">
        <f>"1005"</f>
        <v>1005</v>
      </c>
      <c r="E1819" s="1" t="str">
        <f>"016976892"</f>
        <v>016976892</v>
      </c>
      <c r="F1819" s="1" t="s">
        <v>1886</v>
      </c>
      <c r="G1819" s="1" t="s">
        <v>15</v>
      </c>
      <c r="H1819" s="1" t="str">
        <f>"3"</f>
        <v>3</v>
      </c>
      <c r="I1819" s="3" t="str">
        <f>"1804"</f>
        <v>1804</v>
      </c>
      <c r="J1819" s="4">
        <v>46063</v>
      </c>
      <c r="K1819" s="1" t="s">
        <v>4140</v>
      </c>
    </row>
    <row r="1820" spans="1:11" x14ac:dyDescent="0.35">
      <c r="A1820" s="1" t="s">
        <v>3822</v>
      </c>
      <c r="B1820" s="1" t="s">
        <v>4202</v>
      </c>
      <c r="C1820" s="1" t="s">
        <v>4211</v>
      </c>
      <c r="D1820" s="1" t="str">
        <f>"3470"</f>
        <v>3470</v>
      </c>
      <c r="E1820" s="1" t="str">
        <f>"014549877"</f>
        <v>014549877</v>
      </c>
      <c r="F1820" s="1" t="s">
        <v>4212</v>
      </c>
      <c r="G1820" s="1" t="s">
        <v>15</v>
      </c>
      <c r="H1820" s="1" t="str">
        <f>"1"</f>
        <v>1</v>
      </c>
      <c r="I1820" s="3" t="str">
        <f>"35000"</f>
        <v>35000</v>
      </c>
      <c r="J1820" s="4">
        <v>46063</v>
      </c>
      <c r="K1820" s="1" t="s">
        <v>4213</v>
      </c>
    </row>
    <row r="1821" spans="1:11" x14ac:dyDescent="0.35">
      <c r="A1821" s="1" t="s">
        <v>3822</v>
      </c>
      <c r="B1821" s="1" t="s">
        <v>3830</v>
      </c>
      <c r="C1821" s="1" t="s">
        <v>3975</v>
      </c>
      <c r="D1821" s="1" t="str">
        <f>"5130"</f>
        <v>5130</v>
      </c>
      <c r="E1821" s="1" t="s">
        <v>579</v>
      </c>
      <c r="F1821" s="1" t="s">
        <v>580</v>
      </c>
      <c r="G1821" s="1" t="s">
        <v>15</v>
      </c>
      <c r="H1821" s="1" t="str">
        <f>"2"</f>
        <v>2</v>
      </c>
      <c r="I1821" s="3">
        <v>103.92</v>
      </c>
      <c r="J1821" s="4">
        <v>46064</v>
      </c>
      <c r="K1821" s="1" t="s">
        <v>3976</v>
      </c>
    </row>
    <row r="1822" spans="1:11" x14ac:dyDescent="0.35">
      <c r="A1822" s="1" t="s">
        <v>3822</v>
      </c>
      <c r="B1822" s="1" t="s">
        <v>3830</v>
      </c>
      <c r="C1822" s="1" t="s">
        <v>3977</v>
      </c>
      <c r="D1822" s="1" t="str">
        <f>"5130"</f>
        <v>5130</v>
      </c>
      <c r="E1822" s="1" t="s">
        <v>579</v>
      </c>
      <c r="F1822" s="1" t="s">
        <v>580</v>
      </c>
      <c r="G1822" s="1" t="s">
        <v>15</v>
      </c>
      <c r="H1822" s="1" t="str">
        <f>"2"</f>
        <v>2</v>
      </c>
      <c r="I1822" s="3" t="str">
        <f>"203"</f>
        <v>203</v>
      </c>
      <c r="J1822" s="4">
        <v>46064</v>
      </c>
      <c r="K1822" s="1" t="s">
        <v>3978</v>
      </c>
    </row>
    <row r="1823" spans="1:11" x14ac:dyDescent="0.35">
      <c r="A1823" s="1" t="s">
        <v>3822</v>
      </c>
      <c r="B1823" s="1" t="s">
        <v>3830</v>
      </c>
      <c r="C1823" s="1" t="s">
        <v>3994</v>
      </c>
      <c r="D1823" s="1" t="str">
        <f>"5140"</f>
        <v>5140</v>
      </c>
      <c r="E1823" s="1" t="s">
        <v>3995</v>
      </c>
      <c r="F1823" s="1" t="s">
        <v>3996</v>
      </c>
      <c r="G1823" s="1" t="s">
        <v>15</v>
      </c>
      <c r="H1823" s="1" t="str">
        <f>"2"</f>
        <v>2</v>
      </c>
      <c r="I1823" s="3">
        <v>1413.55</v>
      </c>
      <c r="J1823" s="4">
        <v>46064</v>
      </c>
      <c r="K1823" s="1" t="s">
        <v>3997</v>
      </c>
    </row>
    <row r="1824" spans="1:11" x14ac:dyDescent="0.35">
      <c r="A1824" s="1" t="s">
        <v>3822</v>
      </c>
      <c r="B1824" s="1" t="s">
        <v>4202</v>
      </c>
      <c r="C1824" s="1" t="s">
        <v>4222</v>
      </c>
      <c r="D1824" s="1" t="str">
        <f>"5130"</f>
        <v>5130</v>
      </c>
      <c r="E1824" s="1" t="s">
        <v>579</v>
      </c>
      <c r="F1824" s="1" t="s">
        <v>580</v>
      </c>
      <c r="G1824" s="1" t="s">
        <v>15</v>
      </c>
      <c r="H1824" s="1" t="str">
        <f>"5"</f>
        <v>5</v>
      </c>
      <c r="I1824" s="3">
        <v>253.97</v>
      </c>
      <c r="J1824" s="4">
        <v>46064</v>
      </c>
      <c r="K1824" s="1" t="s">
        <v>4223</v>
      </c>
    </row>
    <row r="1825" spans="1:11" x14ac:dyDescent="0.35">
      <c r="A1825" s="1" t="s">
        <v>3822</v>
      </c>
      <c r="B1825" s="1" t="s">
        <v>4202</v>
      </c>
      <c r="C1825" s="1" t="s">
        <v>4206</v>
      </c>
      <c r="D1825" s="1" t="str">
        <f>"2340"</f>
        <v>2340</v>
      </c>
      <c r="E1825" s="1" t="str">
        <f>"015066222"</f>
        <v>015066222</v>
      </c>
      <c r="F1825" s="1" t="s">
        <v>3524</v>
      </c>
      <c r="G1825" s="1" t="s">
        <v>15</v>
      </c>
      <c r="H1825" s="1" t="str">
        <f>"1"</f>
        <v>1</v>
      </c>
      <c r="I1825" s="3" t="str">
        <f>"16104"</f>
        <v>16104</v>
      </c>
      <c r="J1825" s="4">
        <v>46065</v>
      </c>
      <c r="K1825" s="1" t="s">
        <v>4207</v>
      </c>
    </row>
    <row r="1826" spans="1:11" x14ac:dyDescent="0.35">
      <c r="A1826" s="1" t="s">
        <v>3822</v>
      </c>
      <c r="B1826" s="1" t="s">
        <v>4202</v>
      </c>
      <c r="C1826" s="1" t="s">
        <v>4208</v>
      </c>
      <c r="D1826" s="1" t="str">
        <f>"2815"</f>
        <v>2815</v>
      </c>
      <c r="E1826" s="1" t="str">
        <f>"015329535"</f>
        <v>015329535</v>
      </c>
      <c r="F1826" s="1" t="s">
        <v>4209</v>
      </c>
      <c r="G1826" s="1" t="s">
        <v>168</v>
      </c>
      <c r="H1826" s="1" t="str">
        <f>"4"</f>
        <v>4</v>
      </c>
      <c r="I1826" s="3">
        <v>1356.16</v>
      </c>
      <c r="J1826" s="4">
        <v>46070</v>
      </c>
      <c r="K1826" s="1" t="s">
        <v>4210</v>
      </c>
    </row>
    <row r="1827" spans="1:11" x14ac:dyDescent="0.35">
      <c r="A1827" s="1" t="s">
        <v>3822</v>
      </c>
      <c r="B1827" s="1" t="s">
        <v>4202</v>
      </c>
      <c r="C1827" s="1" t="s">
        <v>4218</v>
      </c>
      <c r="D1827" s="1" t="str">
        <f>"3750"</f>
        <v>3750</v>
      </c>
      <c r="E1827" s="1" t="s">
        <v>120</v>
      </c>
      <c r="F1827" s="1" t="s">
        <v>121</v>
      </c>
      <c r="G1827" s="1" t="s">
        <v>15</v>
      </c>
      <c r="H1827" s="1" t="str">
        <f>"1"</f>
        <v>1</v>
      </c>
      <c r="I1827" s="3" t="str">
        <f>"3000"</f>
        <v>3000</v>
      </c>
      <c r="J1827" s="4">
        <v>46070</v>
      </c>
      <c r="K1827" s="1" t="s">
        <v>4219</v>
      </c>
    </row>
    <row r="1828" spans="1:11" x14ac:dyDescent="0.35">
      <c r="A1828" s="1" t="s">
        <v>3822</v>
      </c>
      <c r="B1828" s="1" t="s">
        <v>4202</v>
      </c>
      <c r="C1828" s="1" t="s">
        <v>4220</v>
      </c>
      <c r="D1828" s="1" t="str">
        <f>"3990"</f>
        <v>3990</v>
      </c>
      <c r="E1828" s="1" t="str">
        <f>"013386022"</f>
        <v>013386022</v>
      </c>
      <c r="F1828" s="1" t="s">
        <v>739</v>
      </c>
      <c r="G1828" s="1" t="s">
        <v>726</v>
      </c>
      <c r="H1828" s="1" t="str">
        <f>"8"</f>
        <v>8</v>
      </c>
      <c r="I1828" s="3">
        <v>1200.26</v>
      </c>
      <c r="J1828" s="4">
        <v>46070</v>
      </c>
      <c r="K1828" s="1" t="s">
        <v>4221</v>
      </c>
    </row>
    <row r="1829" spans="1:11" x14ac:dyDescent="0.35">
      <c r="A1829" s="1" t="s">
        <v>3822</v>
      </c>
      <c r="B1829" s="1" t="s">
        <v>4202</v>
      </c>
      <c r="C1829" s="1" t="s">
        <v>4224</v>
      </c>
      <c r="D1829" s="1" t="str">
        <f>"5180"</f>
        <v>5180</v>
      </c>
      <c r="E1829" s="1" t="str">
        <f>"002932875"</f>
        <v>002932875</v>
      </c>
      <c r="F1829" s="1" t="s">
        <v>266</v>
      </c>
      <c r="G1829" s="1" t="s">
        <v>168</v>
      </c>
      <c r="H1829" s="1" t="str">
        <f>"2"</f>
        <v>2</v>
      </c>
      <c r="I1829" s="3" t="str">
        <f>"1251"</f>
        <v>1251</v>
      </c>
      <c r="J1829" s="4">
        <v>46070</v>
      </c>
      <c r="K1829" s="1" t="s">
        <v>4225</v>
      </c>
    </row>
    <row r="1830" spans="1:11" x14ac:dyDescent="0.35">
      <c r="A1830" s="1" t="s">
        <v>3822</v>
      </c>
      <c r="B1830" s="1" t="s">
        <v>4076</v>
      </c>
      <c r="C1830" s="1" t="s">
        <v>4077</v>
      </c>
      <c r="D1830" s="1" t="str">
        <f>"2805"</f>
        <v>2805</v>
      </c>
      <c r="E1830" s="1" t="str">
        <f>"016279819"</f>
        <v>016279819</v>
      </c>
      <c r="F1830" s="1" t="s">
        <v>1161</v>
      </c>
      <c r="G1830" s="1" t="s">
        <v>15</v>
      </c>
      <c r="H1830" s="1" t="str">
        <f t="shared" ref="H1830:H1836" si="86">"1"</f>
        <v>1</v>
      </c>
      <c r="I1830" s="3">
        <v>14518.47</v>
      </c>
      <c r="J1830" s="4">
        <v>46071</v>
      </c>
      <c r="K1830" s="1" t="s">
        <v>4078</v>
      </c>
    </row>
    <row r="1831" spans="1:11" x14ac:dyDescent="0.35">
      <c r="A1831" s="1" t="s">
        <v>3822</v>
      </c>
      <c r="B1831" s="1" t="s">
        <v>4076</v>
      </c>
      <c r="C1831" s="1" t="s">
        <v>4079</v>
      </c>
      <c r="D1831" s="1" t="str">
        <f>"2805"</f>
        <v>2805</v>
      </c>
      <c r="E1831" s="1" t="str">
        <f>"016279171"</f>
        <v>016279171</v>
      </c>
      <c r="F1831" s="1" t="s">
        <v>1158</v>
      </c>
      <c r="G1831" s="1" t="s">
        <v>15</v>
      </c>
      <c r="H1831" s="1" t="str">
        <f t="shared" si="86"/>
        <v>1</v>
      </c>
      <c r="I1831" s="3">
        <v>10256.290000000001</v>
      </c>
      <c r="J1831" s="4">
        <v>46071</v>
      </c>
      <c r="K1831" s="1" t="s">
        <v>4078</v>
      </c>
    </row>
    <row r="1832" spans="1:11" x14ac:dyDescent="0.35">
      <c r="A1832" s="1" t="s">
        <v>3822</v>
      </c>
      <c r="B1832" s="1" t="s">
        <v>4076</v>
      </c>
      <c r="C1832" s="1" t="s">
        <v>4080</v>
      </c>
      <c r="D1832" s="1" t="str">
        <f>"2805"</f>
        <v>2805</v>
      </c>
      <c r="E1832" s="1" t="str">
        <f>"016279819"</f>
        <v>016279819</v>
      </c>
      <c r="F1832" s="1" t="s">
        <v>1161</v>
      </c>
      <c r="G1832" s="1" t="s">
        <v>15</v>
      </c>
      <c r="H1832" s="1" t="str">
        <f t="shared" si="86"/>
        <v>1</v>
      </c>
      <c r="I1832" s="3">
        <v>14518.47</v>
      </c>
      <c r="J1832" s="4">
        <v>46071</v>
      </c>
      <c r="K1832" s="1" t="s">
        <v>4078</v>
      </c>
    </row>
    <row r="1833" spans="1:11" x14ac:dyDescent="0.35">
      <c r="A1833" s="1" t="s">
        <v>3822</v>
      </c>
      <c r="B1833" s="1" t="s">
        <v>4076</v>
      </c>
      <c r="C1833" s="1" t="s">
        <v>4081</v>
      </c>
      <c r="D1833" s="1" t="str">
        <f>"2805"</f>
        <v>2805</v>
      </c>
      <c r="E1833" s="1" t="str">
        <f>"016279819"</f>
        <v>016279819</v>
      </c>
      <c r="F1833" s="1" t="s">
        <v>1161</v>
      </c>
      <c r="G1833" s="1" t="s">
        <v>15</v>
      </c>
      <c r="H1833" s="1" t="str">
        <f t="shared" si="86"/>
        <v>1</v>
      </c>
      <c r="I1833" s="3">
        <v>14518.47</v>
      </c>
      <c r="J1833" s="4">
        <v>46071</v>
      </c>
      <c r="K1833" s="1" t="s">
        <v>4078</v>
      </c>
    </row>
    <row r="1834" spans="1:11" x14ac:dyDescent="0.35">
      <c r="A1834" s="1" t="s">
        <v>3822</v>
      </c>
      <c r="B1834" s="1" t="s">
        <v>4076</v>
      </c>
      <c r="C1834" s="1" t="s">
        <v>4082</v>
      </c>
      <c r="D1834" s="1" t="str">
        <f>"4240"</f>
        <v>4240</v>
      </c>
      <c r="E1834" s="1" t="s">
        <v>372</v>
      </c>
      <c r="F1834" s="1" t="s">
        <v>373</v>
      </c>
      <c r="G1834" s="1" t="s">
        <v>15</v>
      </c>
      <c r="H1834" s="1" t="str">
        <f t="shared" si="86"/>
        <v>1</v>
      </c>
      <c r="I1834" s="3" t="str">
        <f>"250"</f>
        <v>250</v>
      </c>
      <c r="J1834" s="4">
        <v>46071</v>
      </c>
      <c r="K1834" s="1" t="s">
        <v>4083</v>
      </c>
    </row>
    <row r="1835" spans="1:11" x14ac:dyDescent="0.35">
      <c r="A1835" s="1" t="s">
        <v>3822</v>
      </c>
      <c r="B1835" s="1" t="s">
        <v>4076</v>
      </c>
      <c r="C1835" s="1" t="s">
        <v>4084</v>
      </c>
      <c r="D1835" s="1" t="str">
        <f>"5140"</f>
        <v>5140</v>
      </c>
      <c r="E1835" s="1" t="s">
        <v>3995</v>
      </c>
      <c r="F1835" s="1" t="s">
        <v>3996</v>
      </c>
      <c r="G1835" s="1" t="s">
        <v>15</v>
      </c>
      <c r="H1835" s="1" t="str">
        <f t="shared" si="86"/>
        <v>1</v>
      </c>
      <c r="I1835" s="3" t="str">
        <f>"100"</f>
        <v>100</v>
      </c>
      <c r="J1835" s="4">
        <v>46071</v>
      </c>
      <c r="K1835" s="1" t="s">
        <v>4085</v>
      </c>
    </row>
    <row r="1836" spans="1:11" x14ac:dyDescent="0.35">
      <c r="A1836" s="1" t="s">
        <v>3822</v>
      </c>
      <c r="B1836" s="1" t="s">
        <v>4233</v>
      </c>
      <c r="C1836" s="1" t="s">
        <v>4243</v>
      </c>
      <c r="D1836" s="1" t="str">
        <f>"8115"</f>
        <v>8115</v>
      </c>
      <c r="E1836" s="1" t="str">
        <f>"001682275"</f>
        <v>001682275</v>
      </c>
      <c r="F1836" s="1" t="s">
        <v>431</v>
      </c>
      <c r="G1836" s="1" t="s">
        <v>15</v>
      </c>
      <c r="H1836" s="1" t="str">
        <f t="shared" si="86"/>
        <v>1</v>
      </c>
      <c r="I1836" s="3" t="str">
        <f>"1324"</f>
        <v>1324</v>
      </c>
      <c r="J1836" s="4">
        <v>46072</v>
      </c>
      <c r="K1836" s="1" t="s">
        <v>4244</v>
      </c>
    </row>
    <row r="1837" spans="1:11" x14ac:dyDescent="0.35">
      <c r="A1837" s="1" t="s">
        <v>3822</v>
      </c>
      <c r="B1837" s="1" t="s">
        <v>4040</v>
      </c>
      <c r="C1837" s="1" t="s">
        <v>4041</v>
      </c>
      <c r="D1837" s="1" t="str">
        <f>"7025"</f>
        <v>7025</v>
      </c>
      <c r="E1837" s="1" t="str">
        <f>"016003199"</f>
        <v>016003199</v>
      </c>
      <c r="F1837" s="1" t="s">
        <v>4042</v>
      </c>
      <c r="G1837" s="1" t="s">
        <v>15</v>
      </c>
      <c r="H1837" s="1" t="str">
        <f>"4"</f>
        <v>4</v>
      </c>
      <c r="I1837" s="3">
        <v>850.1</v>
      </c>
      <c r="J1837" s="4">
        <v>46078</v>
      </c>
      <c r="K1837" s="1" t="s">
        <v>4043</v>
      </c>
    </row>
    <row r="1838" spans="1:11" x14ac:dyDescent="0.35">
      <c r="A1838" s="1" t="s">
        <v>3822</v>
      </c>
      <c r="B1838" s="1" t="s">
        <v>4093</v>
      </c>
      <c r="C1838" s="1" t="s">
        <v>4096</v>
      </c>
      <c r="D1838" s="1" t="str">
        <f>"2540"</f>
        <v>2540</v>
      </c>
      <c r="E1838" s="1" t="str">
        <f>"014813593"</f>
        <v>014813593</v>
      </c>
      <c r="F1838" s="1" t="s">
        <v>891</v>
      </c>
      <c r="G1838" s="1" t="s">
        <v>15</v>
      </c>
      <c r="H1838" s="1" t="str">
        <f>"5"</f>
        <v>5</v>
      </c>
      <c r="I1838" s="3">
        <v>52.88</v>
      </c>
      <c r="J1838" s="4">
        <v>46079</v>
      </c>
      <c r="K1838" s="1" t="s">
        <v>4097</v>
      </c>
    </row>
    <row r="1839" spans="1:11" x14ac:dyDescent="0.35">
      <c r="A1839" s="1" t="s">
        <v>3822</v>
      </c>
      <c r="B1839" s="1" t="s">
        <v>4093</v>
      </c>
      <c r="C1839" s="1" t="s">
        <v>4117</v>
      </c>
      <c r="D1839" s="1" t="str">
        <f>"6650"</f>
        <v>6650</v>
      </c>
      <c r="E1839" s="1" t="str">
        <f>"016001080"</f>
        <v>016001080</v>
      </c>
      <c r="F1839" s="1" t="s">
        <v>4118</v>
      </c>
      <c r="G1839" s="1" t="s">
        <v>15</v>
      </c>
      <c r="H1839" s="1" t="str">
        <f>"2"</f>
        <v>2</v>
      </c>
      <c r="I1839" s="3">
        <v>49479.25</v>
      </c>
      <c r="J1839" s="4">
        <v>46079</v>
      </c>
      <c r="K1839" s="1" t="s">
        <v>4119</v>
      </c>
    </row>
    <row r="1840" spans="1:11" x14ac:dyDescent="0.35">
      <c r="A1840" s="1" t="s">
        <v>3822</v>
      </c>
      <c r="B1840" s="1" t="s">
        <v>3823</v>
      </c>
      <c r="C1840" s="1" t="s">
        <v>3828</v>
      </c>
      <c r="D1840" s="1" t="str">
        <f>"6545"</f>
        <v>6545</v>
      </c>
      <c r="E1840" s="1" t="str">
        <f>"015841582"</f>
        <v>015841582</v>
      </c>
      <c r="F1840" s="1" t="s">
        <v>990</v>
      </c>
      <c r="G1840" s="1" t="s">
        <v>168</v>
      </c>
      <c r="H1840" s="1" t="str">
        <f>"4"</f>
        <v>4</v>
      </c>
      <c r="I1840" s="3">
        <v>103.24</v>
      </c>
      <c r="J1840" s="4">
        <v>46084</v>
      </c>
      <c r="K1840" s="1" t="s">
        <v>3829</v>
      </c>
    </row>
    <row r="1841" spans="1:11" x14ac:dyDescent="0.35">
      <c r="A1841" s="1" t="s">
        <v>3822</v>
      </c>
      <c r="B1841" s="1" t="s">
        <v>4197</v>
      </c>
      <c r="C1841" s="1" t="s">
        <v>4200</v>
      </c>
      <c r="D1841" s="1" t="str">
        <f>"6115"</f>
        <v>6115</v>
      </c>
      <c r="E1841" s="1" t="str">
        <f>"016122549"</f>
        <v>016122549</v>
      </c>
      <c r="F1841" s="1" t="s">
        <v>3659</v>
      </c>
      <c r="G1841" s="1" t="s">
        <v>15</v>
      </c>
      <c r="H1841" s="1" t="str">
        <f>"3"</f>
        <v>3</v>
      </c>
      <c r="I1841" s="3" t="str">
        <f>"7873"</f>
        <v>7873</v>
      </c>
      <c r="J1841" s="4">
        <v>46084</v>
      </c>
      <c r="K1841" s="1" t="s">
        <v>4201</v>
      </c>
    </row>
    <row r="1842" spans="1:11" x14ac:dyDescent="0.35">
      <c r="A1842" s="1" t="s">
        <v>3822</v>
      </c>
      <c r="B1842" s="1" t="s">
        <v>3830</v>
      </c>
      <c r="C1842" s="1" t="s">
        <v>3842</v>
      </c>
      <c r="D1842" s="1" t="str">
        <f>"2590"</f>
        <v>2590</v>
      </c>
      <c r="E1842" s="1" t="str">
        <f>"015303471"</f>
        <v>015303471</v>
      </c>
      <c r="F1842" s="1" t="s">
        <v>3843</v>
      </c>
      <c r="G1842" s="1" t="s">
        <v>168</v>
      </c>
      <c r="H1842" s="1" t="str">
        <f t="shared" ref="H1842:H1847" si="87">"1"</f>
        <v>1</v>
      </c>
      <c r="I1842" s="3">
        <v>450.89</v>
      </c>
      <c r="J1842" s="4">
        <v>46085</v>
      </c>
      <c r="K1842" s="1" t="s">
        <v>3844</v>
      </c>
    </row>
    <row r="1843" spans="1:11" x14ac:dyDescent="0.35">
      <c r="A1843" s="1" t="s">
        <v>3822</v>
      </c>
      <c r="B1843" s="1" t="s">
        <v>3830</v>
      </c>
      <c r="C1843" s="1" t="s">
        <v>3845</v>
      </c>
      <c r="D1843" s="1" t="str">
        <f>"3920"</f>
        <v>3920</v>
      </c>
      <c r="E1843" s="1" t="s">
        <v>3846</v>
      </c>
      <c r="F1843" s="1" t="s">
        <v>3847</v>
      </c>
      <c r="G1843" s="1" t="s">
        <v>15</v>
      </c>
      <c r="H1843" s="1" t="str">
        <f t="shared" si="87"/>
        <v>1</v>
      </c>
      <c r="I1843" s="3" t="str">
        <f>"9900"</f>
        <v>9900</v>
      </c>
      <c r="J1843" s="4">
        <v>46085</v>
      </c>
      <c r="K1843" s="1" t="s">
        <v>3848</v>
      </c>
    </row>
    <row r="1844" spans="1:11" x14ac:dyDescent="0.35">
      <c r="A1844" s="1" t="s">
        <v>3822</v>
      </c>
      <c r="B1844" s="1" t="s">
        <v>3830</v>
      </c>
      <c r="C1844" s="1" t="s">
        <v>3878</v>
      </c>
      <c r="D1844" s="1" t="str">
        <f>"5120"</f>
        <v>5120</v>
      </c>
      <c r="E1844" s="1" t="str">
        <f>"014296554"</f>
        <v>014296554</v>
      </c>
      <c r="F1844" s="1" t="s">
        <v>2796</v>
      </c>
      <c r="G1844" s="1" t="s">
        <v>257</v>
      </c>
      <c r="H1844" s="1" t="str">
        <f t="shared" si="87"/>
        <v>1</v>
      </c>
      <c r="I1844" s="3" t="str">
        <f>"345"</f>
        <v>345</v>
      </c>
      <c r="J1844" s="4">
        <v>46085</v>
      </c>
      <c r="K1844" s="1" t="s">
        <v>3879</v>
      </c>
    </row>
    <row r="1845" spans="1:11" x14ac:dyDescent="0.35">
      <c r="A1845" s="1" t="s">
        <v>3822</v>
      </c>
      <c r="B1845" s="1" t="s">
        <v>3830</v>
      </c>
      <c r="C1845" s="1" t="s">
        <v>4010</v>
      </c>
      <c r="D1845" s="1" t="str">
        <f>"6115"</f>
        <v>6115</v>
      </c>
      <c r="E1845" s="1" t="s">
        <v>157</v>
      </c>
      <c r="F1845" s="1" t="s">
        <v>158</v>
      </c>
      <c r="G1845" s="1" t="s">
        <v>15</v>
      </c>
      <c r="H1845" s="1" t="str">
        <f t="shared" si="87"/>
        <v>1</v>
      </c>
      <c r="I1845" s="3" t="str">
        <f>"6125"</f>
        <v>6125</v>
      </c>
      <c r="J1845" s="4">
        <v>46085</v>
      </c>
      <c r="K1845" s="1" t="s">
        <v>4011</v>
      </c>
    </row>
    <row r="1846" spans="1:11" x14ac:dyDescent="0.35">
      <c r="A1846" s="1" t="s">
        <v>3822</v>
      </c>
      <c r="B1846" s="1" t="s">
        <v>3830</v>
      </c>
      <c r="C1846" s="1" t="s">
        <v>3849</v>
      </c>
      <c r="D1846" s="1" t="str">
        <f>"4940"</f>
        <v>4940</v>
      </c>
      <c r="E1846" s="1" t="s">
        <v>2479</v>
      </c>
      <c r="F1846" s="1" t="s">
        <v>2480</v>
      </c>
      <c r="G1846" s="1" t="s">
        <v>15</v>
      </c>
      <c r="H1846" s="1" t="str">
        <f t="shared" si="87"/>
        <v>1</v>
      </c>
      <c r="I1846" s="3" t="str">
        <f>"2280"</f>
        <v>2280</v>
      </c>
      <c r="J1846" s="4">
        <v>46086</v>
      </c>
      <c r="K1846" s="1" t="s">
        <v>3850</v>
      </c>
    </row>
    <row r="1847" spans="1:11" x14ac:dyDescent="0.35">
      <c r="A1847" s="1" t="s">
        <v>3822</v>
      </c>
      <c r="B1847" s="1" t="s">
        <v>3830</v>
      </c>
      <c r="C1847" s="1" t="s">
        <v>3952</v>
      </c>
      <c r="D1847" s="1" t="str">
        <f>"5130"</f>
        <v>5130</v>
      </c>
      <c r="E1847" s="1" t="s">
        <v>2557</v>
      </c>
      <c r="F1847" s="1" t="s">
        <v>2558</v>
      </c>
      <c r="G1847" s="1" t="s">
        <v>15</v>
      </c>
      <c r="H1847" s="1" t="str">
        <f t="shared" si="87"/>
        <v>1</v>
      </c>
      <c r="I1847" s="3">
        <v>196.75</v>
      </c>
      <c r="J1847" s="4">
        <v>46086</v>
      </c>
      <c r="K1847" s="1" t="s">
        <v>3953</v>
      </c>
    </row>
    <row r="1848" spans="1:11" x14ac:dyDescent="0.35">
      <c r="A1848" s="1" t="s">
        <v>3822</v>
      </c>
      <c r="B1848" s="1" t="s">
        <v>3830</v>
      </c>
      <c r="C1848" s="1" t="s">
        <v>4032</v>
      </c>
      <c r="D1848" s="1" t="str">
        <f>"8340"</f>
        <v>8340</v>
      </c>
      <c r="E1848" s="1" t="s">
        <v>4033</v>
      </c>
      <c r="F1848" s="1" t="s">
        <v>2955</v>
      </c>
      <c r="G1848" s="1" t="s">
        <v>15</v>
      </c>
      <c r="H1848" s="1" t="str">
        <f>"2"</f>
        <v>2</v>
      </c>
      <c r="I1848" s="3" t="str">
        <f>"800"</f>
        <v>800</v>
      </c>
      <c r="J1848" s="4">
        <v>46086</v>
      </c>
      <c r="K1848" s="1" t="s">
        <v>4034</v>
      </c>
    </row>
    <row r="1849" spans="1:11" x14ac:dyDescent="0.35">
      <c r="A1849" s="1" t="s">
        <v>3822</v>
      </c>
      <c r="B1849" s="1" t="s">
        <v>4138</v>
      </c>
      <c r="C1849" s="1" t="s">
        <v>4141</v>
      </c>
      <c r="D1849" s="1" t="str">
        <f>"2330"</f>
        <v>2330</v>
      </c>
      <c r="E1849" s="1" t="s">
        <v>104</v>
      </c>
      <c r="F1849" s="1" t="s">
        <v>105</v>
      </c>
      <c r="G1849" s="1" t="s">
        <v>15</v>
      </c>
      <c r="H1849" s="1" t="str">
        <f t="shared" ref="H1849:H1865" si="88">"1"</f>
        <v>1</v>
      </c>
      <c r="I1849" s="3" t="str">
        <f>"3000"</f>
        <v>3000</v>
      </c>
      <c r="J1849" s="4">
        <v>46087</v>
      </c>
      <c r="K1849" s="1" t="s">
        <v>4142</v>
      </c>
    </row>
    <row r="1850" spans="1:11" x14ac:dyDescent="0.35">
      <c r="A1850" s="1" t="s">
        <v>3822</v>
      </c>
      <c r="B1850" s="1" t="s">
        <v>4138</v>
      </c>
      <c r="C1850" s="1" t="s">
        <v>4143</v>
      </c>
      <c r="D1850" s="1" t="str">
        <f>"2330"</f>
        <v>2330</v>
      </c>
      <c r="E1850" s="1" t="s">
        <v>104</v>
      </c>
      <c r="F1850" s="1" t="s">
        <v>105</v>
      </c>
      <c r="G1850" s="1" t="s">
        <v>15</v>
      </c>
      <c r="H1850" s="1" t="str">
        <f t="shared" si="88"/>
        <v>1</v>
      </c>
      <c r="I1850" s="3" t="str">
        <f>"3000"</f>
        <v>3000</v>
      </c>
      <c r="J1850" s="4">
        <v>46087</v>
      </c>
      <c r="K1850" s="1" t="s">
        <v>4144</v>
      </c>
    </row>
    <row r="1851" spans="1:11" x14ac:dyDescent="0.35">
      <c r="A1851" s="1" t="s">
        <v>3822</v>
      </c>
      <c r="B1851" s="1" t="s">
        <v>4154</v>
      </c>
      <c r="C1851" s="1" t="s">
        <v>4157</v>
      </c>
      <c r="D1851" s="1" t="str">
        <f t="shared" ref="D1851:D1864" si="89">"2805"</f>
        <v>2805</v>
      </c>
      <c r="E1851" s="1" t="str">
        <f t="shared" ref="E1851:E1864" si="90">"016279670"</f>
        <v>016279670</v>
      </c>
      <c r="F1851" s="1" t="s">
        <v>4158</v>
      </c>
      <c r="G1851" s="1" t="s">
        <v>15</v>
      </c>
      <c r="H1851" s="1" t="str">
        <f t="shared" si="88"/>
        <v>1</v>
      </c>
      <c r="I1851" s="3" t="str">
        <f t="shared" ref="I1851:I1864" si="91">"14944"</f>
        <v>14944</v>
      </c>
      <c r="J1851" s="4">
        <v>46087</v>
      </c>
      <c r="K1851" s="1" t="s">
        <v>4159</v>
      </c>
    </row>
    <row r="1852" spans="1:11" x14ac:dyDescent="0.35">
      <c r="A1852" s="1" t="s">
        <v>3822</v>
      </c>
      <c r="B1852" s="1" t="s">
        <v>4154</v>
      </c>
      <c r="C1852" s="1" t="s">
        <v>4160</v>
      </c>
      <c r="D1852" s="1" t="str">
        <f t="shared" si="89"/>
        <v>2805</v>
      </c>
      <c r="E1852" s="1" t="str">
        <f t="shared" si="90"/>
        <v>016279670</v>
      </c>
      <c r="F1852" s="1" t="s">
        <v>4158</v>
      </c>
      <c r="G1852" s="1" t="s">
        <v>15</v>
      </c>
      <c r="H1852" s="1" t="str">
        <f t="shared" si="88"/>
        <v>1</v>
      </c>
      <c r="I1852" s="3" t="str">
        <f t="shared" si="91"/>
        <v>14944</v>
      </c>
      <c r="J1852" s="4">
        <v>46087</v>
      </c>
      <c r="K1852" s="1" t="s">
        <v>4159</v>
      </c>
    </row>
    <row r="1853" spans="1:11" x14ac:dyDescent="0.35">
      <c r="A1853" s="1" t="s">
        <v>3822</v>
      </c>
      <c r="B1853" s="1" t="s">
        <v>4154</v>
      </c>
      <c r="C1853" s="1" t="s">
        <v>4161</v>
      </c>
      <c r="D1853" s="1" t="str">
        <f t="shared" si="89"/>
        <v>2805</v>
      </c>
      <c r="E1853" s="1" t="str">
        <f t="shared" si="90"/>
        <v>016279670</v>
      </c>
      <c r="F1853" s="1" t="s">
        <v>4158</v>
      </c>
      <c r="G1853" s="1" t="s">
        <v>15</v>
      </c>
      <c r="H1853" s="1" t="str">
        <f t="shared" si="88"/>
        <v>1</v>
      </c>
      <c r="I1853" s="3" t="str">
        <f t="shared" si="91"/>
        <v>14944</v>
      </c>
      <c r="J1853" s="4">
        <v>46087</v>
      </c>
      <c r="K1853" s="1" t="s">
        <v>4159</v>
      </c>
    </row>
    <row r="1854" spans="1:11" x14ac:dyDescent="0.35">
      <c r="A1854" s="1" t="s">
        <v>3822</v>
      </c>
      <c r="B1854" s="1" t="s">
        <v>4154</v>
      </c>
      <c r="C1854" s="1" t="s">
        <v>4162</v>
      </c>
      <c r="D1854" s="1" t="str">
        <f t="shared" si="89"/>
        <v>2805</v>
      </c>
      <c r="E1854" s="1" t="str">
        <f t="shared" si="90"/>
        <v>016279670</v>
      </c>
      <c r="F1854" s="1" t="s">
        <v>4158</v>
      </c>
      <c r="G1854" s="1" t="s">
        <v>15</v>
      </c>
      <c r="H1854" s="1" t="str">
        <f t="shared" si="88"/>
        <v>1</v>
      </c>
      <c r="I1854" s="3" t="str">
        <f t="shared" si="91"/>
        <v>14944</v>
      </c>
      <c r="J1854" s="4">
        <v>46087</v>
      </c>
      <c r="K1854" s="1" t="s">
        <v>4159</v>
      </c>
    </row>
    <row r="1855" spans="1:11" x14ac:dyDescent="0.35">
      <c r="A1855" s="1" t="s">
        <v>3822</v>
      </c>
      <c r="B1855" s="1" t="s">
        <v>4154</v>
      </c>
      <c r="C1855" s="1" t="s">
        <v>4163</v>
      </c>
      <c r="D1855" s="1" t="str">
        <f t="shared" si="89"/>
        <v>2805</v>
      </c>
      <c r="E1855" s="1" t="str">
        <f t="shared" si="90"/>
        <v>016279670</v>
      </c>
      <c r="F1855" s="1" t="s">
        <v>4158</v>
      </c>
      <c r="G1855" s="1" t="s">
        <v>15</v>
      </c>
      <c r="H1855" s="1" t="str">
        <f t="shared" si="88"/>
        <v>1</v>
      </c>
      <c r="I1855" s="3" t="str">
        <f t="shared" si="91"/>
        <v>14944</v>
      </c>
      <c r="J1855" s="4">
        <v>46087</v>
      </c>
      <c r="K1855" s="1" t="s">
        <v>4159</v>
      </c>
    </row>
    <row r="1856" spans="1:11" x14ac:dyDescent="0.35">
      <c r="A1856" s="1" t="s">
        <v>3822</v>
      </c>
      <c r="B1856" s="1" t="s">
        <v>4154</v>
      </c>
      <c r="C1856" s="1" t="s">
        <v>4164</v>
      </c>
      <c r="D1856" s="1" t="str">
        <f t="shared" si="89"/>
        <v>2805</v>
      </c>
      <c r="E1856" s="1" t="str">
        <f t="shared" si="90"/>
        <v>016279670</v>
      </c>
      <c r="F1856" s="1" t="s">
        <v>4158</v>
      </c>
      <c r="G1856" s="1" t="s">
        <v>15</v>
      </c>
      <c r="H1856" s="1" t="str">
        <f t="shared" si="88"/>
        <v>1</v>
      </c>
      <c r="I1856" s="3" t="str">
        <f t="shared" si="91"/>
        <v>14944</v>
      </c>
      <c r="J1856" s="4">
        <v>46087</v>
      </c>
      <c r="K1856" s="1" t="s">
        <v>4159</v>
      </c>
    </row>
    <row r="1857" spans="1:11" x14ac:dyDescent="0.35">
      <c r="A1857" s="1" t="s">
        <v>3822</v>
      </c>
      <c r="B1857" s="1" t="s">
        <v>4154</v>
      </c>
      <c r="C1857" s="1" t="s">
        <v>4165</v>
      </c>
      <c r="D1857" s="1" t="str">
        <f t="shared" si="89"/>
        <v>2805</v>
      </c>
      <c r="E1857" s="1" t="str">
        <f t="shared" si="90"/>
        <v>016279670</v>
      </c>
      <c r="F1857" s="1" t="s">
        <v>4158</v>
      </c>
      <c r="G1857" s="1" t="s">
        <v>15</v>
      </c>
      <c r="H1857" s="1" t="str">
        <f t="shared" si="88"/>
        <v>1</v>
      </c>
      <c r="I1857" s="3" t="str">
        <f t="shared" si="91"/>
        <v>14944</v>
      </c>
      <c r="J1857" s="4">
        <v>46087</v>
      </c>
      <c r="K1857" s="1" t="s">
        <v>4159</v>
      </c>
    </row>
    <row r="1858" spans="1:11" x14ac:dyDescent="0.35">
      <c r="A1858" s="1" t="s">
        <v>3822</v>
      </c>
      <c r="B1858" s="1" t="s">
        <v>4154</v>
      </c>
      <c r="C1858" s="1" t="s">
        <v>4166</v>
      </c>
      <c r="D1858" s="1" t="str">
        <f t="shared" si="89"/>
        <v>2805</v>
      </c>
      <c r="E1858" s="1" t="str">
        <f t="shared" si="90"/>
        <v>016279670</v>
      </c>
      <c r="F1858" s="1" t="s">
        <v>4158</v>
      </c>
      <c r="G1858" s="1" t="s">
        <v>15</v>
      </c>
      <c r="H1858" s="1" t="str">
        <f t="shared" si="88"/>
        <v>1</v>
      </c>
      <c r="I1858" s="3" t="str">
        <f t="shared" si="91"/>
        <v>14944</v>
      </c>
      <c r="J1858" s="4">
        <v>46087</v>
      </c>
      <c r="K1858" s="1" t="s">
        <v>4159</v>
      </c>
    </row>
    <row r="1859" spans="1:11" x14ac:dyDescent="0.35">
      <c r="A1859" s="1" t="s">
        <v>3822</v>
      </c>
      <c r="B1859" s="1" t="s">
        <v>4154</v>
      </c>
      <c r="C1859" s="1" t="s">
        <v>4167</v>
      </c>
      <c r="D1859" s="1" t="str">
        <f t="shared" si="89"/>
        <v>2805</v>
      </c>
      <c r="E1859" s="1" t="str">
        <f t="shared" si="90"/>
        <v>016279670</v>
      </c>
      <c r="F1859" s="1" t="s">
        <v>4158</v>
      </c>
      <c r="G1859" s="1" t="s">
        <v>15</v>
      </c>
      <c r="H1859" s="1" t="str">
        <f t="shared" si="88"/>
        <v>1</v>
      </c>
      <c r="I1859" s="3" t="str">
        <f t="shared" si="91"/>
        <v>14944</v>
      </c>
      <c r="J1859" s="4">
        <v>46087</v>
      </c>
      <c r="K1859" s="1" t="s">
        <v>4159</v>
      </c>
    </row>
    <row r="1860" spans="1:11" x14ac:dyDescent="0.35">
      <c r="A1860" s="1" t="s">
        <v>3822</v>
      </c>
      <c r="B1860" s="1" t="s">
        <v>4154</v>
      </c>
      <c r="C1860" s="1" t="s">
        <v>4168</v>
      </c>
      <c r="D1860" s="1" t="str">
        <f t="shared" si="89"/>
        <v>2805</v>
      </c>
      <c r="E1860" s="1" t="str">
        <f t="shared" si="90"/>
        <v>016279670</v>
      </c>
      <c r="F1860" s="1" t="s">
        <v>4158</v>
      </c>
      <c r="G1860" s="1" t="s">
        <v>15</v>
      </c>
      <c r="H1860" s="1" t="str">
        <f t="shared" si="88"/>
        <v>1</v>
      </c>
      <c r="I1860" s="3" t="str">
        <f t="shared" si="91"/>
        <v>14944</v>
      </c>
      <c r="J1860" s="4">
        <v>46087</v>
      </c>
      <c r="K1860" s="1" t="s">
        <v>4159</v>
      </c>
    </row>
    <row r="1861" spans="1:11" x14ac:dyDescent="0.35">
      <c r="A1861" s="1" t="s">
        <v>3822</v>
      </c>
      <c r="B1861" s="1" t="s">
        <v>4154</v>
      </c>
      <c r="C1861" s="1" t="s">
        <v>4169</v>
      </c>
      <c r="D1861" s="1" t="str">
        <f t="shared" si="89"/>
        <v>2805</v>
      </c>
      <c r="E1861" s="1" t="str">
        <f t="shared" si="90"/>
        <v>016279670</v>
      </c>
      <c r="F1861" s="1" t="s">
        <v>4158</v>
      </c>
      <c r="G1861" s="1" t="s">
        <v>15</v>
      </c>
      <c r="H1861" s="1" t="str">
        <f t="shared" si="88"/>
        <v>1</v>
      </c>
      <c r="I1861" s="3" t="str">
        <f t="shared" si="91"/>
        <v>14944</v>
      </c>
      <c r="J1861" s="4">
        <v>46087</v>
      </c>
      <c r="K1861" s="1" t="s">
        <v>4159</v>
      </c>
    </row>
    <row r="1862" spans="1:11" x14ac:dyDescent="0.35">
      <c r="A1862" s="1" t="s">
        <v>3822</v>
      </c>
      <c r="B1862" s="1" t="s">
        <v>4154</v>
      </c>
      <c r="C1862" s="1" t="s">
        <v>4170</v>
      </c>
      <c r="D1862" s="1" t="str">
        <f t="shared" si="89"/>
        <v>2805</v>
      </c>
      <c r="E1862" s="1" t="str">
        <f t="shared" si="90"/>
        <v>016279670</v>
      </c>
      <c r="F1862" s="1" t="s">
        <v>4158</v>
      </c>
      <c r="G1862" s="1" t="s">
        <v>15</v>
      </c>
      <c r="H1862" s="1" t="str">
        <f t="shared" si="88"/>
        <v>1</v>
      </c>
      <c r="I1862" s="3" t="str">
        <f t="shared" si="91"/>
        <v>14944</v>
      </c>
      <c r="J1862" s="4">
        <v>46087</v>
      </c>
      <c r="K1862" s="1" t="s">
        <v>4159</v>
      </c>
    </row>
    <row r="1863" spans="1:11" x14ac:dyDescent="0.35">
      <c r="A1863" s="1" t="s">
        <v>3822</v>
      </c>
      <c r="B1863" s="1" t="s">
        <v>4154</v>
      </c>
      <c r="C1863" s="1" t="s">
        <v>4171</v>
      </c>
      <c r="D1863" s="1" t="str">
        <f t="shared" si="89"/>
        <v>2805</v>
      </c>
      <c r="E1863" s="1" t="str">
        <f t="shared" si="90"/>
        <v>016279670</v>
      </c>
      <c r="F1863" s="1" t="s">
        <v>4158</v>
      </c>
      <c r="G1863" s="1" t="s">
        <v>15</v>
      </c>
      <c r="H1863" s="1" t="str">
        <f t="shared" si="88"/>
        <v>1</v>
      </c>
      <c r="I1863" s="3" t="str">
        <f t="shared" si="91"/>
        <v>14944</v>
      </c>
      <c r="J1863" s="4">
        <v>46087</v>
      </c>
      <c r="K1863" s="1" t="s">
        <v>4159</v>
      </c>
    </row>
    <row r="1864" spans="1:11" x14ac:dyDescent="0.35">
      <c r="A1864" s="1" t="s">
        <v>3822</v>
      </c>
      <c r="B1864" s="1" t="s">
        <v>4154</v>
      </c>
      <c r="C1864" s="1" t="s">
        <v>4172</v>
      </c>
      <c r="D1864" s="1" t="str">
        <f t="shared" si="89"/>
        <v>2805</v>
      </c>
      <c r="E1864" s="1" t="str">
        <f t="shared" si="90"/>
        <v>016279670</v>
      </c>
      <c r="F1864" s="1" t="s">
        <v>4158</v>
      </c>
      <c r="G1864" s="1" t="s">
        <v>15</v>
      </c>
      <c r="H1864" s="1" t="str">
        <f t="shared" si="88"/>
        <v>1</v>
      </c>
      <c r="I1864" s="3" t="str">
        <f t="shared" si="91"/>
        <v>14944</v>
      </c>
      <c r="J1864" s="4">
        <v>46087</v>
      </c>
      <c r="K1864" s="1" t="s">
        <v>4159</v>
      </c>
    </row>
    <row r="1865" spans="1:11" x14ac:dyDescent="0.35">
      <c r="A1865" s="1" t="s">
        <v>3822</v>
      </c>
      <c r="B1865" s="1" t="s">
        <v>4233</v>
      </c>
      <c r="C1865" s="1" t="s">
        <v>4239</v>
      </c>
      <c r="D1865" s="1" t="str">
        <f>"4910"</f>
        <v>4910</v>
      </c>
      <c r="E1865" s="1" t="s">
        <v>145</v>
      </c>
      <c r="F1865" s="1" t="s">
        <v>146</v>
      </c>
      <c r="G1865" s="1" t="s">
        <v>15</v>
      </c>
      <c r="H1865" s="1" t="str">
        <f t="shared" si="88"/>
        <v>1</v>
      </c>
      <c r="I1865" s="3" t="str">
        <f>"20938"</f>
        <v>20938</v>
      </c>
      <c r="J1865" s="4">
        <v>46091</v>
      </c>
      <c r="K1865" s="1" t="s">
        <v>4240</v>
      </c>
    </row>
    <row r="1866" spans="1:11" x14ac:dyDescent="0.35">
      <c r="A1866" s="1" t="s">
        <v>3822</v>
      </c>
      <c r="B1866" s="1" t="s">
        <v>4154</v>
      </c>
      <c r="C1866" s="1" t="s">
        <v>4155</v>
      </c>
      <c r="D1866" s="1" t="str">
        <f>"2340"</f>
        <v>2340</v>
      </c>
      <c r="E1866" s="1" t="s">
        <v>1071</v>
      </c>
      <c r="F1866" s="1" t="s">
        <v>1072</v>
      </c>
      <c r="G1866" s="1" t="s">
        <v>15</v>
      </c>
      <c r="H1866" s="1" t="str">
        <f>"2"</f>
        <v>2</v>
      </c>
      <c r="I1866" s="3" t="str">
        <f>"4300"</f>
        <v>4300</v>
      </c>
      <c r="J1866" s="4">
        <v>46093</v>
      </c>
      <c r="K1866" s="1" t="s">
        <v>4156</v>
      </c>
    </row>
    <row r="1867" spans="1:11" x14ac:dyDescent="0.35">
      <c r="A1867" s="1" t="s">
        <v>3822</v>
      </c>
      <c r="B1867" s="1" t="s">
        <v>4197</v>
      </c>
      <c r="C1867" s="1" t="s">
        <v>4198</v>
      </c>
      <c r="D1867" s="1" t="str">
        <f>"5855"</f>
        <v>5855</v>
      </c>
      <c r="E1867" s="1" t="str">
        <f>"015387994"</f>
        <v>015387994</v>
      </c>
      <c r="F1867" s="1" t="s">
        <v>1280</v>
      </c>
      <c r="G1867" s="1" t="s">
        <v>15</v>
      </c>
      <c r="H1867" s="1" t="str">
        <f>"4"</f>
        <v>4</v>
      </c>
      <c r="I1867" s="3">
        <v>18742.830000000002</v>
      </c>
      <c r="J1867" s="4">
        <v>46097</v>
      </c>
      <c r="K1867" s="1" t="s">
        <v>4199</v>
      </c>
    </row>
    <row r="1868" spans="1:11" x14ac:dyDescent="0.35">
      <c r="A1868" s="1" t="s">
        <v>3822</v>
      </c>
      <c r="B1868" s="1" t="s">
        <v>4138</v>
      </c>
      <c r="C1868" s="1" t="s">
        <v>4149</v>
      </c>
      <c r="D1868" s="1" t="str">
        <f>"6545"</f>
        <v>6545</v>
      </c>
      <c r="E1868" s="1" t="str">
        <f>"015684916"</f>
        <v>015684916</v>
      </c>
      <c r="F1868" s="1" t="s">
        <v>4150</v>
      </c>
      <c r="G1868" s="1" t="s">
        <v>257</v>
      </c>
      <c r="H1868" s="1" t="str">
        <f>"2"</f>
        <v>2</v>
      </c>
      <c r="I1868" s="3">
        <v>37507.89</v>
      </c>
      <c r="J1868" s="4">
        <v>46098</v>
      </c>
      <c r="K1868" s="1" t="s">
        <v>4151</v>
      </c>
    </row>
    <row r="1869" spans="1:11" x14ac:dyDescent="0.35">
      <c r="A1869" s="1" t="s">
        <v>3822</v>
      </c>
      <c r="B1869" s="1" t="s">
        <v>3823</v>
      </c>
      <c r="C1869" s="1" t="s">
        <v>3824</v>
      </c>
      <c r="D1869" s="1" t="str">
        <f>"2310"</f>
        <v>2310</v>
      </c>
      <c r="E1869" s="1" t="str">
        <f>"010186668"</f>
        <v>010186668</v>
      </c>
      <c r="F1869" s="1" t="s">
        <v>710</v>
      </c>
      <c r="G1869" s="1" t="s">
        <v>15</v>
      </c>
      <c r="H1869" s="1" t="str">
        <f>"1"</f>
        <v>1</v>
      </c>
      <c r="I1869" s="3" t="str">
        <f>"8433"</f>
        <v>8433</v>
      </c>
      <c r="J1869" s="4">
        <v>46099</v>
      </c>
      <c r="K1869" s="1" t="s">
        <v>3825</v>
      </c>
    </row>
    <row r="1870" spans="1:11" x14ac:dyDescent="0.35">
      <c r="A1870" s="1" t="s">
        <v>3822</v>
      </c>
      <c r="B1870" s="1" t="s">
        <v>3830</v>
      </c>
      <c r="C1870" s="1" t="s">
        <v>3872</v>
      </c>
      <c r="D1870" s="1" t="str">
        <f>"5120"</f>
        <v>5120</v>
      </c>
      <c r="E1870" s="1" t="s">
        <v>2780</v>
      </c>
      <c r="F1870" s="1" t="s">
        <v>807</v>
      </c>
      <c r="G1870" s="1" t="s">
        <v>15</v>
      </c>
      <c r="H1870" s="1" t="str">
        <f>"10"</f>
        <v>10</v>
      </c>
      <c r="I1870" s="3" t="str">
        <f>"2"</f>
        <v>2</v>
      </c>
      <c r="J1870" s="4">
        <v>46100</v>
      </c>
      <c r="K1870" s="1" t="s">
        <v>3873</v>
      </c>
    </row>
    <row r="1871" spans="1:11" x14ac:dyDescent="0.35">
      <c r="A1871" s="1" t="s">
        <v>3822</v>
      </c>
      <c r="B1871" s="1" t="s">
        <v>3830</v>
      </c>
      <c r="C1871" s="1" t="s">
        <v>3874</v>
      </c>
      <c r="D1871" s="1" t="str">
        <f>"5120"</f>
        <v>5120</v>
      </c>
      <c r="E1871" s="1" t="s">
        <v>3875</v>
      </c>
      <c r="F1871" s="1" t="s">
        <v>3876</v>
      </c>
      <c r="G1871" s="1" t="s">
        <v>15</v>
      </c>
      <c r="H1871" s="1" t="str">
        <f>"10"</f>
        <v>10</v>
      </c>
      <c r="I1871" s="3" t="str">
        <f>"10"</f>
        <v>10</v>
      </c>
      <c r="J1871" s="4">
        <v>46100</v>
      </c>
      <c r="K1871" s="1" t="s">
        <v>3877</v>
      </c>
    </row>
    <row r="1872" spans="1:11" x14ac:dyDescent="0.35">
      <c r="A1872" s="1" t="s">
        <v>3822</v>
      </c>
      <c r="B1872" s="1" t="s">
        <v>3830</v>
      </c>
      <c r="C1872" s="1" t="s">
        <v>3950</v>
      </c>
      <c r="D1872" s="1" t="str">
        <f t="shared" ref="D1872:D1877" si="92">"5130"</f>
        <v>5130</v>
      </c>
      <c r="E1872" s="1" t="s">
        <v>573</v>
      </c>
      <c r="F1872" s="1" t="s">
        <v>574</v>
      </c>
      <c r="G1872" s="1" t="s">
        <v>15</v>
      </c>
      <c r="H1872" s="1" t="str">
        <f>"2"</f>
        <v>2</v>
      </c>
      <c r="I1872" s="3" t="str">
        <f>"250"</f>
        <v>250</v>
      </c>
      <c r="J1872" s="4">
        <v>46100</v>
      </c>
      <c r="K1872" s="1" t="s">
        <v>3951</v>
      </c>
    </row>
    <row r="1873" spans="1:11" x14ac:dyDescent="0.35">
      <c r="A1873" s="1" t="s">
        <v>3822</v>
      </c>
      <c r="B1873" s="1" t="s">
        <v>3830</v>
      </c>
      <c r="C1873" s="1" t="s">
        <v>3956</v>
      </c>
      <c r="D1873" s="1" t="str">
        <f t="shared" si="92"/>
        <v>5130</v>
      </c>
      <c r="E1873" s="1" t="s">
        <v>579</v>
      </c>
      <c r="F1873" s="1" t="s">
        <v>580</v>
      </c>
      <c r="G1873" s="1" t="s">
        <v>15</v>
      </c>
      <c r="H1873" s="1" t="str">
        <f>"2"</f>
        <v>2</v>
      </c>
      <c r="I1873" s="3" t="str">
        <f>"400"</f>
        <v>400</v>
      </c>
      <c r="J1873" s="4">
        <v>46100</v>
      </c>
      <c r="K1873" s="1" t="s">
        <v>3957</v>
      </c>
    </row>
    <row r="1874" spans="1:11" x14ac:dyDescent="0.35">
      <c r="A1874" s="1" t="s">
        <v>3822</v>
      </c>
      <c r="B1874" s="1" t="s">
        <v>3830</v>
      </c>
      <c r="C1874" s="1" t="s">
        <v>3958</v>
      </c>
      <c r="D1874" s="1" t="str">
        <f t="shared" si="92"/>
        <v>5130</v>
      </c>
      <c r="E1874" s="1" t="s">
        <v>579</v>
      </c>
      <c r="F1874" s="1" t="s">
        <v>580</v>
      </c>
      <c r="G1874" s="1" t="s">
        <v>15</v>
      </c>
      <c r="H1874" s="1" t="str">
        <f>"1"</f>
        <v>1</v>
      </c>
      <c r="I1874" s="3" t="str">
        <f>"250"</f>
        <v>250</v>
      </c>
      <c r="J1874" s="4">
        <v>46100</v>
      </c>
      <c r="K1874" s="1" t="s">
        <v>3959</v>
      </c>
    </row>
    <row r="1875" spans="1:11" x14ac:dyDescent="0.35">
      <c r="A1875" s="1" t="s">
        <v>3822</v>
      </c>
      <c r="B1875" s="1" t="s">
        <v>3830</v>
      </c>
      <c r="C1875" s="1" t="s">
        <v>3960</v>
      </c>
      <c r="D1875" s="1" t="str">
        <f t="shared" si="92"/>
        <v>5130</v>
      </c>
      <c r="E1875" s="1" t="s">
        <v>579</v>
      </c>
      <c r="F1875" s="1" t="s">
        <v>580</v>
      </c>
      <c r="G1875" s="1" t="s">
        <v>15</v>
      </c>
      <c r="H1875" s="1" t="str">
        <f>"2"</f>
        <v>2</v>
      </c>
      <c r="I1875" s="3" t="str">
        <f>"400"</f>
        <v>400</v>
      </c>
      <c r="J1875" s="4">
        <v>46100</v>
      </c>
      <c r="K1875" s="1" t="s">
        <v>3961</v>
      </c>
    </row>
    <row r="1876" spans="1:11" x14ac:dyDescent="0.35">
      <c r="A1876" s="1" t="s">
        <v>3822</v>
      </c>
      <c r="B1876" s="1" t="s">
        <v>3830</v>
      </c>
      <c r="C1876" s="1" t="s">
        <v>3962</v>
      </c>
      <c r="D1876" s="1" t="str">
        <f t="shared" si="92"/>
        <v>5130</v>
      </c>
      <c r="E1876" s="1" t="s">
        <v>2557</v>
      </c>
      <c r="F1876" s="1" t="s">
        <v>2558</v>
      </c>
      <c r="G1876" s="1" t="s">
        <v>15</v>
      </c>
      <c r="H1876" s="1" t="str">
        <f>"2"</f>
        <v>2</v>
      </c>
      <c r="I1876" s="3" t="str">
        <f>"50"</f>
        <v>50</v>
      </c>
      <c r="J1876" s="4">
        <v>46100</v>
      </c>
      <c r="K1876" s="1" t="s">
        <v>3963</v>
      </c>
    </row>
    <row r="1877" spans="1:11" x14ac:dyDescent="0.35">
      <c r="A1877" s="1" t="s">
        <v>3822</v>
      </c>
      <c r="B1877" s="1" t="s">
        <v>3830</v>
      </c>
      <c r="C1877" s="1" t="s">
        <v>3964</v>
      </c>
      <c r="D1877" s="1" t="str">
        <f t="shared" si="92"/>
        <v>5130</v>
      </c>
      <c r="E1877" s="1" t="s">
        <v>3965</v>
      </c>
      <c r="F1877" s="1" t="s">
        <v>3966</v>
      </c>
      <c r="G1877" s="1" t="s">
        <v>15</v>
      </c>
      <c r="H1877" s="1" t="str">
        <f>"2"</f>
        <v>2</v>
      </c>
      <c r="I1877" s="3" t="str">
        <f>"300"</f>
        <v>300</v>
      </c>
      <c r="J1877" s="4">
        <v>46100</v>
      </c>
      <c r="K1877" s="1" t="s">
        <v>3967</v>
      </c>
    </row>
    <row r="1878" spans="1:11" x14ac:dyDescent="0.35">
      <c r="A1878" s="1" t="s">
        <v>3822</v>
      </c>
      <c r="B1878" s="1" t="s">
        <v>3830</v>
      </c>
      <c r="C1878" s="1" t="s">
        <v>4027</v>
      </c>
      <c r="D1878" s="1" t="str">
        <f>"7910"</f>
        <v>7910</v>
      </c>
      <c r="E1878" s="1" t="str">
        <f>"007205536"</f>
        <v>007205536</v>
      </c>
      <c r="F1878" s="1" t="s">
        <v>4028</v>
      </c>
      <c r="G1878" s="1" t="s">
        <v>15</v>
      </c>
      <c r="H1878" s="1" t="str">
        <f>"2"</f>
        <v>2</v>
      </c>
      <c r="I1878" s="3">
        <v>280.99</v>
      </c>
      <c r="J1878" s="4">
        <v>46100</v>
      </c>
      <c r="K1878" s="1" t="s">
        <v>4029</v>
      </c>
    </row>
    <row r="1879" spans="1:11" x14ac:dyDescent="0.35">
      <c r="A1879" s="1" t="s">
        <v>3822</v>
      </c>
      <c r="B1879" s="1" t="s">
        <v>4060</v>
      </c>
      <c r="C1879" s="1" t="s">
        <v>4061</v>
      </c>
      <c r="D1879" s="1" t="str">
        <f>"2340"</f>
        <v>2340</v>
      </c>
      <c r="E1879" s="1" t="str">
        <f>"015746673"</f>
        <v>015746673</v>
      </c>
      <c r="F1879" s="1" t="s">
        <v>1926</v>
      </c>
      <c r="G1879" s="1" t="s">
        <v>15</v>
      </c>
      <c r="H1879" s="1" t="str">
        <f>"1"</f>
        <v>1</v>
      </c>
      <c r="I1879" s="3" t="str">
        <f>"11365"</f>
        <v>11365</v>
      </c>
      <c r="J1879" s="4">
        <v>46100</v>
      </c>
      <c r="K1879" s="1" t="s">
        <v>4062</v>
      </c>
    </row>
    <row r="1880" spans="1:11" x14ac:dyDescent="0.35">
      <c r="A1880" s="1" t="s">
        <v>3822</v>
      </c>
      <c r="B1880" s="1" t="s">
        <v>4093</v>
      </c>
      <c r="C1880" s="1" t="s">
        <v>4127</v>
      </c>
      <c r="D1880" s="1" t="str">
        <f>"8115"</f>
        <v>8115</v>
      </c>
      <c r="E1880" s="1" t="str">
        <f>"001682275"</f>
        <v>001682275</v>
      </c>
      <c r="F1880" s="1" t="s">
        <v>431</v>
      </c>
      <c r="G1880" s="1" t="s">
        <v>15</v>
      </c>
      <c r="H1880" s="1" t="str">
        <f>"1"</f>
        <v>1</v>
      </c>
      <c r="I1880" s="3" t="str">
        <f>"1324"</f>
        <v>1324</v>
      </c>
      <c r="J1880" s="4">
        <v>46100</v>
      </c>
      <c r="K1880" s="1" t="s">
        <v>4128</v>
      </c>
    </row>
    <row r="1881" spans="1:11" x14ac:dyDescent="0.35">
      <c r="A1881" s="1" t="s">
        <v>3822</v>
      </c>
      <c r="B1881" s="1" t="s">
        <v>4093</v>
      </c>
      <c r="C1881" s="1" t="s">
        <v>4129</v>
      </c>
      <c r="D1881" s="1" t="str">
        <f>"8115"</f>
        <v>8115</v>
      </c>
      <c r="E1881" s="1" t="str">
        <f>"001682275"</f>
        <v>001682275</v>
      </c>
      <c r="F1881" s="1" t="s">
        <v>431</v>
      </c>
      <c r="G1881" s="1" t="s">
        <v>15</v>
      </c>
      <c r="H1881" s="1" t="str">
        <f>"1"</f>
        <v>1</v>
      </c>
      <c r="I1881" s="3" t="str">
        <f>"1324"</f>
        <v>1324</v>
      </c>
      <c r="J1881" s="4">
        <v>46100</v>
      </c>
      <c r="K1881" s="1" t="s">
        <v>4128</v>
      </c>
    </row>
    <row r="1882" spans="1:11" x14ac:dyDescent="0.35">
      <c r="A1882" s="1" t="s">
        <v>3822</v>
      </c>
      <c r="B1882" s="1" t="s">
        <v>4189</v>
      </c>
      <c r="C1882" s="1" t="s">
        <v>4190</v>
      </c>
      <c r="D1882" s="1" t="str">
        <f>"5180"</f>
        <v>5180</v>
      </c>
      <c r="E1882" s="1" t="str">
        <f>"015487634"</f>
        <v>015487634</v>
      </c>
      <c r="F1882" s="1" t="s">
        <v>1831</v>
      </c>
      <c r="G1882" s="1" t="s">
        <v>257</v>
      </c>
      <c r="H1882" s="1" t="str">
        <f>"2"</f>
        <v>2</v>
      </c>
      <c r="I1882" s="3" t="str">
        <f>"2048"</f>
        <v>2048</v>
      </c>
      <c r="J1882" s="4">
        <v>46100</v>
      </c>
      <c r="K1882" s="1" t="s">
        <v>4191</v>
      </c>
    </row>
    <row r="1883" spans="1:11" x14ac:dyDescent="0.35">
      <c r="A1883" s="1" t="s">
        <v>3822</v>
      </c>
      <c r="B1883" s="1" t="s">
        <v>4202</v>
      </c>
      <c r="C1883" s="1" t="s">
        <v>4203</v>
      </c>
      <c r="D1883" s="1" t="str">
        <f>"2330"</f>
        <v>2330</v>
      </c>
      <c r="E1883" s="1" t="str">
        <f>"006978102"</f>
        <v>006978102</v>
      </c>
      <c r="F1883" s="1" t="s">
        <v>4204</v>
      </c>
      <c r="G1883" s="1" t="s">
        <v>15</v>
      </c>
      <c r="H1883" s="1" t="str">
        <f>"1"</f>
        <v>1</v>
      </c>
      <c r="I1883" s="3" t="str">
        <f>"1186"</f>
        <v>1186</v>
      </c>
      <c r="J1883" s="4">
        <v>46100</v>
      </c>
      <c r="K1883" s="1" t="s">
        <v>4205</v>
      </c>
    </row>
    <row r="1884" spans="1:11" x14ac:dyDescent="0.35">
      <c r="A1884" s="1" t="s">
        <v>3822</v>
      </c>
      <c r="B1884" s="1" t="s">
        <v>4138</v>
      </c>
      <c r="C1884" s="1" t="s">
        <v>4147</v>
      </c>
      <c r="D1884" s="1" t="str">
        <f>"6130"</f>
        <v>6130</v>
      </c>
      <c r="E1884" s="1" t="str">
        <f>"014952839"</f>
        <v>014952839</v>
      </c>
      <c r="F1884" s="1" t="s">
        <v>882</v>
      </c>
      <c r="G1884" s="1" t="s">
        <v>15</v>
      </c>
      <c r="H1884" s="1" t="str">
        <f>"1"</f>
        <v>1</v>
      </c>
      <c r="I1884" s="3" t="str">
        <f>"4393"</f>
        <v>4393</v>
      </c>
      <c r="J1884" s="4">
        <v>46102</v>
      </c>
      <c r="K1884" s="1" t="s">
        <v>4148</v>
      </c>
    </row>
    <row r="1885" spans="1:11" x14ac:dyDescent="0.35">
      <c r="A1885" s="1" t="s">
        <v>3822</v>
      </c>
      <c r="B1885" s="1" t="s">
        <v>4057</v>
      </c>
      <c r="C1885" s="1" t="s">
        <v>4058</v>
      </c>
      <c r="D1885" s="1" t="str">
        <f>"5855"</f>
        <v>5855</v>
      </c>
      <c r="E1885" s="1" t="str">
        <f>"014199429"</f>
        <v>014199429</v>
      </c>
      <c r="F1885" s="1" t="s">
        <v>614</v>
      </c>
      <c r="G1885" s="1" t="s">
        <v>15</v>
      </c>
      <c r="H1885" s="1" t="str">
        <f>"15"</f>
        <v>15</v>
      </c>
      <c r="I1885" s="3" t="str">
        <f>"13003"</f>
        <v>13003</v>
      </c>
      <c r="J1885" s="4">
        <v>46104</v>
      </c>
      <c r="K1885" s="1" t="s">
        <v>4059</v>
      </c>
    </row>
    <row r="1886" spans="1:11" x14ac:dyDescent="0.35">
      <c r="A1886" s="1" t="s">
        <v>3822</v>
      </c>
      <c r="B1886" s="1" t="s">
        <v>4154</v>
      </c>
      <c r="C1886" s="1" t="s">
        <v>4173</v>
      </c>
      <c r="D1886" s="1" t="str">
        <f>"8145"</f>
        <v>8145</v>
      </c>
      <c r="E1886" s="1" t="str">
        <f>"014654187"</f>
        <v>014654187</v>
      </c>
      <c r="F1886" s="1" t="s">
        <v>753</v>
      </c>
      <c r="G1886" s="1" t="s">
        <v>15</v>
      </c>
      <c r="H1886" s="1" t="str">
        <f>"2"</f>
        <v>2</v>
      </c>
      <c r="I1886" s="3">
        <v>17477.91</v>
      </c>
      <c r="J1886" s="4">
        <v>46104</v>
      </c>
      <c r="K1886" s="1" t="s">
        <v>4174</v>
      </c>
    </row>
    <row r="1887" spans="1:11" x14ac:dyDescent="0.35">
      <c r="A1887" s="1" t="s">
        <v>3822</v>
      </c>
      <c r="B1887" s="1" t="s">
        <v>4202</v>
      </c>
      <c r="C1887" s="1" t="s">
        <v>4228</v>
      </c>
      <c r="D1887" s="1" t="str">
        <f>"6115"</f>
        <v>6115</v>
      </c>
      <c r="E1887" s="1" t="s">
        <v>157</v>
      </c>
      <c r="F1887" s="1" t="s">
        <v>158</v>
      </c>
      <c r="G1887" s="1" t="s">
        <v>15</v>
      </c>
      <c r="H1887" s="1" t="str">
        <f>"3"</f>
        <v>3</v>
      </c>
      <c r="I1887" s="3" t="str">
        <f>"4851"</f>
        <v>4851</v>
      </c>
      <c r="J1887" s="4">
        <v>46104</v>
      </c>
      <c r="K1887" s="1" t="s">
        <v>4229</v>
      </c>
    </row>
    <row r="1888" spans="1:11" x14ac:dyDescent="0.35">
      <c r="A1888" s="1" t="s">
        <v>3822</v>
      </c>
      <c r="B1888" s="1" t="s">
        <v>3830</v>
      </c>
      <c r="C1888" s="1" t="s">
        <v>3833</v>
      </c>
      <c r="D1888" s="1" t="str">
        <f>"2320"</f>
        <v>2320</v>
      </c>
      <c r="E1888" s="1" t="str">
        <f>"012157631"</f>
        <v>012157631</v>
      </c>
      <c r="F1888" s="1" t="s">
        <v>1093</v>
      </c>
      <c r="G1888" s="1" t="s">
        <v>15</v>
      </c>
      <c r="H1888" s="1" t="str">
        <f>"1"</f>
        <v>1</v>
      </c>
      <c r="I1888" s="3" t="str">
        <f>"33082"</f>
        <v>33082</v>
      </c>
      <c r="J1888" s="4">
        <v>46105</v>
      </c>
      <c r="K1888" s="1" t="s">
        <v>3834</v>
      </c>
    </row>
    <row r="1889" spans="1:11" x14ac:dyDescent="0.35">
      <c r="A1889" s="1" t="s">
        <v>3822</v>
      </c>
      <c r="B1889" s="1" t="s">
        <v>3830</v>
      </c>
      <c r="C1889" s="1" t="s">
        <v>3837</v>
      </c>
      <c r="D1889" s="1" t="str">
        <f>"2330"</f>
        <v>2330</v>
      </c>
      <c r="E1889" s="1" t="s">
        <v>104</v>
      </c>
      <c r="F1889" s="1" t="s">
        <v>105</v>
      </c>
      <c r="G1889" s="1" t="s">
        <v>15</v>
      </c>
      <c r="H1889" s="1" t="str">
        <f>"1"</f>
        <v>1</v>
      </c>
      <c r="I1889" s="3" t="str">
        <f>"5000"</f>
        <v>5000</v>
      </c>
      <c r="J1889" s="4">
        <v>46105</v>
      </c>
      <c r="K1889" s="1" t="s">
        <v>3838</v>
      </c>
    </row>
    <row r="1890" spans="1:11" x14ac:dyDescent="0.35">
      <c r="A1890" s="1" t="s">
        <v>3822</v>
      </c>
      <c r="B1890" s="1" t="s">
        <v>3830</v>
      </c>
      <c r="C1890" s="1" t="s">
        <v>3971</v>
      </c>
      <c r="D1890" s="1" t="str">
        <f>"5130"</f>
        <v>5130</v>
      </c>
      <c r="E1890" s="1" t="s">
        <v>579</v>
      </c>
      <c r="F1890" s="1" t="s">
        <v>580</v>
      </c>
      <c r="G1890" s="1" t="s">
        <v>15</v>
      </c>
      <c r="H1890" s="1" t="str">
        <f>"1"</f>
        <v>1</v>
      </c>
      <c r="I1890" s="3">
        <v>346.57</v>
      </c>
      <c r="J1890" s="4">
        <v>46105</v>
      </c>
      <c r="K1890" s="1" t="s">
        <v>3972</v>
      </c>
    </row>
    <row r="1891" spans="1:11" x14ac:dyDescent="0.35">
      <c r="A1891" s="1" t="s">
        <v>3822</v>
      </c>
      <c r="B1891" s="1" t="s">
        <v>3830</v>
      </c>
      <c r="C1891" s="1" t="s">
        <v>4008</v>
      </c>
      <c r="D1891" s="1" t="str">
        <f>"5180"</f>
        <v>5180</v>
      </c>
      <c r="E1891" s="1" t="str">
        <f>"016055146"</f>
        <v>016055146</v>
      </c>
      <c r="F1891" s="1" t="s">
        <v>1831</v>
      </c>
      <c r="G1891" s="1" t="s">
        <v>257</v>
      </c>
      <c r="H1891" s="1" t="str">
        <f>"2"</f>
        <v>2</v>
      </c>
      <c r="I1891" s="3" t="str">
        <f>"2048"</f>
        <v>2048</v>
      </c>
      <c r="J1891" s="4">
        <v>46105</v>
      </c>
      <c r="K1891" s="1" t="s">
        <v>4009</v>
      </c>
    </row>
    <row r="1892" spans="1:11" x14ac:dyDescent="0.35">
      <c r="A1892" s="1" t="s">
        <v>3822</v>
      </c>
      <c r="B1892" s="1" t="s">
        <v>3830</v>
      </c>
      <c r="C1892" s="1" t="s">
        <v>4020</v>
      </c>
      <c r="D1892" s="1" t="str">
        <f>"7110"</f>
        <v>7110</v>
      </c>
      <c r="E1892" s="1" t="s">
        <v>4021</v>
      </c>
      <c r="F1892" s="1" t="s">
        <v>4022</v>
      </c>
      <c r="G1892" s="1" t="s">
        <v>15</v>
      </c>
      <c r="H1892" s="1" t="str">
        <f>"1"</f>
        <v>1</v>
      </c>
      <c r="I1892" s="3" t="str">
        <f>"1500"</f>
        <v>1500</v>
      </c>
      <c r="J1892" s="4">
        <v>46105</v>
      </c>
      <c r="K1892" s="1" t="s">
        <v>4023</v>
      </c>
    </row>
    <row r="1893" spans="1:11" x14ac:dyDescent="0.35">
      <c r="A1893" s="1" t="s">
        <v>3822</v>
      </c>
      <c r="B1893" s="1" t="s">
        <v>4044</v>
      </c>
      <c r="C1893" s="1" t="s">
        <v>4045</v>
      </c>
      <c r="D1893" s="1" t="str">
        <f>"4240"</f>
        <v>4240</v>
      </c>
      <c r="E1893" s="1" t="str">
        <f>"015545699"</f>
        <v>015545699</v>
      </c>
      <c r="F1893" s="1" t="s">
        <v>4046</v>
      </c>
      <c r="G1893" s="1" t="s">
        <v>168</v>
      </c>
      <c r="H1893" s="1" t="str">
        <f>"8"</f>
        <v>8</v>
      </c>
      <c r="I1893" s="3">
        <v>54.14</v>
      </c>
      <c r="J1893" s="4">
        <v>46106</v>
      </c>
      <c r="K1893" s="1" t="s">
        <v>4047</v>
      </c>
    </row>
    <row r="1894" spans="1:11" x14ac:dyDescent="0.35">
      <c r="A1894" s="1" t="s">
        <v>3822</v>
      </c>
      <c r="B1894" s="1" t="s">
        <v>4044</v>
      </c>
      <c r="C1894" s="1" t="s">
        <v>4048</v>
      </c>
      <c r="D1894" s="1" t="str">
        <f>"6115"</f>
        <v>6115</v>
      </c>
      <c r="E1894" s="1" t="str">
        <f>"012755061"</f>
        <v>012755061</v>
      </c>
      <c r="F1894" s="1" t="s">
        <v>383</v>
      </c>
      <c r="G1894" s="1" t="s">
        <v>15</v>
      </c>
      <c r="H1894" s="1" t="str">
        <f>"1"</f>
        <v>1</v>
      </c>
      <c r="I1894" s="3" t="str">
        <f>"10700"</f>
        <v>10700</v>
      </c>
      <c r="J1894" s="4">
        <v>46106</v>
      </c>
      <c r="K1894" s="1" t="s">
        <v>4049</v>
      </c>
    </row>
    <row r="1895" spans="1:11" x14ac:dyDescent="0.35">
      <c r="A1895" s="1" t="s">
        <v>3822</v>
      </c>
      <c r="B1895" s="1" t="s">
        <v>4044</v>
      </c>
      <c r="C1895" s="1" t="s">
        <v>4050</v>
      </c>
      <c r="D1895" s="1" t="str">
        <f>"6230"</f>
        <v>6230</v>
      </c>
      <c r="E1895" s="1" t="str">
        <f>"013096341"</f>
        <v>013096341</v>
      </c>
      <c r="F1895" s="1" t="s">
        <v>4051</v>
      </c>
      <c r="G1895" s="1" t="s">
        <v>15</v>
      </c>
      <c r="H1895" s="1" t="str">
        <f>"1"</f>
        <v>1</v>
      </c>
      <c r="I1895" s="3">
        <v>37.22</v>
      </c>
      <c r="J1895" s="4">
        <v>46106</v>
      </c>
      <c r="K1895" s="1" t="s">
        <v>4052</v>
      </c>
    </row>
    <row r="1896" spans="1:11" x14ac:dyDescent="0.35">
      <c r="A1896" s="1" t="s">
        <v>3822</v>
      </c>
      <c r="B1896" s="1" t="s">
        <v>4044</v>
      </c>
      <c r="C1896" s="1" t="s">
        <v>4053</v>
      </c>
      <c r="D1896" s="1" t="str">
        <f>"6230"</f>
        <v>6230</v>
      </c>
      <c r="E1896" s="1" t="str">
        <f>"013096341"</f>
        <v>013096341</v>
      </c>
      <c r="F1896" s="1" t="s">
        <v>4051</v>
      </c>
      <c r="G1896" s="1" t="s">
        <v>15</v>
      </c>
      <c r="H1896" s="1" t="str">
        <f>"1"</f>
        <v>1</v>
      </c>
      <c r="I1896" s="3">
        <v>37.22</v>
      </c>
      <c r="J1896" s="4">
        <v>46106</v>
      </c>
      <c r="K1896" s="1" t="s">
        <v>4054</v>
      </c>
    </row>
    <row r="1897" spans="1:11" x14ac:dyDescent="0.35">
      <c r="A1897" s="1" t="s">
        <v>3822</v>
      </c>
      <c r="B1897" s="1" t="s">
        <v>4044</v>
      </c>
      <c r="C1897" s="1" t="s">
        <v>4055</v>
      </c>
      <c r="D1897" s="1" t="str">
        <f>"6545"</f>
        <v>6545</v>
      </c>
      <c r="E1897" s="1" t="str">
        <f>"015300929"</f>
        <v>015300929</v>
      </c>
      <c r="F1897" s="1" t="s">
        <v>167</v>
      </c>
      <c r="G1897" s="1" t="s">
        <v>168</v>
      </c>
      <c r="H1897" s="1" t="str">
        <f>"19"</f>
        <v>19</v>
      </c>
      <c r="I1897" s="3">
        <v>48.71</v>
      </c>
      <c r="J1897" s="4">
        <v>46106</v>
      </c>
      <c r="K1897" s="1" t="s">
        <v>4056</v>
      </c>
    </row>
    <row r="1898" spans="1:11" x14ac:dyDescent="0.35">
      <c r="A1898" s="1" t="s">
        <v>3822</v>
      </c>
      <c r="B1898" s="1" t="s">
        <v>4093</v>
      </c>
      <c r="C1898" s="1" t="s">
        <v>4098</v>
      </c>
      <c r="D1898" s="1" t="str">
        <f>"4110"</f>
        <v>4110</v>
      </c>
      <c r="E1898" s="1" t="str">
        <f>"016296841"</f>
        <v>016296841</v>
      </c>
      <c r="F1898" s="1" t="s">
        <v>4099</v>
      </c>
      <c r="G1898" s="1" t="s">
        <v>15</v>
      </c>
      <c r="H1898" s="1" t="str">
        <f>"2"</f>
        <v>2</v>
      </c>
      <c r="I1898" s="3" t="str">
        <f>"5082"</f>
        <v>5082</v>
      </c>
      <c r="J1898" s="4">
        <v>46106</v>
      </c>
      <c r="K1898" s="1" t="s">
        <v>4100</v>
      </c>
    </row>
    <row r="1899" spans="1:11" x14ac:dyDescent="0.35">
      <c r="A1899" s="1" t="s">
        <v>3822</v>
      </c>
      <c r="B1899" s="1" t="s">
        <v>4093</v>
      </c>
      <c r="C1899" s="1" t="s">
        <v>4108</v>
      </c>
      <c r="D1899" s="1" t="str">
        <f>"4720"</f>
        <v>4720</v>
      </c>
      <c r="E1899" s="1" t="str">
        <f>"014699263"</f>
        <v>014699263</v>
      </c>
      <c r="F1899" s="1" t="s">
        <v>4109</v>
      </c>
      <c r="G1899" s="1" t="s">
        <v>15</v>
      </c>
      <c r="H1899" s="1" t="str">
        <f>"20"</f>
        <v>20</v>
      </c>
      <c r="I1899" s="3">
        <v>84.24</v>
      </c>
      <c r="J1899" s="4">
        <v>46106</v>
      </c>
      <c r="K1899" s="1" t="s">
        <v>4110</v>
      </c>
    </row>
    <row r="1900" spans="1:11" x14ac:dyDescent="0.35">
      <c r="A1900" s="1" t="s">
        <v>3822</v>
      </c>
      <c r="B1900" s="1" t="s">
        <v>4093</v>
      </c>
      <c r="C1900" s="1" t="s">
        <v>4113</v>
      </c>
      <c r="D1900" s="1" t="str">
        <f>"5120"</f>
        <v>5120</v>
      </c>
      <c r="E1900" s="1" t="s">
        <v>542</v>
      </c>
      <c r="F1900" s="1" t="s">
        <v>543</v>
      </c>
      <c r="G1900" s="1" t="s">
        <v>15</v>
      </c>
      <c r="H1900" s="1" t="str">
        <f>"4"</f>
        <v>4</v>
      </c>
      <c r="I1900" s="3">
        <v>35.24</v>
      </c>
      <c r="J1900" s="4">
        <v>46106</v>
      </c>
      <c r="K1900" s="1" t="s">
        <v>4114</v>
      </c>
    </row>
    <row r="1901" spans="1:11" x14ac:dyDescent="0.35">
      <c r="A1901" s="1" t="s">
        <v>3822</v>
      </c>
      <c r="B1901" s="1" t="s">
        <v>4093</v>
      </c>
      <c r="C1901" s="1" t="s">
        <v>4115</v>
      </c>
      <c r="D1901" s="1" t="str">
        <f>"5120"</f>
        <v>5120</v>
      </c>
      <c r="E1901" s="1" t="s">
        <v>2085</v>
      </c>
      <c r="F1901" s="1" t="s">
        <v>2086</v>
      </c>
      <c r="G1901" s="1" t="s">
        <v>15</v>
      </c>
      <c r="H1901" s="1" t="str">
        <f>"1"</f>
        <v>1</v>
      </c>
      <c r="I1901" s="3" t="str">
        <f>"400"</f>
        <v>400</v>
      </c>
      <c r="J1901" s="4">
        <v>46106</v>
      </c>
      <c r="K1901" s="1" t="s">
        <v>4116</v>
      </c>
    </row>
    <row r="1902" spans="1:11" x14ac:dyDescent="0.35">
      <c r="A1902" s="1" t="s">
        <v>3822</v>
      </c>
      <c r="B1902" s="1" t="s">
        <v>4233</v>
      </c>
      <c r="C1902" s="1" t="s">
        <v>4234</v>
      </c>
      <c r="D1902" s="1" t="str">
        <f>"3805"</f>
        <v>3805</v>
      </c>
      <c r="E1902" s="1" t="str">
        <f>"009954772"</f>
        <v>009954772</v>
      </c>
      <c r="F1902" s="1" t="s">
        <v>4235</v>
      </c>
      <c r="G1902" s="1" t="s">
        <v>15</v>
      </c>
      <c r="H1902" s="1" t="str">
        <f>"1"</f>
        <v>1</v>
      </c>
      <c r="I1902" s="3" t="str">
        <f>"150000"</f>
        <v>150000</v>
      </c>
      <c r="J1902" s="4">
        <v>46106</v>
      </c>
      <c r="K1902" s="1" t="s">
        <v>4236</v>
      </c>
    </row>
    <row r="1903" spans="1:11" x14ac:dyDescent="0.35">
      <c r="A1903" s="1" t="s">
        <v>3822</v>
      </c>
      <c r="B1903" s="1" t="s">
        <v>3823</v>
      </c>
      <c r="C1903" s="1" t="s">
        <v>3826</v>
      </c>
      <c r="D1903" s="1" t="str">
        <f>"2340"</f>
        <v>2340</v>
      </c>
      <c r="E1903" s="1" t="s">
        <v>354</v>
      </c>
      <c r="F1903" s="1" t="s">
        <v>355</v>
      </c>
      <c r="G1903" s="1" t="s">
        <v>15</v>
      </c>
      <c r="H1903" s="1" t="str">
        <f>"2"</f>
        <v>2</v>
      </c>
      <c r="I1903" s="3" t="str">
        <f>"500"</f>
        <v>500</v>
      </c>
      <c r="J1903" s="4">
        <v>46111</v>
      </c>
      <c r="K1903" s="1" t="s">
        <v>3827</v>
      </c>
    </row>
    <row r="1904" spans="1:11" x14ac:dyDescent="0.35">
      <c r="A1904" s="1" t="s">
        <v>4247</v>
      </c>
      <c r="B1904" s="1" t="s">
        <v>4330</v>
      </c>
      <c r="C1904" s="1" t="s">
        <v>4347</v>
      </c>
      <c r="D1904" s="1" t="str">
        <f>"2320"</f>
        <v>2320</v>
      </c>
      <c r="E1904" s="1" t="s">
        <v>1016</v>
      </c>
      <c r="F1904" s="1" t="s">
        <v>1017</v>
      </c>
      <c r="G1904" s="1" t="s">
        <v>15</v>
      </c>
      <c r="H1904" s="1" t="str">
        <f>"1"</f>
        <v>1</v>
      </c>
      <c r="I1904" s="3" t="str">
        <f>"165000"</f>
        <v>165000</v>
      </c>
      <c r="J1904" s="4">
        <v>46026</v>
      </c>
      <c r="K1904" s="1" t="s">
        <v>4348</v>
      </c>
    </row>
    <row r="1905" spans="1:11" x14ac:dyDescent="0.35">
      <c r="A1905" s="1" t="s">
        <v>4247</v>
      </c>
      <c r="B1905" s="1" t="s">
        <v>4251</v>
      </c>
      <c r="C1905" s="1" t="s">
        <v>4256</v>
      </c>
      <c r="D1905" s="1" t="str">
        <f>"2360"</f>
        <v>2360</v>
      </c>
      <c r="E1905" s="1" t="str">
        <f>"016631022"</f>
        <v>016631022</v>
      </c>
      <c r="F1905" s="1" t="s">
        <v>1275</v>
      </c>
      <c r="G1905" s="1" t="s">
        <v>15</v>
      </c>
      <c r="H1905" s="1" t="str">
        <f>"1"</f>
        <v>1</v>
      </c>
      <c r="I1905" s="3">
        <v>53375.13</v>
      </c>
      <c r="J1905" s="4">
        <v>46056</v>
      </c>
      <c r="K1905" s="1" t="s">
        <v>4257</v>
      </c>
    </row>
    <row r="1906" spans="1:11" x14ac:dyDescent="0.35">
      <c r="A1906" s="1" t="s">
        <v>4247</v>
      </c>
      <c r="B1906" s="1" t="s">
        <v>4327</v>
      </c>
      <c r="C1906" s="1" t="s">
        <v>4328</v>
      </c>
      <c r="D1906" s="1" t="str">
        <f>"4240"</f>
        <v>4240</v>
      </c>
      <c r="E1906" s="1" t="str">
        <f>"015835742"</f>
        <v>015835742</v>
      </c>
      <c r="F1906" s="1" t="s">
        <v>1404</v>
      </c>
      <c r="G1906" s="1" t="s">
        <v>15</v>
      </c>
      <c r="H1906" s="1" t="str">
        <f>"13"</f>
        <v>13</v>
      </c>
      <c r="I1906" s="3">
        <v>63.41</v>
      </c>
      <c r="J1906" s="4">
        <v>46058</v>
      </c>
      <c r="K1906" s="1" t="s">
        <v>4329</v>
      </c>
    </row>
    <row r="1907" spans="1:11" x14ac:dyDescent="0.35">
      <c r="A1907" s="1" t="s">
        <v>4247</v>
      </c>
      <c r="B1907" s="1" t="s">
        <v>4251</v>
      </c>
      <c r="C1907" s="1" t="s">
        <v>4252</v>
      </c>
      <c r="D1907" s="1" t="str">
        <f>"1240"</f>
        <v>1240</v>
      </c>
      <c r="E1907" s="1" t="str">
        <f>"014111265"</f>
        <v>014111265</v>
      </c>
      <c r="F1907" s="1" t="s">
        <v>71</v>
      </c>
      <c r="G1907" s="1" t="s">
        <v>15</v>
      </c>
      <c r="H1907" s="1" t="str">
        <f>"15"</f>
        <v>15</v>
      </c>
      <c r="I1907" s="3" t="str">
        <f>"339"</f>
        <v>339</v>
      </c>
      <c r="J1907" s="4">
        <v>46066</v>
      </c>
      <c r="K1907" s="1" t="s">
        <v>4253</v>
      </c>
    </row>
    <row r="1908" spans="1:11" x14ac:dyDescent="0.35">
      <c r="A1908" s="1" t="s">
        <v>4247</v>
      </c>
      <c r="B1908" s="1" t="s">
        <v>4330</v>
      </c>
      <c r="C1908" s="1" t="s">
        <v>4343</v>
      </c>
      <c r="D1908" s="1" t="str">
        <f>"2320"</f>
        <v>2320</v>
      </c>
      <c r="E1908" s="1" t="str">
        <f>"010948229"</f>
        <v>010948229</v>
      </c>
      <c r="F1908" s="1" t="s">
        <v>930</v>
      </c>
      <c r="G1908" s="1" t="s">
        <v>15</v>
      </c>
      <c r="H1908" s="1" t="str">
        <f>"1"</f>
        <v>1</v>
      </c>
      <c r="I1908" s="3">
        <v>9989.75</v>
      </c>
      <c r="J1908" s="4">
        <v>46066</v>
      </c>
      <c r="K1908" s="1" t="s">
        <v>4344</v>
      </c>
    </row>
    <row r="1909" spans="1:11" x14ac:dyDescent="0.35">
      <c r="A1909" s="1" t="s">
        <v>4247</v>
      </c>
      <c r="B1909" s="1" t="s">
        <v>4330</v>
      </c>
      <c r="C1909" s="1" t="s">
        <v>4367</v>
      </c>
      <c r="D1909" s="1" t="str">
        <f>"6115"</f>
        <v>6115</v>
      </c>
      <c r="E1909" s="1" t="str">
        <f>"015980312"</f>
        <v>015980312</v>
      </c>
      <c r="F1909" s="1" t="s">
        <v>383</v>
      </c>
      <c r="G1909" s="1" t="s">
        <v>15</v>
      </c>
      <c r="H1909" s="1" t="str">
        <f>"10"</f>
        <v>10</v>
      </c>
      <c r="I1909" s="3" t="str">
        <f>"35418"</f>
        <v>35418</v>
      </c>
      <c r="J1909" s="4">
        <v>46066</v>
      </c>
      <c r="K1909" s="1" t="s">
        <v>4368</v>
      </c>
    </row>
    <row r="1910" spans="1:11" x14ac:dyDescent="0.35">
      <c r="A1910" s="1" t="s">
        <v>4247</v>
      </c>
      <c r="B1910" s="1" t="s">
        <v>4330</v>
      </c>
      <c r="C1910" s="1" t="s">
        <v>4371</v>
      </c>
      <c r="D1910" s="1" t="str">
        <f>"6545"</f>
        <v>6545</v>
      </c>
      <c r="E1910" s="1" t="str">
        <f>"015300929"</f>
        <v>015300929</v>
      </c>
      <c r="F1910" s="1" t="s">
        <v>167</v>
      </c>
      <c r="G1910" s="1" t="s">
        <v>168</v>
      </c>
      <c r="H1910" s="1" t="str">
        <f>"18"</f>
        <v>18</v>
      </c>
      <c r="I1910" s="3">
        <v>48.71</v>
      </c>
      <c r="J1910" s="4">
        <v>46066</v>
      </c>
      <c r="K1910" s="1" t="s">
        <v>4372</v>
      </c>
    </row>
    <row r="1911" spans="1:11" x14ac:dyDescent="0.35">
      <c r="A1911" s="1" t="s">
        <v>4247</v>
      </c>
      <c r="B1911" s="1" t="s">
        <v>4330</v>
      </c>
      <c r="C1911" s="1" t="s">
        <v>4373</v>
      </c>
      <c r="D1911" s="1" t="str">
        <f>"6545"</f>
        <v>6545</v>
      </c>
      <c r="E1911" s="1" t="str">
        <f>"015300929"</f>
        <v>015300929</v>
      </c>
      <c r="F1911" s="1" t="s">
        <v>167</v>
      </c>
      <c r="G1911" s="1" t="s">
        <v>168</v>
      </c>
      <c r="H1911" s="1" t="str">
        <f>"24"</f>
        <v>24</v>
      </c>
      <c r="I1911" s="3">
        <v>48.71</v>
      </c>
      <c r="J1911" s="4">
        <v>46066</v>
      </c>
      <c r="K1911" s="1" t="s">
        <v>4372</v>
      </c>
    </row>
    <row r="1912" spans="1:11" x14ac:dyDescent="0.35">
      <c r="A1912" s="1" t="s">
        <v>4247</v>
      </c>
      <c r="B1912" s="1" t="s">
        <v>4330</v>
      </c>
      <c r="C1912" s="1" t="s">
        <v>4357</v>
      </c>
      <c r="D1912" s="1" t="str">
        <f>"5180"</f>
        <v>5180</v>
      </c>
      <c r="E1912" s="1" t="str">
        <f>"005961539"</f>
        <v>005961539</v>
      </c>
      <c r="F1912" s="1" t="s">
        <v>1564</v>
      </c>
      <c r="G1912" s="1" t="s">
        <v>168</v>
      </c>
      <c r="H1912" s="1" t="str">
        <f>"1"</f>
        <v>1</v>
      </c>
      <c r="I1912" s="3" t="str">
        <f>"5106"</f>
        <v>5106</v>
      </c>
      <c r="J1912" s="4">
        <v>46071</v>
      </c>
      <c r="K1912" s="1" t="s">
        <v>4358</v>
      </c>
    </row>
    <row r="1913" spans="1:11" x14ac:dyDescent="0.35">
      <c r="A1913" s="1" t="s">
        <v>4247</v>
      </c>
      <c r="B1913" s="1" t="s">
        <v>4330</v>
      </c>
      <c r="C1913" s="1" t="s">
        <v>4359</v>
      </c>
      <c r="D1913" s="1" t="str">
        <f>"5180"</f>
        <v>5180</v>
      </c>
      <c r="E1913" s="1" t="str">
        <f>"002932875"</f>
        <v>002932875</v>
      </c>
      <c r="F1913" s="1" t="s">
        <v>266</v>
      </c>
      <c r="G1913" s="1" t="s">
        <v>168</v>
      </c>
      <c r="H1913" s="1" t="str">
        <f>"5"</f>
        <v>5</v>
      </c>
      <c r="I1913" s="3" t="str">
        <f>"1251"</f>
        <v>1251</v>
      </c>
      <c r="J1913" s="4">
        <v>46071</v>
      </c>
      <c r="K1913" s="1" t="s">
        <v>4360</v>
      </c>
    </row>
    <row r="1914" spans="1:11" x14ac:dyDescent="0.35">
      <c r="A1914" s="1" t="s">
        <v>4247</v>
      </c>
      <c r="B1914" s="1" t="s">
        <v>4330</v>
      </c>
      <c r="C1914" s="1" t="s">
        <v>4361</v>
      </c>
      <c r="D1914" s="1" t="str">
        <f>"5180"</f>
        <v>5180</v>
      </c>
      <c r="E1914" s="1" t="str">
        <f>"002932875"</f>
        <v>002932875</v>
      </c>
      <c r="F1914" s="1" t="s">
        <v>266</v>
      </c>
      <c r="G1914" s="1" t="s">
        <v>168</v>
      </c>
      <c r="H1914" s="1" t="str">
        <f>"3"</f>
        <v>3</v>
      </c>
      <c r="I1914" s="3" t="str">
        <f>"1251"</f>
        <v>1251</v>
      </c>
      <c r="J1914" s="4">
        <v>46071</v>
      </c>
      <c r="K1914" s="1" t="s">
        <v>4360</v>
      </c>
    </row>
    <row r="1915" spans="1:11" x14ac:dyDescent="0.35">
      <c r="A1915" s="1" t="s">
        <v>4247</v>
      </c>
      <c r="B1915" s="1" t="s">
        <v>4330</v>
      </c>
      <c r="C1915" s="1" t="s">
        <v>4362</v>
      </c>
      <c r="D1915" s="1" t="str">
        <f>"5180"</f>
        <v>5180</v>
      </c>
      <c r="E1915" s="1" t="str">
        <f>"002932875"</f>
        <v>002932875</v>
      </c>
      <c r="F1915" s="1" t="s">
        <v>266</v>
      </c>
      <c r="G1915" s="1" t="s">
        <v>168</v>
      </c>
      <c r="H1915" s="1" t="str">
        <f>"3"</f>
        <v>3</v>
      </c>
      <c r="I1915" s="3" t="str">
        <f>"1251"</f>
        <v>1251</v>
      </c>
      <c r="J1915" s="4">
        <v>46071</v>
      </c>
      <c r="K1915" s="1" t="s">
        <v>4363</v>
      </c>
    </row>
    <row r="1916" spans="1:11" x14ac:dyDescent="0.35">
      <c r="A1916" s="1" t="s">
        <v>4247</v>
      </c>
      <c r="B1916" s="1" t="s">
        <v>4330</v>
      </c>
      <c r="C1916" s="1" t="s">
        <v>4364</v>
      </c>
      <c r="D1916" s="1" t="str">
        <f>"5180"</f>
        <v>5180</v>
      </c>
      <c r="E1916" s="1" t="str">
        <f>"002932875"</f>
        <v>002932875</v>
      </c>
      <c r="F1916" s="1" t="s">
        <v>266</v>
      </c>
      <c r="G1916" s="1" t="s">
        <v>168</v>
      </c>
      <c r="H1916" s="1" t="str">
        <f>"2"</f>
        <v>2</v>
      </c>
      <c r="I1916" s="3" t="str">
        <f>"1251"</f>
        <v>1251</v>
      </c>
      <c r="J1916" s="4">
        <v>46071</v>
      </c>
      <c r="K1916" s="1" t="s">
        <v>4363</v>
      </c>
    </row>
    <row r="1917" spans="1:11" x14ac:dyDescent="0.35">
      <c r="A1917" s="1" t="s">
        <v>4247</v>
      </c>
      <c r="B1917" s="1" t="s">
        <v>4330</v>
      </c>
      <c r="C1917" s="1" t="s">
        <v>4335</v>
      </c>
      <c r="D1917" s="1" t="str">
        <f>"2310"</f>
        <v>2310</v>
      </c>
      <c r="E1917" s="1" t="s">
        <v>3373</v>
      </c>
      <c r="F1917" s="1" t="s">
        <v>3374</v>
      </c>
      <c r="G1917" s="1" t="s">
        <v>15</v>
      </c>
      <c r="H1917" s="1" t="str">
        <f>"1"</f>
        <v>1</v>
      </c>
      <c r="I1917" s="3" t="str">
        <f>"25000"</f>
        <v>25000</v>
      </c>
      <c r="J1917" s="4">
        <v>46078</v>
      </c>
      <c r="K1917" s="1" t="s">
        <v>4336</v>
      </c>
    </row>
    <row r="1918" spans="1:11" x14ac:dyDescent="0.35">
      <c r="A1918" s="1" t="s">
        <v>4247</v>
      </c>
      <c r="B1918" s="1" t="s">
        <v>4262</v>
      </c>
      <c r="C1918" s="1" t="s">
        <v>4263</v>
      </c>
      <c r="D1918" s="1" t="str">
        <f>"5855"</f>
        <v>5855</v>
      </c>
      <c r="E1918" s="1" t="str">
        <f>"014479157"</f>
        <v>014479157</v>
      </c>
      <c r="F1918" s="1" t="s">
        <v>4264</v>
      </c>
      <c r="G1918" s="1" t="s">
        <v>15</v>
      </c>
      <c r="H1918" s="1" t="str">
        <f>"6"</f>
        <v>6</v>
      </c>
      <c r="I1918" s="3">
        <v>7793.93</v>
      </c>
      <c r="J1918" s="4">
        <v>46083</v>
      </c>
      <c r="K1918" s="1" t="s">
        <v>4265</v>
      </c>
    </row>
    <row r="1919" spans="1:11" x14ac:dyDescent="0.35">
      <c r="A1919" s="1" t="s">
        <v>4247</v>
      </c>
      <c r="B1919" s="1" t="s">
        <v>4271</v>
      </c>
      <c r="C1919" s="1" t="s">
        <v>4272</v>
      </c>
      <c r="D1919" s="1" t="str">
        <f>"3920"</f>
        <v>3920</v>
      </c>
      <c r="E1919" s="1" t="s">
        <v>493</v>
      </c>
      <c r="F1919" s="1" t="s">
        <v>494</v>
      </c>
      <c r="G1919" s="1" t="s">
        <v>15</v>
      </c>
      <c r="H1919" s="1" t="str">
        <f>"2"</f>
        <v>2</v>
      </c>
      <c r="I1919" s="3" t="str">
        <f>"100"</f>
        <v>100</v>
      </c>
      <c r="J1919" s="4">
        <v>46086</v>
      </c>
      <c r="K1919" s="1" t="s">
        <v>4273</v>
      </c>
    </row>
    <row r="1920" spans="1:11" x14ac:dyDescent="0.35">
      <c r="A1920" s="1" t="s">
        <v>4247</v>
      </c>
      <c r="B1920" s="1" t="s">
        <v>4271</v>
      </c>
      <c r="C1920" s="1" t="s">
        <v>4282</v>
      </c>
      <c r="D1920" s="1" t="str">
        <f>"5120"</f>
        <v>5120</v>
      </c>
      <c r="E1920" s="1" t="str">
        <f>"008785932"</f>
        <v>008785932</v>
      </c>
      <c r="F1920" s="1" t="s">
        <v>76</v>
      </c>
      <c r="G1920" s="1" t="s">
        <v>15</v>
      </c>
      <c r="H1920" s="1" t="str">
        <f>"6"</f>
        <v>6</v>
      </c>
      <c r="I1920" s="3">
        <v>97.1</v>
      </c>
      <c r="J1920" s="4">
        <v>46087</v>
      </c>
      <c r="K1920" s="1" t="s">
        <v>4283</v>
      </c>
    </row>
    <row r="1921" spans="1:11" x14ac:dyDescent="0.35">
      <c r="A1921" s="1" t="s">
        <v>4247</v>
      </c>
      <c r="B1921" s="1" t="s">
        <v>4271</v>
      </c>
      <c r="C1921" s="1" t="s">
        <v>4284</v>
      </c>
      <c r="D1921" s="1" t="str">
        <f>"5120"</f>
        <v>5120</v>
      </c>
      <c r="E1921" s="1" t="str">
        <f>"008785932"</f>
        <v>008785932</v>
      </c>
      <c r="F1921" s="1" t="s">
        <v>76</v>
      </c>
      <c r="G1921" s="1" t="s">
        <v>15</v>
      </c>
      <c r="H1921" s="1" t="str">
        <f>"3"</f>
        <v>3</v>
      </c>
      <c r="I1921" s="3">
        <v>97.1</v>
      </c>
      <c r="J1921" s="4">
        <v>46087</v>
      </c>
      <c r="K1921" s="1" t="s">
        <v>4277</v>
      </c>
    </row>
    <row r="1922" spans="1:11" x14ac:dyDescent="0.35">
      <c r="A1922" s="1" t="s">
        <v>4247</v>
      </c>
      <c r="B1922" s="1" t="s">
        <v>4271</v>
      </c>
      <c r="C1922" s="1" t="s">
        <v>4285</v>
      </c>
      <c r="D1922" s="1" t="str">
        <f>"5120"</f>
        <v>5120</v>
      </c>
      <c r="E1922" s="1" t="str">
        <f>"008785932"</f>
        <v>008785932</v>
      </c>
      <c r="F1922" s="1" t="s">
        <v>76</v>
      </c>
      <c r="G1922" s="1" t="s">
        <v>15</v>
      </c>
      <c r="H1922" s="1" t="str">
        <f>"49"</f>
        <v>49</v>
      </c>
      <c r="I1922" s="3">
        <v>97.1</v>
      </c>
      <c r="J1922" s="4">
        <v>46087</v>
      </c>
      <c r="K1922" s="1" t="s">
        <v>4286</v>
      </c>
    </row>
    <row r="1923" spans="1:11" x14ac:dyDescent="0.35">
      <c r="A1923" s="1" t="s">
        <v>4247</v>
      </c>
      <c r="B1923" s="1" t="s">
        <v>4271</v>
      </c>
      <c r="C1923" s="1" t="s">
        <v>4287</v>
      </c>
      <c r="D1923" s="1" t="str">
        <f>"5120"</f>
        <v>5120</v>
      </c>
      <c r="E1923" s="1" t="str">
        <f>"014767556"</f>
        <v>014767556</v>
      </c>
      <c r="F1923" s="1" t="s">
        <v>76</v>
      </c>
      <c r="G1923" s="1" t="s">
        <v>15</v>
      </c>
      <c r="H1923" s="1" t="str">
        <f>"1"</f>
        <v>1</v>
      </c>
      <c r="I1923" s="3">
        <v>61.83</v>
      </c>
      <c r="J1923" s="4">
        <v>46087</v>
      </c>
      <c r="K1923" s="1" t="s">
        <v>4277</v>
      </c>
    </row>
    <row r="1924" spans="1:11" x14ac:dyDescent="0.35">
      <c r="A1924" s="1" t="s">
        <v>4247</v>
      </c>
      <c r="B1924" s="1" t="s">
        <v>4271</v>
      </c>
      <c r="C1924" s="1" t="s">
        <v>4288</v>
      </c>
      <c r="D1924" s="1" t="str">
        <f>"5120"</f>
        <v>5120</v>
      </c>
      <c r="E1924" s="1" t="str">
        <f>"008785932"</f>
        <v>008785932</v>
      </c>
      <c r="F1924" s="1" t="s">
        <v>76</v>
      </c>
      <c r="G1924" s="1" t="s">
        <v>15</v>
      </c>
      <c r="H1924" s="1" t="str">
        <f>"1"</f>
        <v>1</v>
      </c>
      <c r="I1924" s="3">
        <v>97.1</v>
      </c>
      <c r="J1924" s="4">
        <v>46087</v>
      </c>
      <c r="K1924" s="1" t="s">
        <v>4277</v>
      </c>
    </row>
    <row r="1925" spans="1:11" x14ac:dyDescent="0.35">
      <c r="A1925" s="1" t="s">
        <v>4247</v>
      </c>
      <c r="B1925" s="1" t="s">
        <v>4271</v>
      </c>
      <c r="C1925" s="1" t="s">
        <v>4289</v>
      </c>
      <c r="D1925" s="1" t="str">
        <f>"5180"</f>
        <v>5180</v>
      </c>
      <c r="E1925" s="1" t="str">
        <f>"016282375"</f>
        <v>016282375</v>
      </c>
      <c r="F1925" s="1" t="s">
        <v>322</v>
      </c>
      <c r="G1925" s="1" t="s">
        <v>168</v>
      </c>
      <c r="H1925" s="1" t="str">
        <f>"8"</f>
        <v>8</v>
      </c>
      <c r="I1925" s="3" t="str">
        <f>"3655"</f>
        <v>3655</v>
      </c>
      <c r="J1925" s="4">
        <v>46087</v>
      </c>
      <c r="K1925" s="1" t="s">
        <v>4290</v>
      </c>
    </row>
    <row r="1926" spans="1:11" x14ac:dyDescent="0.35">
      <c r="A1926" s="1" t="s">
        <v>4247</v>
      </c>
      <c r="B1926" s="1" t="s">
        <v>4271</v>
      </c>
      <c r="C1926" s="1" t="s">
        <v>4291</v>
      </c>
      <c r="D1926" s="1" t="str">
        <f>"8340"</f>
        <v>8340</v>
      </c>
      <c r="E1926" s="1" t="str">
        <f>"016004807"</f>
        <v>016004807</v>
      </c>
      <c r="F1926" s="1" t="s">
        <v>2958</v>
      </c>
      <c r="G1926" s="1" t="s">
        <v>15</v>
      </c>
      <c r="H1926" s="1" t="str">
        <f>"2"</f>
        <v>2</v>
      </c>
      <c r="I1926" s="3">
        <v>75.319999999999993</v>
      </c>
      <c r="J1926" s="4">
        <v>46087</v>
      </c>
      <c r="K1926" s="1" t="s">
        <v>4292</v>
      </c>
    </row>
    <row r="1927" spans="1:11" x14ac:dyDescent="0.35">
      <c r="A1927" s="1" t="s">
        <v>4247</v>
      </c>
      <c r="B1927" s="1" t="s">
        <v>4271</v>
      </c>
      <c r="C1927" s="1" t="s">
        <v>4293</v>
      </c>
      <c r="D1927" s="1" t="str">
        <f>"8340"</f>
        <v>8340</v>
      </c>
      <c r="E1927" s="1" t="str">
        <f>"016004809"</f>
        <v>016004809</v>
      </c>
      <c r="F1927" s="1" t="s">
        <v>2958</v>
      </c>
      <c r="G1927" s="1" t="s">
        <v>15</v>
      </c>
      <c r="H1927" s="1" t="str">
        <f>"1"</f>
        <v>1</v>
      </c>
      <c r="I1927" s="3">
        <v>76.260000000000005</v>
      </c>
      <c r="J1927" s="4">
        <v>46087</v>
      </c>
      <c r="K1927" s="1" t="s">
        <v>4294</v>
      </c>
    </row>
    <row r="1928" spans="1:11" x14ac:dyDescent="0.35">
      <c r="A1928" s="1" t="s">
        <v>4247</v>
      </c>
      <c r="B1928" s="1" t="s">
        <v>4271</v>
      </c>
      <c r="C1928" s="1" t="s">
        <v>4295</v>
      </c>
      <c r="D1928" s="1" t="str">
        <f t="shared" ref="D1928:D1955" si="93">"8465"</f>
        <v>8465</v>
      </c>
      <c r="E1928" s="1" t="str">
        <f>"015800689"</f>
        <v>015800689</v>
      </c>
      <c r="F1928" s="1" t="s">
        <v>368</v>
      </c>
      <c r="G1928" s="1" t="s">
        <v>15</v>
      </c>
      <c r="H1928" s="1" t="str">
        <f>"5"</f>
        <v>5</v>
      </c>
      <c r="I1928" s="3" t="str">
        <f>"36"</f>
        <v>36</v>
      </c>
      <c r="J1928" s="4">
        <v>46087</v>
      </c>
      <c r="K1928" s="1" t="s">
        <v>4296</v>
      </c>
    </row>
    <row r="1929" spans="1:11" x14ac:dyDescent="0.35">
      <c r="A1929" s="1" t="s">
        <v>4247</v>
      </c>
      <c r="B1929" s="1" t="s">
        <v>4271</v>
      </c>
      <c r="C1929" s="1" t="s">
        <v>4297</v>
      </c>
      <c r="D1929" s="1" t="str">
        <f t="shared" si="93"/>
        <v>8465</v>
      </c>
      <c r="E1929" s="1" t="str">
        <f>"015800981"</f>
        <v>015800981</v>
      </c>
      <c r="F1929" s="1" t="s">
        <v>343</v>
      </c>
      <c r="G1929" s="1" t="s">
        <v>15</v>
      </c>
      <c r="H1929" s="1" t="str">
        <f>"7"</f>
        <v>7</v>
      </c>
      <c r="I1929" s="3">
        <v>75.150000000000006</v>
      </c>
      <c r="J1929" s="4">
        <v>46087</v>
      </c>
      <c r="K1929" s="1" t="s">
        <v>4296</v>
      </c>
    </row>
    <row r="1930" spans="1:11" x14ac:dyDescent="0.35">
      <c r="A1930" s="1" t="s">
        <v>4247</v>
      </c>
      <c r="B1930" s="1" t="s">
        <v>4271</v>
      </c>
      <c r="C1930" s="1" t="s">
        <v>4298</v>
      </c>
      <c r="D1930" s="1" t="str">
        <f t="shared" si="93"/>
        <v>8465</v>
      </c>
      <c r="E1930" s="1" t="str">
        <f>"015245250"</f>
        <v>015245250</v>
      </c>
      <c r="F1930" s="1" t="s">
        <v>343</v>
      </c>
      <c r="G1930" s="1" t="s">
        <v>15</v>
      </c>
      <c r="H1930" s="1" t="str">
        <f>"75"</f>
        <v>75</v>
      </c>
      <c r="I1930" s="3">
        <v>75.150000000000006</v>
      </c>
      <c r="J1930" s="4">
        <v>46087</v>
      </c>
      <c r="K1930" s="1" t="s">
        <v>4296</v>
      </c>
    </row>
    <row r="1931" spans="1:11" x14ac:dyDescent="0.35">
      <c r="A1931" s="1" t="s">
        <v>4247</v>
      </c>
      <c r="B1931" s="1" t="s">
        <v>4271</v>
      </c>
      <c r="C1931" s="1" t="s">
        <v>4299</v>
      </c>
      <c r="D1931" s="1" t="str">
        <f t="shared" si="93"/>
        <v>8465</v>
      </c>
      <c r="E1931" s="1" t="str">
        <f>"015245250"</f>
        <v>015245250</v>
      </c>
      <c r="F1931" s="1" t="s">
        <v>343</v>
      </c>
      <c r="G1931" s="1" t="s">
        <v>15</v>
      </c>
      <c r="H1931" s="1" t="str">
        <f>"7"</f>
        <v>7</v>
      </c>
      <c r="I1931" s="3">
        <v>75.150000000000006</v>
      </c>
      <c r="J1931" s="4">
        <v>46087</v>
      </c>
      <c r="K1931" s="1" t="s">
        <v>4300</v>
      </c>
    </row>
    <row r="1932" spans="1:11" x14ac:dyDescent="0.35">
      <c r="A1932" s="1" t="s">
        <v>4247</v>
      </c>
      <c r="B1932" s="1" t="s">
        <v>4271</v>
      </c>
      <c r="C1932" s="1" t="s">
        <v>4301</v>
      </c>
      <c r="D1932" s="1" t="str">
        <f t="shared" si="93"/>
        <v>8465</v>
      </c>
      <c r="E1932" s="1" t="str">
        <f>"015245250"</f>
        <v>015245250</v>
      </c>
      <c r="F1932" s="1" t="s">
        <v>343</v>
      </c>
      <c r="G1932" s="1" t="s">
        <v>15</v>
      </c>
      <c r="H1932" s="1" t="str">
        <f>"25"</f>
        <v>25</v>
      </c>
      <c r="I1932" s="3">
        <v>75.150000000000006</v>
      </c>
      <c r="J1932" s="4">
        <v>46087</v>
      </c>
      <c r="K1932" s="1" t="s">
        <v>4296</v>
      </c>
    </row>
    <row r="1933" spans="1:11" x14ac:dyDescent="0.35">
      <c r="A1933" s="1" t="s">
        <v>4247</v>
      </c>
      <c r="B1933" s="1" t="s">
        <v>4271</v>
      </c>
      <c r="C1933" s="1" t="s">
        <v>4302</v>
      </c>
      <c r="D1933" s="1" t="str">
        <f t="shared" si="93"/>
        <v>8465</v>
      </c>
      <c r="E1933" s="1" t="str">
        <f>"015248407"</f>
        <v>015248407</v>
      </c>
      <c r="F1933" s="1" t="s">
        <v>3104</v>
      </c>
      <c r="G1933" s="1" t="s">
        <v>15</v>
      </c>
      <c r="H1933" s="1" t="str">
        <f>"6"</f>
        <v>6</v>
      </c>
      <c r="I1933" s="3">
        <v>19.27</v>
      </c>
      <c r="J1933" s="4">
        <v>46087</v>
      </c>
      <c r="K1933" s="1" t="s">
        <v>4303</v>
      </c>
    </row>
    <row r="1934" spans="1:11" x14ac:dyDescent="0.35">
      <c r="A1934" s="1" t="s">
        <v>4247</v>
      </c>
      <c r="B1934" s="1" t="s">
        <v>4271</v>
      </c>
      <c r="C1934" s="1" t="s">
        <v>4304</v>
      </c>
      <c r="D1934" s="1" t="str">
        <f t="shared" si="93"/>
        <v>8465</v>
      </c>
      <c r="E1934" s="1" t="str">
        <f>"015248407"</f>
        <v>015248407</v>
      </c>
      <c r="F1934" s="1" t="s">
        <v>3104</v>
      </c>
      <c r="G1934" s="1" t="s">
        <v>15</v>
      </c>
      <c r="H1934" s="1" t="str">
        <f>"35"</f>
        <v>35</v>
      </c>
      <c r="I1934" s="3">
        <v>19.27</v>
      </c>
      <c r="J1934" s="4">
        <v>46087</v>
      </c>
      <c r="K1934" s="1" t="s">
        <v>4303</v>
      </c>
    </row>
    <row r="1935" spans="1:11" x14ac:dyDescent="0.35">
      <c r="A1935" s="1" t="s">
        <v>4247</v>
      </c>
      <c r="B1935" s="1" t="s">
        <v>4271</v>
      </c>
      <c r="C1935" s="1" t="s">
        <v>4305</v>
      </c>
      <c r="D1935" s="1" t="str">
        <f t="shared" si="93"/>
        <v>8465</v>
      </c>
      <c r="E1935" s="1" t="str">
        <f>"015248407"</f>
        <v>015248407</v>
      </c>
      <c r="F1935" s="1" t="s">
        <v>3104</v>
      </c>
      <c r="G1935" s="1" t="s">
        <v>15</v>
      </c>
      <c r="H1935" s="1" t="str">
        <f>"7"</f>
        <v>7</v>
      </c>
      <c r="I1935" s="3">
        <v>19.27</v>
      </c>
      <c r="J1935" s="4">
        <v>46087</v>
      </c>
      <c r="K1935" s="1" t="s">
        <v>4303</v>
      </c>
    </row>
    <row r="1936" spans="1:11" x14ac:dyDescent="0.35">
      <c r="A1936" s="1" t="s">
        <v>4247</v>
      </c>
      <c r="B1936" s="1" t="s">
        <v>4271</v>
      </c>
      <c r="C1936" s="1" t="s">
        <v>4306</v>
      </c>
      <c r="D1936" s="1" t="str">
        <f t="shared" si="93"/>
        <v>8465</v>
      </c>
      <c r="E1936" s="1" t="str">
        <f>"015248407"</f>
        <v>015248407</v>
      </c>
      <c r="F1936" s="1" t="s">
        <v>3104</v>
      </c>
      <c r="G1936" s="1" t="s">
        <v>15</v>
      </c>
      <c r="H1936" s="1" t="str">
        <f>"6"</f>
        <v>6</v>
      </c>
      <c r="I1936" s="3">
        <v>19.27</v>
      </c>
      <c r="J1936" s="4">
        <v>46087</v>
      </c>
      <c r="K1936" s="1" t="s">
        <v>4303</v>
      </c>
    </row>
    <row r="1937" spans="1:11" x14ac:dyDescent="0.35">
      <c r="A1937" s="1" t="s">
        <v>4247</v>
      </c>
      <c r="B1937" s="1" t="s">
        <v>4271</v>
      </c>
      <c r="C1937" s="1" t="s">
        <v>4307</v>
      </c>
      <c r="D1937" s="1" t="str">
        <f t="shared" si="93"/>
        <v>8465</v>
      </c>
      <c r="E1937" s="1" t="str">
        <f>"015245250"</f>
        <v>015245250</v>
      </c>
      <c r="F1937" s="1" t="s">
        <v>343</v>
      </c>
      <c r="G1937" s="1" t="s">
        <v>15</v>
      </c>
      <c r="H1937" s="1" t="str">
        <f>"17"</f>
        <v>17</v>
      </c>
      <c r="I1937" s="3">
        <v>75.150000000000006</v>
      </c>
      <c r="J1937" s="4">
        <v>46087</v>
      </c>
      <c r="K1937" s="1" t="s">
        <v>4296</v>
      </c>
    </row>
    <row r="1938" spans="1:11" x14ac:dyDescent="0.35">
      <c r="A1938" s="1" t="s">
        <v>4247</v>
      </c>
      <c r="B1938" s="1" t="s">
        <v>4271</v>
      </c>
      <c r="C1938" s="1" t="s">
        <v>4308</v>
      </c>
      <c r="D1938" s="1" t="str">
        <f t="shared" si="93"/>
        <v>8465</v>
      </c>
      <c r="E1938" s="1" t="str">
        <f>"015245250"</f>
        <v>015245250</v>
      </c>
      <c r="F1938" s="1" t="s">
        <v>343</v>
      </c>
      <c r="G1938" s="1" t="s">
        <v>15</v>
      </c>
      <c r="H1938" s="1" t="str">
        <f>"51"</f>
        <v>51</v>
      </c>
      <c r="I1938" s="3">
        <v>75.150000000000006</v>
      </c>
      <c r="J1938" s="4">
        <v>46087</v>
      </c>
      <c r="K1938" s="1" t="s">
        <v>4296</v>
      </c>
    </row>
    <row r="1939" spans="1:11" x14ac:dyDescent="0.35">
      <c r="A1939" s="1" t="s">
        <v>4247</v>
      </c>
      <c r="B1939" s="1" t="s">
        <v>4271</v>
      </c>
      <c r="C1939" s="1" t="s">
        <v>4309</v>
      </c>
      <c r="D1939" s="1" t="str">
        <f t="shared" si="93"/>
        <v>8465</v>
      </c>
      <c r="E1939" s="1" t="str">
        <f>"015800981"</f>
        <v>015800981</v>
      </c>
      <c r="F1939" s="1" t="s">
        <v>343</v>
      </c>
      <c r="G1939" s="1" t="s">
        <v>15</v>
      </c>
      <c r="H1939" s="1" t="str">
        <f>"10"</f>
        <v>10</v>
      </c>
      <c r="I1939" s="3">
        <v>75.150000000000006</v>
      </c>
      <c r="J1939" s="4">
        <v>46087</v>
      </c>
      <c r="K1939" s="1" t="s">
        <v>4296</v>
      </c>
    </row>
    <row r="1940" spans="1:11" x14ac:dyDescent="0.35">
      <c r="A1940" s="1" t="s">
        <v>4247</v>
      </c>
      <c r="B1940" s="1" t="s">
        <v>4271</v>
      </c>
      <c r="C1940" s="1" t="s">
        <v>4310</v>
      </c>
      <c r="D1940" s="1" t="str">
        <f t="shared" si="93"/>
        <v>8465</v>
      </c>
      <c r="E1940" s="1" t="str">
        <f>"015800689"</f>
        <v>015800689</v>
      </c>
      <c r="F1940" s="1" t="s">
        <v>368</v>
      </c>
      <c r="G1940" s="1" t="s">
        <v>15</v>
      </c>
      <c r="H1940" s="1" t="str">
        <f>"12"</f>
        <v>12</v>
      </c>
      <c r="I1940" s="3" t="str">
        <f>"36"</f>
        <v>36</v>
      </c>
      <c r="J1940" s="4">
        <v>46087</v>
      </c>
      <c r="K1940" s="1" t="s">
        <v>4296</v>
      </c>
    </row>
    <row r="1941" spans="1:11" x14ac:dyDescent="0.35">
      <c r="A1941" s="1" t="s">
        <v>4247</v>
      </c>
      <c r="B1941" s="1" t="s">
        <v>4271</v>
      </c>
      <c r="C1941" s="1" t="s">
        <v>4311</v>
      </c>
      <c r="D1941" s="1" t="str">
        <f t="shared" si="93"/>
        <v>8465</v>
      </c>
      <c r="E1941" s="1" t="str">
        <f>"016418924"</f>
        <v>016418924</v>
      </c>
      <c r="F1941" s="1" t="s">
        <v>368</v>
      </c>
      <c r="G1941" s="1" t="s">
        <v>15</v>
      </c>
      <c r="H1941" s="1" t="str">
        <f>"9"</f>
        <v>9</v>
      </c>
      <c r="I1941" s="3">
        <v>37.9</v>
      </c>
      <c r="J1941" s="4">
        <v>46087</v>
      </c>
      <c r="K1941" s="1" t="s">
        <v>4296</v>
      </c>
    </row>
    <row r="1942" spans="1:11" x14ac:dyDescent="0.35">
      <c r="A1942" s="1" t="s">
        <v>4247</v>
      </c>
      <c r="B1942" s="1" t="s">
        <v>4271</v>
      </c>
      <c r="C1942" s="1" t="s">
        <v>4312</v>
      </c>
      <c r="D1942" s="1" t="str">
        <f t="shared" si="93"/>
        <v>8465</v>
      </c>
      <c r="E1942" s="1" t="str">
        <f>"015800981"</f>
        <v>015800981</v>
      </c>
      <c r="F1942" s="1" t="s">
        <v>343</v>
      </c>
      <c r="G1942" s="1" t="s">
        <v>15</v>
      </c>
      <c r="H1942" s="1" t="str">
        <f>"18"</f>
        <v>18</v>
      </c>
      <c r="I1942" s="3">
        <v>75.150000000000006</v>
      </c>
      <c r="J1942" s="4">
        <v>46087</v>
      </c>
      <c r="K1942" s="1" t="s">
        <v>4296</v>
      </c>
    </row>
    <row r="1943" spans="1:11" x14ac:dyDescent="0.35">
      <c r="A1943" s="1" t="s">
        <v>4247</v>
      </c>
      <c r="B1943" s="1" t="s">
        <v>4271</v>
      </c>
      <c r="C1943" s="1" t="s">
        <v>4313</v>
      </c>
      <c r="D1943" s="1" t="str">
        <f t="shared" si="93"/>
        <v>8465</v>
      </c>
      <c r="E1943" s="1" t="str">
        <f>"015245250"</f>
        <v>015245250</v>
      </c>
      <c r="F1943" s="1" t="s">
        <v>343</v>
      </c>
      <c r="G1943" s="1" t="s">
        <v>15</v>
      </c>
      <c r="H1943" s="1" t="str">
        <f>"6"</f>
        <v>6</v>
      </c>
      <c r="I1943" s="3">
        <v>75.150000000000006</v>
      </c>
      <c r="J1943" s="4">
        <v>46087</v>
      </c>
      <c r="K1943" s="1" t="s">
        <v>4296</v>
      </c>
    </row>
    <row r="1944" spans="1:11" x14ac:dyDescent="0.35">
      <c r="A1944" s="1" t="s">
        <v>4247</v>
      </c>
      <c r="B1944" s="1" t="s">
        <v>4271</v>
      </c>
      <c r="C1944" s="1" t="s">
        <v>4314</v>
      </c>
      <c r="D1944" s="1" t="str">
        <f t="shared" si="93"/>
        <v>8465</v>
      </c>
      <c r="E1944" s="1" t="str">
        <f>"015245250"</f>
        <v>015245250</v>
      </c>
      <c r="F1944" s="1" t="s">
        <v>343</v>
      </c>
      <c r="G1944" s="1" t="s">
        <v>15</v>
      </c>
      <c r="H1944" s="1" t="str">
        <f>"13"</f>
        <v>13</v>
      </c>
      <c r="I1944" s="3">
        <v>75.150000000000006</v>
      </c>
      <c r="J1944" s="4">
        <v>46087</v>
      </c>
      <c r="K1944" s="1" t="s">
        <v>4296</v>
      </c>
    </row>
    <row r="1945" spans="1:11" x14ac:dyDescent="0.35">
      <c r="A1945" s="1" t="s">
        <v>4247</v>
      </c>
      <c r="B1945" s="1" t="s">
        <v>4271</v>
      </c>
      <c r="C1945" s="1" t="s">
        <v>4315</v>
      </c>
      <c r="D1945" s="1" t="str">
        <f t="shared" si="93"/>
        <v>8465</v>
      </c>
      <c r="E1945" s="1" t="str">
        <f>"015800689"</f>
        <v>015800689</v>
      </c>
      <c r="F1945" s="1" t="s">
        <v>368</v>
      </c>
      <c r="G1945" s="1" t="s">
        <v>15</v>
      </c>
      <c r="H1945" s="1" t="str">
        <f>"7"</f>
        <v>7</v>
      </c>
      <c r="I1945" s="3" t="str">
        <f>"36"</f>
        <v>36</v>
      </c>
      <c r="J1945" s="4">
        <v>46087</v>
      </c>
      <c r="K1945" s="1" t="s">
        <v>4296</v>
      </c>
    </row>
    <row r="1946" spans="1:11" x14ac:dyDescent="0.35">
      <c r="A1946" s="1" t="s">
        <v>4247</v>
      </c>
      <c r="B1946" s="1" t="s">
        <v>4271</v>
      </c>
      <c r="C1946" s="1" t="s">
        <v>4316</v>
      </c>
      <c r="D1946" s="1" t="str">
        <f t="shared" si="93"/>
        <v>8465</v>
      </c>
      <c r="E1946" s="1" t="str">
        <f>"015800981"</f>
        <v>015800981</v>
      </c>
      <c r="F1946" s="1" t="s">
        <v>343</v>
      </c>
      <c r="G1946" s="1" t="s">
        <v>15</v>
      </c>
      <c r="H1946" s="1" t="str">
        <f>"5"</f>
        <v>5</v>
      </c>
      <c r="I1946" s="3">
        <v>75.150000000000006</v>
      </c>
      <c r="J1946" s="4">
        <v>46087</v>
      </c>
      <c r="K1946" s="1" t="s">
        <v>4296</v>
      </c>
    </row>
    <row r="1947" spans="1:11" x14ac:dyDescent="0.35">
      <c r="A1947" s="1" t="s">
        <v>4247</v>
      </c>
      <c r="B1947" s="1" t="s">
        <v>4271</v>
      </c>
      <c r="C1947" s="1" t="s">
        <v>4317</v>
      </c>
      <c r="D1947" s="1" t="str">
        <f t="shared" si="93"/>
        <v>8465</v>
      </c>
      <c r="E1947" s="1" t="str">
        <f>"015800981"</f>
        <v>015800981</v>
      </c>
      <c r="F1947" s="1" t="s">
        <v>343</v>
      </c>
      <c r="G1947" s="1" t="s">
        <v>15</v>
      </c>
      <c r="H1947" s="1" t="str">
        <f>"6"</f>
        <v>6</v>
      </c>
      <c r="I1947" s="3">
        <v>75.150000000000006</v>
      </c>
      <c r="J1947" s="4">
        <v>46087</v>
      </c>
      <c r="K1947" s="1" t="s">
        <v>4318</v>
      </c>
    </row>
    <row r="1948" spans="1:11" x14ac:dyDescent="0.35">
      <c r="A1948" s="1" t="s">
        <v>4247</v>
      </c>
      <c r="B1948" s="1" t="s">
        <v>4271</v>
      </c>
      <c r="C1948" s="1" t="s">
        <v>4319</v>
      </c>
      <c r="D1948" s="1" t="str">
        <f t="shared" si="93"/>
        <v>8465</v>
      </c>
      <c r="E1948" s="1" t="str">
        <f>"015245250"</f>
        <v>015245250</v>
      </c>
      <c r="F1948" s="1" t="s">
        <v>343</v>
      </c>
      <c r="G1948" s="1" t="s">
        <v>15</v>
      </c>
      <c r="H1948" s="1" t="str">
        <f>"20"</f>
        <v>20</v>
      </c>
      <c r="I1948" s="3">
        <v>75.150000000000006</v>
      </c>
      <c r="J1948" s="4">
        <v>46087</v>
      </c>
      <c r="K1948" s="1" t="s">
        <v>4296</v>
      </c>
    </row>
    <row r="1949" spans="1:11" x14ac:dyDescent="0.35">
      <c r="A1949" s="1" t="s">
        <v>4247</v>
      </c>
      <c r="B1949" s="1" t="s">
        <v>4271</v>
      </c>
      <c r="C1949" s="1" t="s">
        <v>4320</v>
      </c>
      <c r="D1949" s="1" t="str">
        <f t="shared" si="93"/>
        <v>8465</v>
      </c>
      <c r="E1949" s="1" t="str">
        <f>"015245250"</f>
        <v>015245250</v>
      </c>
      <c r="F1949" s="1" t="s">
        <v>343</v>
      </c>
      <c r="G1949" s="1" t="s">
        <v>15</v>
      </c>
      <c r="H1949" s="1" t="str">
        <f>"9"</f>
        <v>9</v>
      </c>
      <c r="I1949" s="3">
        <v>75.150000000000006</v>
      </c>
      <c r="J1949" s="4">
        <v>46087</v>
      </c>
      <c r="K1949" s="1" t="s">
        <v>4296</v>
      </c>
    </row>
    <row r="1950" spans="1:11" x14ac:dyDescent="0.35">
      <c r="A1950" s="1" t="s">
        <v>4247</v>
      </c>
      <c r="B1950" s="1" t="s">
        <v>4271</v>
      </c>
      <c r="C1950" s="1" t="s">
        <v>4321</v>
      </c>
      <c r="D1950" s="1" t="str">
        <f t="shared" si="93"/>
        <v>8465</v>
      </c>
      <c r="E1950" s="1" t="str">
        <f>"016418924"</f>
        <v>016418924</v>
      </c>
      <c r="F1950" s="1" t="s">
        <v>368</v>
      </c>
      <c r="G1950" s="1" t="s">
        <v>15</v>
      </c>
      <c r="H1950" s="1" t="str">
        <f>"6"</f>
        <v>6</v>
      </c>
      <c r="I1950" s="3">
        <v>37.9</v>
      </c>
      <c r="J1950" s="4">
        <v>46087</v>
      </c>
      <c r="K1950" s="1" t="s">
        <v>4296</v>
      </c>
    </row>
    <row r="1951" spans="1:11" x14ac:dyDescent="0.35">
      <c r="A1951" s="1" t="s">
        <v>4247</v>
      </c>
      <c r="B1951" s="1" t="s">
        <v>4271</v>
      </c>
      <c r="C1951" s="1" t="s">
        <v>4322</v>
      </c>
      <c r="D1951" s="1" t="str">
        <f t="shared" si="93"/>
        <v>8465</v>
      </c>
      <c r="E1951" s="1" t="str">
        <f>"015245250"</f>
        <v>015245250</v>
      </c>
      <c r="F1951" s="1" t="s">
        <v>343</v>
      </c>
      <c r="G1951" s="1" t="s">
        <v>15</v>
      </c>
      <c r="H1951" s="1" t="str">
        <f>"12"</f>
        <v>12</v>
      </c>
      <c r="I1951" s="3">
        <v>75.150000000000006</v>
      </c>
      <c r="J1951" s="4">
        <v>46087</v>
      </c>
      <c r="K1951" s="1" t="s">
        <v>4296</v>
      </c>
    </row>
    <row r="1952" spans="1:11" x14ac:dyDescent="0.35">
      <c r="A1952" s="1" t="s">
        <v>4247</v>
      </c>
      <c r="B1952" s="1" t="s">
        <v>4271</v>
      </c>
      <c r="C1952" s="1" t="s">
        <v>4323</v>
      </c>
      <c r="D1952" s="1" t="str">
        <f t="shared" si="93"/>
        <v>8465</v>
      </c>
      <c r="E1952" s="1" t="str">
        <f>"016418924"</f>
        <v>016418924</v>
      </c>
      <c r="F1952" s="1" t="s">
        <v>368</v>
      </c>
      <c r="G1952" s="1" t="s">
        <v>15</v>
      </c>
      <c r="H1952" s="1" t="str">
        <f>"2"</f>
        <v>2</v>
      </c>
      <c r="I1952" s="3">
        <v>37.9</v>
      </c>
      <c r="J1952" s="4">
        <v>46087</v>
      </c>
      <c r="K1952" s="1" t="s">
        <v>4296</v>
      </c>
    </row>
    <row r="1953" spans="1:11" x14ac:dyDescent="0.35">
      <c r="A1953" s="1" t="s">
        <v>4247</v>
      </c>
      <c r="B1953" s="1" t="s">
        <v>4271</v>
      </c>
      <c r="C1953" s="1" t="s">
        <v>4324</v>
      </c>
      <c r="D1953" s="1" t="str">
        <f t="shared" si="93"/>
        <v>8465</v>
      </c>
      <c r="E1953" s="1" t="str">
        <f>"015245250"</f>
        <v>015245250</v>
      </c>
      <c r="F1953" s="1" t="s">
        <v>343</v>
      </c>
      <c r="G1953" s="1" t="s">
        <v>15</v>
      </c>
      <c r="H1953" s="1" t="str">
        <f>"2"</f>
        <v>2</v>
      </c>
      <c r="I1953" s="3">
        <v>75.150000000000006</v>
      </c>
      <c r="J1953" s="4">
        <v>46087</v>
      </c>
      <c r="K1953" s="1" t="s">
        <v>4296</v>
      </c>
    </row>
    <row r="1954" spans="1:11" x14ac:dyDescent="0.35">
      <c r="A1954" s="1" t="s">
        <v>4247</v>
      </c>
      <c r="B1954" s="1" t="s">
        <v>4271</v>
      </c>
      <c r="C1954" s="1" t="s">
        <v>4325</v>
      </c>
      <c r="D1954" s="1" t="str">
        <f t="shared" si="93"/>
        <v>8465</v>
      </c>
      <c r="E1954" s="1" t="str">
        <f>"016418924"</f>
        <v>016418924</v>
      </c>
      <c r="F1954" s="1" t="s">
        <v>368</v>
      </c>
      <c r="G1954" s="1" t="s">
        <v>15</v>
      </c>
      <c r="H1954" s="1" t="str">
        <f>"13"</f>
        <v>13</v>
      </c>
      <c r="I1954" s="3">
        <v>37.9</v>
      </c>
      <c r="J1954" s="4">
        <v>46087</v>
      </c>
      <c r="K1954" s="1" t="s">
        <v>4296</v>
      </c>
    </row>
    <row r="1955" spans="1:11" x14ac:dyDescent="0.35">
      <c r="A1955" s="1" t="s">
        <v>4247</v>
      </c>
      <c r="B1955" s="1" t="s">
        <v>4271</v>
      </c>
      <c r="C1955" s="1" t="s">
        <v>4326</v>
      </c>
      <c r="D1955" s="1" t="str">
        <f t="shared" si="93"/>
        <v>8465</v>
      </c>
      <c r="E1955" s="1" t="str">
        <f>"015245250"</f>
        <v>015245250</v>
      </c>
      <c r="F1955" s="1" t="s">
        <v>343</v>
      </c>
      <c r="G1955" s="1" t="s">
        <v>15</v>
      </c>
      <c r="H1955" s="1" t="str">
        <f>"37"</f>
        <v>37</v>
      </c>
      <c r="I1955" s="3">
        <v>75.150000000000006</v>
      </c>
      <c r="J1955" s="4">
        <v>46087</v>
      </c>
      <c r="K1955" s="1" t="s">
        <v>4296</v>
      </c>
    </row>
    <row r="1956" spans="1:11" x14ac:dyDescent="0.35">
      <c r="A1956" s="1" t="s">
        <v>4247</v>
      </c>
      <c r="B1956" s="1" t="s">
        <v>4330</v>
      </c>
      <c r="C1956" s="1" t="s">
        <v>4353</v>
      </c>
      <c r="D1956" s="1" t="str">
        <f>"4940"</f>
        <v>4940</v>
      </c>
      <c r="E1956" s="1" t="s">
        <v>2479</v>
      </c>
      <c r="F1956" s="1" t="s">
        <v>2480</v>
      </c>
      <c r="G1956" s="1" t="s">
        <v>15</v>
      </c>
      <c r="H1956" s="1" t="str">
        <f>"1"</f>
        <v>1</v>
      </c>
      <c r="I1956" s="3">
        <v>117820.08</v>
      </c>
      <c r="J1956" s="4">
        <v>46087</v>
      </c>
      <c r="K1956" s="1" t="s">
        <v>4354</v>
      </c>
    </row>
    <row r="1957" spans="1:11" x14ac:dyDescent="0.35">
      <c r="A1957" s="1" t="s">
        <v>4247</v>
      </c>
      <c r="B1957" s="1" t="s">
        <v>4251</v>
      </c>
      <c r="C1957" s="1" t="s">
        <v>4254</v>
      </c>
      <c r="D1957" s="1" t="str">
        <f>"2320"</f>
        <v>2320</v>
      </c>
      <c r="E1957" s="1" t="str">
        <f>"010907892"</f>
        <v>010907892</v>
      </c>
      <c r="F1957" s="1" t="s">
        <v>930</v>
      </c>
      <c r="G1957" s="1" t="s">
        <v>15</v>
      </c>
      <c r="H1957" s="1" t="str">
        <f>"1"</f>
        <v>1</v>
      </c>
      <c r="I1957" s="3" t="str">
        <f>"23000"</f>
        <v>23000</v>
      </c>
      <c r="J1957" s="4">
        <v>46091</v>
      </c>
      <c r="K1957" s="1" t="s">
        <v>4255</v>
      </c>
    </row>
    <row r="1958" spans="1:11" x14ac:dyDescent="0.35">
      <c r="A1958" s="1" t="s">
        <v>4247</v>
      </c>
      <c r="B1958" s="1" t="s">
        <v>4266</v>
      </c>
      <c r="C1958" s="1" t="s">
        <v>4267</v>
      </c>
      <c r="D1958" s="1" t="str">
        <f>"2320"</f>
        <v>2320</v>
      </c>
      <c r="E1958" s="1" t="str">
        <f>"011519558"</f>
        <v>011519558</v>
      </c>
      <c r="F1958" s="1" t="s">
        <v>930</v>
      </c>
      <c r="G1958" s="1" t="s">
        <v>15</v>
      </c>
      <c r="H1958" s="1" t="str">
        <f>"1"</f>
        <v>1</v>
      </c>
      <c r="I1958" s="3" t="str">
        <f>"8823"</f>
        <v>8823</v>
      </c>
      <c r="J1958" s="4">
        <v>46091</v>
      </c>
      <c r="K1958" s="1" t="s">
        <v>4268</v>
      </c>
    </row>
    <row r="1959" spans="1:11" x14ac:dyDescent="0.35">
      <c r="A1959" s="1" t="s">
        <v>4247</v>
      </c>
      <c r="B1959" s="1" t="s">
        <v>4266</v>
      </c>
      <c r="C1959" s="1" t="s">
        <v>4269</v>
      </c>
      <c r="D1959" s="1" t="str">
        <f>"5855"</f>
        <v>5855</v>
      </c>
      <c r="E1959" s="1" t="str">
        <f>"015356166"</f>
        <v>015356166</v>
      </c>
      <c r="F1959" s="1" t="s">
        <v>742</v>
      </c>
      <c r="G1959" s="1" t="s">
        <v>15</v>
      </c>
      <c r="H1959" s="1" t="str">
        <f>"11"</f>
        <v>11</v>
      </c>
      <c r="I1959" s="3" t="str">
        <f>"898"</f>
        <v>898</v>
      </c>
      <c r="J1959" s="4">
        <v>46091</v>
      </c>
      <c r="K1959" s="1" t="s">
        <v>4270</v>
      </c>
    </row>
    <row r="1960" spans="1:11" x14ac:dyDescent="0.35">
      <c r="A1960" s="1" t="s">
        <v>4247</v>
      </c>
      <c r="B1960" s="1" t="s">
        <v>4330</v>
      </c>
      <c r="C1960" s="1" t="s">
        <v>4345</v>
      </c>
      <c r="D1960" s="1" t="str">
        <f>"2320"</f>
        <v>2320</v>
      </c>
      <c r="E1960" s="1" t="str">
        <f>"013727397"</f>
        <v>013727397</v>
      </c>
      <c r="F1960" s="1" t="s">
        <v>1765</v>
      </c>
      <c r="G1960" s="1" t="s">
        <v>15</v>
      </c>
      <c r="H1960" s="1" t="str">
        <f>"1"</f>
        <v>1</v>
      </c>
      <c r="I1960" s="3" t="str">
        <f>"49093"</f>
        <v>49093</v>
      </c>
      <c r="J1960" s="4">
        <v>46094</v>
      </c>
      <c r="K1960" s="1" t="s">
        <v>4346</v>
      </c>
    </row>
    <row r="1961" spans="1:11" x14ac:dyDescent="0.35">
      <c r="A1961" s="1" t="s">
        <v>4247</v>
      </c>
      <c r="B1961" s="1" t="s">
        <v>4271</v>
      </c>
      <c r="C1961" s="1" t="s">
        <v>4276</v>
      </c>
      <c r="D1961" s="1" t="str">
        <f>"5120"</f>
        <v>5120</v>
      </c>
      <c r="E1961" s="1" t="str">
        <f>"008785932"</f>
        <v>008785932</v>
      </c>
      <c r="F1961" s="1" t="s">
        <v>76</v>
      </c>
      <c r="G1961" s="1" t="s">
        <v>15</v>
      </c>
      <c r="H1961" s="1" t="str">
        <f>"14"</f>
        <v>14</v>
      </c>
      <c r="I1961" s="3">
        <v>97.1</v>
      </c>
      <c r="J1961" s="4">
        <v>46098</v>
      </c>
      <c r="K1961" s="1" t="s">
        <v>4277</v>
      </c>
    </row>
    <row r="1962" spans="1:11" x14ac:dyDescent="0.35">
      <c r="A1962" s="1" t="s">
        <v>4247</v>
      </c>
      <c r="B1962" s="1" t="s">
        <v>4271</v>
      </c>
      <c r="C1962" s="1" t="s">
        <v>4278</v>
      </c>
      <c r="D1962" s="1" t="str">
        <f>"5120"</f>
        <v>5120</v>
      </c>
      <c r="E1962" s="1" t="str">
        <f>"008785932"</f>
        <v>008785932</v>
      </c>
      <c r="F1962" s="1" t="s">
        <v>76</v>
      </c>
      <c r="G1962" s="1" t="s">
        <v>15</v>
      </c>
      <c r="H1962" s="1" t="str">
        <f>"13"</f>
        <v>13</v>
      </c>
      <c r="I1962" s="3">
        <v>97.1</v>
      </c>
      <c r="J1962" s="4">
        <v>46098</v>
      </c>
      <c r="K1962" s="1" t="s">
        <v>4279</v>
      </c>
    </row>
    <row r="1963" spans="1:11" x14ac:dyDescent="0.35">
      <c r="A1963" s="1" t="s">
        <v>4247</v>
      </c>
      <c r="B1963" s="1" t="s">
        <v>4271</v>
      </c>
      <c r="C1963" s="1" t="s">
        <v>4280</v>
      </c>
      <c r="D1963" s="1" t="str">
        <f>"5120"</f>
        <v>5120</v>
      </c>
      <c r="E1963" s="1" t="str">
        <f>"008785932"</f>
        <v>008785932</v>
      </c>
      <c r="F1963" s="1" t="s">
        <v>76</v>
      </c>
      <c r="G1963" s="1" t="s">
        <v>15</v>
      </c>
      <c r="H1963" s="1" t="str">
        <f>"13"</f>
        <v>13</v>
      </c>
      <c r="I1963" s="3">
        <v>97.1</v>
      </c>
      <c r="J1963" s="4">
        <v>46098</v>
      </c>
      <c r="K1963" s="1" t="s">
        <v>4277</v>
      </c>
    </row>
    <row r="1964" spans="1:11" x14ac:dyDescent="0.35">
      <c r="A1964" s="1" t="s">
        <v>4247</v>
      </c>
      <c r="B1964" s="1" t="s">
        <v>4271</v>
      </c>
      <c r="C1964" s="1" t="s">
        <v>4281</v>
      </c>
      <c r="D1964" s="1" t="str">
        <f>"5120"</f>
        <v>5120</v>
      </c>
      <c r="E1964" s="1" t="str">
        <f>"014767556"</f>
        <v>014767556</v>
      </c>
      <c r="F1964" s="1" t="s">
        <v>76</v>
      </c>
      <c r="G1964" s="1" t="s">
        <v>15</v>
      </c>
      <c r="H1964" s="1" t="str">
        <f>"12"</f>
        <v>12</v>
      </c>
      <c r="I1964" s="3">
        <v>61.83</v>
      </c>
      <c r="J1964" s="4">
        <v>46098</v>
      </c>
      <c r="K1964" s="1" t="s">
        <v>4277</v>
      </c>
    </row>
    <row r="1965" spans="1:11" x14ac:dyDescent="0.35">
      <c r="A1965" s="1" t="s">
        <v>4247</v>
      </c>
      <c r="B1965" s="1" t="s">
        <v>4330</v>
      </c>
      <c r="C1965" s="1" t="s">
        <v>4351</v>
      </c>
      <c r="D1965" s="1" t="str">
        <f>"3990"</f>
        <v>3990</v>
      </c>
      <c r="E1965" s="1" t="s">
        <v>2283</v>
      </c>
      <c r="F1965" s="1" t="s">
        <v>2284</v>
      </c>
      <c r="G1965" s="1" t="s">
        <v>15</v>
      </c>
      <c r="H1965" s="1" t="str">
        <f>"1"</f>
        <v>1</v>
      </c>
      <c r="I1965" s="3">
        <v>13605.44</v>
      </c>
      <c r="J1965" s="4">
        <v>46100</v>
      </c>
      <c r="K1965" s="1" t="s">
        <v>4352</v>
      </c>
    </row>
    <row r="1966" spans="1:11" x14ac:dyDescent="0.35">
      <c r="A1966" s="1" t="s">
        <v>4247</v>
      </c>
      <c r="B1966" s="1" t="s">
        <v>4330</v>
      </c>
      <c r="C1966" s="1" t="s">
        <v>4374</v>
      </c>
      <c r="D1966" s="1" t="str">
        <f>"8465"</f>
        <v>8465</v>
      </c>
      <c r="E1966" s="1" t="str">
        <f>"015245250"</f>
        <v>015245250</v>
      </c>
      <c r="F1966" s="1" t="s">
        <v>343</v>
      </c>
      <c r="G1966" s="1" t="s">
        <v>15</v>
      </c>
      <c r="H1966" s="1" t="str">
        <f>"75"</f>
        <v>75</v>
      </c>
      <c r="I1966" s="3">
        <v>75.150000000000006</v>
      </c>
      <c r="J1966" s="4">
        <v>46100</v>
      </c>
      <c r="K1966" s="1" t="s">
        <v>4375</v>
      </c>
    </row>
    <row r="1967" spans="1:11" x14ac:dyDescent="0.35">
      <c r="A1967" s="1" t="s">
        <v>4247</v>
      </c>
      <c r="B1967" s="1" t="s">
        <v>4248</v>
      </c>
      <c r="C1967" s="1" t="s">
        <v>4249</v>
      </c>
      <c r="D1967" s="1" t="str">
        <f>"2330"</f>
        <v>2330</v>
      </c>
      <c r="E1967" s="1" t="s">
        <v>104</v>
      </c>
      <c r="F1967" s="1" t="s">
        <v>105</v>
      </c>
      <c r="G1967" s="1" t="s">
        <v>15</v>
      </c>
      <c r="H1967" s="1" t="str">
        <f>"1"</f>
        <v>1</v>
      </c>
      <c r="I1967" s="3" t="str">
        <f>"25599"</f>
        <v>25599</v>
      </c>
      <c r="J1967" s="4">
        <v>46104</v>
      </c>
      <c r="K1967" s="1" t="s">
        <v>4250</v>
      </c>
    </row>
    <row r="1968" spans="1:11" x14ac:dyDescent="0.35">
      <c r="A1968" s="1" t="s">
        <v>4247</v>
      </c>
      <c r="B1968" s="1" t="s">
        <v>4271</v>
      </c>
      <c r="C1968" s="1" t="s">
        <v>4274</v>
      </c>
      <c r="D1968" s="1" t="str">
        <f>"4110"</f>
        <v>4110</v>
      </c>
      <c r="E1968" s="1" t="s">
        <v>1056</v>
      </c>
      <c r="F1968" s="1" t="s">
        <v>1057</v>
      </c>
      <c r="G1968" s="1" t="s">
        <v>15</v>
      </c>
      <c r="H1968" s="1" t="str">
        <f>"1"</f>
        <v>1</v>
      </c>
      <c r="I1968" s="3">
        <v>2188.3000000000002</v>
      </c>
      <c r="J1968" s="4">
        <v>46106</v>
      </c>
      <c r="K1968" s="1" t="s">
        <v>4275</v>
      </c>
    </row>
    <row r="1969" spans="1:11" x14ac:dyDescent="0.35">
      <c r="A1969" s="1" t="s">
        <v>4247</v>
      </c>
      <c r="B1969" s="1" t="s">
        <v>4330</v>
      </c>
      <c r="C1969" s="1" t="s">
        <v>4331</v>
      </c>
      <c r="D1969" s="1" t="str">
        <f>"2310"</f>
        <v>2310</v>
      </c>
      <c r="E1969" s="1" t="s">
        <v>4332</v>
      </c>
      <c r="F1969" s="1" t="s">
        <v>4333</v>
      </c>
      <c r="G1969" s="1" t="s">
        <v>15</v>
      </c>
      <c r="H1969" s="1" t="str">
        <f>"1"</f>
        <v>1</v>
      </c>
      <c r="I1969" s="3" t="str">
        <f>"15000"</f>
        <v>15000</v>
      </c>
      <c r="J1969" s="4">
        <v>46107</v>
      </c>
      <c r="K1969" s="1" t="s">
        <v>4334</v>
      </c>
    </row>
    <row r="1970" spans="1:11" x14ac:dyDescent="0.35">
      <c r="A1970" s="1" t="s">
        <v>4247</v>
      </c>
      <c r="B1970" s="1" t="s">
        <v>4330</v>
      </c>
      <c r="C1970" s="1" t="s">
        <v>4337</v>
      </c>
      <c r="D1970" s="1" t="str">
        <f>"2310"</f>
        <v>2310</v>
      </c>
      <c r="E1970" s="1" t="s">
        <v>3373</v>
      </c>
      <c r="F1970" s="1" t="s">
        <v>3374</v>
      </c>
      <c r="G1970" s="1" t="s">
        <v>15</v>
      </c>
      <c r="H1970" s="1" t="str">
        <f>"2"</f>
        <v>2</v>
      </c>
      <c r="I1970" s="3" t="str">
        <f>"9176"</f>
        <v>9176</v>
      </c>
      <c r="J1970" s="4">
        <v>46107</v>
      </c>
      <c r="K1970" s="1" t="s">
        <v>4338</v>
      </c>
    </row>
    <row r="1971" spans="1:11" x14ac:dyDescent="0.35">
      <c r="A1971" s="1" t="s">
        <v>4247</v>
      </c>
      <c r="B1971" s="1" t="s">
        <v>4330</v>
      </c>
      <c r="C1971" s="1" t="s">
        <v>4339</v>
      </c>
      <c r="D1971" s="1" t="str">
        <f>"2310"</f>
        <v>2310</v>
      </c>
      <c r="E1971" s="1" t="s">
        <v>4332</v>
      </c>
      <c r="F1971" s="1" t="s">
        <v>4333</v>
      </c>
      <c r="G1971" s="1" t="s">
        <v>15</v>
      </c>
      <c r="H1971" s="1" t="str">
        <f>"1"</f>
        <v>1</v>
      </c>
      <c r="I1971" s="3" t="str">
        <f>"25000"</f>
        <v>25000</v>
      </c>
      <c r="J1971" s="4">
        <v>46107</v>
      </c>
      <c r="K1971" s="1" t="s">
        <v>4340</v>
      </c>
    </row>
    <row r="1972" spans="1:11" x14ac:dyDescent="0.35">
      <c r="A1972" s="1" t="s">
        <v>4247</v>
      </c>
      <c r="B1972" s="1" t="s">
        <v>4330</v>
      </c>
      <c r="C1972" s="1" t="s">
        <v>4341</v>
      </c>
      <c r="D1972" s="1" t="str">
        <f>"2320"</f>
        <v>2320</v>
      </c>
      <c r="E1972" s="1" t="s">
        <v>100</v>
      </c>
      <c r="F1972" s="1" t="s">
        <v>101</v>
      </c>
      <c r="G1972" s="1" t="s">
        <v>15</v>
      </c>
      <c r="H1972" s="1" t="str">
        <f>"1"</f>
        <v>1</v>
      </c>
      <c r="I1972" s="3" t="str">
        <f>"50000"</f>
        <v>50000</v>
      </c>
      <c r="J1972" s="4">
        <v>46107</v>
      </c>
      <c r="K1972" s="1" t="s">
        <v>4342</v>
      </c>
    </row>
    <row r="1973" spans="1:11" x14ac:dyDescent="0.35">
      <c r="A1973" s="1" t="s">
        <v>4247</v>
      </c>
      <c r="B1973" s="1" t="s">
        <v>4251</v>
      </c>
      <c r="C1973" s="1" t="s">
        <v>4258</v>
      </c>
      <c r="D1973" s="1" t="str">
        <f>"6720"</f>
        <v>6720</v>
      </c>
      <c r="E1973" s="1" t="s">
        <v>1719</v>
      </c>
      <c r="F1973" s="1" t="s">
        <v>1720</v>
      </c>
      <c r="G1973" s="1" t="s">
        <v>15</v>
      </c>
      <c r="H1973" s="1" t="str">
        <f>"2"</f>
        <v>2</v>
      </c>
      <c r="I1973" s="3" t="str">
        <f>"2500"</f>
        <v>2500</v>
      </c>
      <c r="J1973" s="4">
        <v>46108</v>
      </c>
      <c r="K1973" s="1" t="s">
        <v>4259</v>
      </c>
    </row>
    <row r="1974" spans="1:11" x14ac:dyDescent="0.35">
      <c r="A1974" s="1" t="s">
        <v>4247</v>
      </c>
      <c r="B1974" s="1" t="s">
        <v>4251</v>
      </c>
      <c r="C1974" s="1" t="s">
        <v>4260</v>
      </c>
      <c r="D1974" s="1" t="str">
        <f>"6720"</f>
        <v>6720</v>
      </c>
      <c r="E1974" s="1" t="s">
        <v>1719</v>
      </c>
      <c r="F1974" s="1" t="s">
        <v>1720</v>
      </c>
      <c r="G1974" s="1" t="s">
        <v>15</v>
      </c>
      <c r="H1974" s="1" t="str">
        <f>"5"</f>
        <v>5</v>
      </c>
      <c r="I1974" s="3" t="str">
        <f>"1400"</f>
        <v>1400</v>
      </c>
      <c r="J1974" s="4">
        <v>46108</v>
      </c>
      <c r="K1974" s="1" t="s">
        <v>4261</v>
      </c>
    </row>
    <row r="1975" spans="1:11" x14ac:dyDescent="0.35">
      <c r="A1975" s="1" t="s">
        <v>4247</v>
      </c>
      <c r="B1975" s="1" t="s">
        <v>4330</v>
      </c>
      <c r="C1975" s="1" t="s">
        <v>4355</v>
      </c>
      <c r="D1975" s="1" t="str">
        <f>"5120"</f>
        <v>5120</v>
      </c>
      <c r="E1975" s="1" t="str">
        <f>"008785932"</f>
        <v>008785932</v>
      </c>
      <c r="F1975" s="1" t="s">
        <v>76</v>
      </c>
      <c r="G1975" s="1" t="s">
        <v>15</v>
      </c>
      <c r="H1975" s="1" t="str">
        <f>"100"</f>
        <v>100</v>
      </c>
      <c r="I1975" s="3">
        <v>97.1</v>
      </c>
      <c r="J1975" s="4">
        <v>46108</v>
      </c>
      <c r="K1975" s="1" t="s">
        <v>4356</v>
      </c>
    </row>
    <row r="1976" spans="1:11" x14ac:dyDescent="0.35">
      <c r="A1976" s="1" t="s">
        <v>4247</v>
      </c>
      <c r="B1976" s="1" t="s">
        <v>4330</v>
      </c>
      <c r="C1976" s="1" t="s">
        <v>4365</v>
      </c>
      <c r="D1976" s="1" t="str">
        <f>"6115"</f>
        <v>6115</v>
      </c>
      <c r="E1976" s="1" t="str">
        <f>"016151514"</f>
        <v>016151514</v>
      </c>
      <c r="F1976" s="1" t="s">
        <v>3629</v>
      </c>
      <c r="G1976" s="1" t="s">
        <v>15</v>
      </c>
      <c r="H1976" s="1" t="str">
        <f>"1"</f>
        <v>1</v>
      </c>
      <c r="I1976" s="3">
        <v>30480.84</v>
      </c>
      <c r="J1976" s="4">
        <v>46108</v>
      </c>
      <c r="K1976" s="1" t="s">
        <v>4366</v>
      </c>
    </row>
    <row r="1977" spans="1:11" x14ac:dyDescent="0.35">
      <c r="A1977" s="1" t="s">
        <v>4247</v>
      </c>
      <c r="B1977" s="1" t="s">
        <v>4330</v>
      </c>
      <c r="C1977" s="1" t="s">
        <v>4369</v>
      </c>
      <c r="D1977" s="1" t="str">
        <f>"6545"</f>
        <v>6545</v>
      </c>
      <c r="E1977" s="1" t="str">
        <f>"015300929"</f>
        <v>015300929</v>
      </c>
      <c r="F1977" s="1" t="s">
        <v>167</v>
      </c>
      <c r="G1977" s="1" t="s">
        <v>168</v>
      </c>
      <c r="H1977" s="1" t="str">
        <f>"8"</f>
        <v>8</v>
      </c>
      <c r="I1977" s="3">
        <v>48.71</v>
      </c>
      <c r="J1977" s="4">
        <v>46108</v>
      </c>
      <c r="K1977" s="1" t="s">
        <v>4370</v>
      </c>
    </row>
    <row r="1978" spans="1:11" x14ac:dyDescent="0.35">
      <c r="A1978" s="1" t="s">
        <v>4247</v>
      </c>
      <c r="B1978" s="1" t="s">
        <v>4330</v>
      </c>
      <c r="C1978" s="1" t="s">
        <v>4376</v>
      </c>
      <c r="D1978" s="1" t="str">
        <f>"8465"</f>
        <v>8465</v>
      </c>
      <c r="E1978" s="1" t="str">
        <f>"016733374"</f>
        <v>016733374</v>
      </c>
      <c r="F1978" s="1" t="s">
        <v>856</v>
      </c>
      <c r="G1978" s="1" t="s">
        <v>15</v>
      </c>
      <c r="H1978" s="1" t="str">
        <f>"6"</f>
        <v>6</v>
      </c>
      <c r="I1978" s="3">
        <v>143.49</v>
      </c>
      <c r="J1978" s="4">
        <v>46108</v>
      </c>
      <c r="K1978" s="1" t="s">
        <v>4377</v>
      </c>
    </row>
    <row r="1979" spans="1:11" x14ac:dyDescent="0.35">
      <c r="A1979" s="1" t="s">
        <v>4247</v>
      </c>
      <c r="B1979" s="1" t="s">
        <v>4330</v>
      </c>
      <c r="C1979" s="1" t="s">
        <v>4378</v>
      </c>
      <c r="D1979" s="1" t="str">
        <f>"8465"</f>
        <v>8465</v>
      </c>
      <c r="E1979" s="1" t="str">
        <f>"015802774"</f>
        <v>015802774</v>
      </c>
      <c r="F1979" s="1" t="s">
        <v>4379</v>
      </c>
      <c r="G1979" s="1" t="s">
        <v>15</v>
      </c>
      <c r="H1979" s="1" t="str">
        <f>"1"</f>
        <v>1</v>
      </c>
      <c r="I1979" s="3">
        <v>152.32</v>
      </c>
      <c r="J1979" s="4">
        <v>46108</v>
      </c>
      <c r="K1979" s="1" t="s">
        <v>4380</v>
      </c>
    </row>
    <row r="1980" spans="1:11" x14ac:dyDescent="0.35">
      <c r="A1980" s="1" t="s">
        <v>4247</v>
      </c>
      <c r="B1980" s="1" t="s">
        <v>4330</v>
      </c>
      <c r="C1980" s="1" t="s">
        <v>4349</v>
      </c>
      <c r="D1980" s="1" t="str">
        <f>"2320"</f>
        <v>2320</v>
      </c>
      <c r="E1980" s="1" t="str">
        <f>"010907831"</f>
        <v>010907831</v>
      </c>
      <c r="F1980" s="1" t="s">
        <v>2570</v>
      </c>
      <c r="G1980" s="1" t="s">
        <v>15</v>
      </c>
      <c r="H1980" s="1" t="str">
        <f>"1"</f>
        <v>1</v>
      </c>
      <c r="I1980" s="3" t="str">
        <f>"15000"</f>
        <v>15000</v>
      </c>
      <c r="J1980" s="4">
        <v>46112</v>
      </c>
      <c r="K1980" s="1" t="s">
        <v>4350</v>
      </c>
    </row>
    <row r="1981" spans="1:11" x14ac:dyDescent="0.35">
      <c r="A1981" s="1" t="s">
        <v>4381</v>
      </c>
      <c r="B1981" s="1" t="s">
        <v>4414</v>
      </c>
      <c r="C1981" s="1" t="s">
        <v>4417</v>
      </c>
      <c r="D1981" s="1" t="str">
        <f>"5120"</f>
        <v>5120</v>
      </c>
      <c r="E1981" s="1" t="str">
        <f>"015090862"</f>
        <v>015090862</v>
      </c>
      <c r="F1981" s="1" t="s">
        <v>4418</v>
      </c>
      <c r="G1981" s="1" t="s">
        <v>15</v>
      </c>
      <c r="H1981" s="1" t="str">
        <f>"2"</f>
        <v>2</v>
      </c>
      <c r="I1981" s="3">
        <v>269.57</v>
      </c>
      <c r="J1981" s="4">
        <v>46028</v>
      </c>
      <c r="K1981" s="1" t="s">
        <v>4419</v>
      </c>
    </row>
    <row r="1982" spans="1:11" x14ac:dyDescent="0.35">
      <c r="A1982" s="1" t="s">
        <v>4381</v>
      </c>
      <c r="B1982" s="1" t="s">
        <v>4414</v>
      </c>
      <c r="C1982" s="1" t="s">
        <v>4426</v>
      </c>
      <c r="D1982" s="1" t="str">
        <f>"6510"</f>
        <v>6510</v>
      </c>
      <c r="E1982" s="1" t="str">
        <f>"015623325"</f>
        <v>015623325</v>
      </c>
      <c r="F1982" s="1" t="s">
        <v>3719</v>
      </c>
      <c r="G1982" s="1" t="s">
        <v>15</v>
      </c>
      <c r="H1982" s="1" t="str">
        <f>"7"</f>
        <v>7</v>
      </c>
      <c r="I1982" s="3">
        <v>45.32</v>
      </c>
      <c r="J1982" s="4">
        <v>46028</v>
      </c>
      <c r="K1982" s="1" t="s">
        <v>4427</v>
      </c>
    </row>
    <row r="1983" spans="1:11" x14ac:dyDescent="0.35">
      <c r="A1983" s="1" t="s">
        <v>4381</v>
      </c>
      <c r="B1983" s="1" t="s">
        <v>4414</v>
      </c>
      <c r="C1983" s="1" t="s">
        <v>4428</v>
      </c>
      <c r="D1983" s="1" t="str">
        <f>"6510"</f>
        <v>6510</v>
      </c>
      <c r="E1983" s="1" t="str">
        <f>"014922275"</f>
        <v>014922275</v>
      </c>
      <c r="F1983" s="1" t="s">
        <v>4429</v>
      </c>
      <c r="G1983" s="1" t="s">
        <v>15</v>
      </c>
      <c r="H1983" s="1" t="str">
        <f>"3"</f>
        <v>3</v>
      </c>
      <c r="I1983" s="3">
        <v>9.48</v>
      </c>
      <c r="J1983" s="4">
        <v>46028</v>
      </c>
      <c r="K1983" s="1" t="s">
        <v>4427</v>
      </c>
    </row>
    <row r="1984" spans="1:11" x14ac:dyDescent="0.35">
      <c r="A1984" s="1" t="s">
        <v>4381</v>
      </c>
      <c r="B1984" s="1" t="s">
        <v>4414</v>
      </c>
      <c r="C1984" s="1" t="s">
        <v>4430</v>
      </c>
      <c r="D1984" s="1" t="str">
        <f>"6510"</f>
        <v>6510</v>
      </c>
      <c r="E1984" s="1" t="str">
        <f>"015490939"</f>
        <v>015490939</v>
      </c>
      <c r="F1984" s="1" t="s">
        <v>4431</v>
      </c>
      <c r="G1984" s="1" t="s">
        <v>15</v>
      </c>
      <c r="H1984" s="1" t="str">
        <f>"9"</f>
        <v>9</v>
      </c>
      <c r="I1984" s="3">
        <v>27.78</v>
      </c>
      <c r="J1984" s="4">
        <v>46028</v>
      </c>
      <c r="K1984" s="1" t="s">
        <v>4432</v>
      </c>
    </row>
    <row r="1985" spans="1:11" x14ac:dyDescent="0.35">
      <c r="A1985" s="1" t="s">
        <v>4381</v>
      </c>
      <c r="B1985" s="1" t="s">
        <v>4414</v>
      </c>
      <c r="C1985" s="1" t="s">
        <v>4433</v>
      </c>
      <c r="D1985" s="1" t="str">
        <f>"6510"</f>
        <v>6510</v>
      </c>
      <c r="E1985" s="1" t="str">
        <f>"016052234"</f>
        <v>016052234</v>
      </c>
      <c r="F1985" s="1" t="s">
        <v>4434</v>
      </c>
      <c r="G1985" s="1" t="s">
        <v>62</v>
      </c>
      <c r="H1985" s="1" t="str">
        <f>"6"</f>
        <v>6</v>
      </c>
      <c r="I1985" s="3">
        <v>3.46</v>
      </c>
      <c r="J1985" s="4">
        <v>46028</v>
      </c>
      <c r="K1985" s="1" t="s">
        <v>4427</v>
      </c>
    </row>
    <row r="1986" spans="1:11" x14ac:dyDescent="0.35">
      <c r="A1986" s="1" t="s">
        <v>4381</v>
      </c>
      <c r="B1986" s="1" t="s">
        <v>4414</v>
      </c>
      <c r="C1986" s="1" t="s">
        <v>4435</v>
      </c>
      <c r="D1986" s="1" t="str">
        <f>"6515"</f>
        <v>6515</v>
      </c>
      <c r="E1986" s="1" t="str">
        <f>"015328056"</f>
        <v>015328056</v>
      </c>
      <c r="F1986" s="1" t="s">
        <v>4436</v>
      </c>
      <c r="G1986" s="1" t="s">
        <v>15</v>
      </c>
      <c r="H1986" s="1" t="str">
        <f>"15"</f>
        <v>15</v>
      </c>
      <c r="I1986" s="3">
        <v>122.75</v>
      </c>
      <c r="J1986" s="4">
        <v>46028</v>
      </c>
      <c r="K1986" s="1" t="s">
        <v>4427</v>
      </c>
    </row>
    <row r="1987" spans="1:11" x14ac:dyDescent="0.35">
      <c r="A1987" s="1" t="s">
        <v>4381</v>
      </c>
      <c r="B1987" s="1" t="s">
        <v>4414</v>
      </c>
      <c r="C1987" s="1" t="s">
        <v>4437</v>
      </c>
      <c r="D1987" s="1" t="str">
        <f>"6515"</f>
        <v>6515</v>
      </c>
      <c r="E1987" s="1" t="str">
        <f>"015217976"</f>
        <v>015217976</v>
      </c>
      <c r="F1987" s="1" t="s">
        <v>2250</v>
      </c>
      <c r="G1987" s="1" t="s">
        <v>15</v>
      </c>
      <c r="H1987" s="1" t="str">
        <f>"6"</f>
        <v>6</v>
      </c>
      <c r="I1987" s="3">
        <v>31.1</v>
      </c>
      <c r="J1987" s="4">
        <v>46028</v>
      </c>
      <c r="K1987" s="1" t="s">
        <v>4427</v>
      </c>
    </row>
    <row r="1988" spans="1:11" x14ac:dyDescent="0.35">
      <c r="A1988" s="1" t="s">
        <v>4381</v>
      </c>
      <c r="B1988" s="1" t="s">
        <v>4414</v>
      </c>
      <c r="C1988" s="1" t="s">
        <v>4438</v>
      </c>
      <c r="D1988" s="1" t="str">
        <f>"6545"</f>
        <v>6545</v>
      </c>
      <c r="E1988" s="1" t="str">
        <f>"001161410"</f>
        <v>001161410</v>
      </c>
      <c r="F1988" s="1" t="s">
        <v>639</v>
      </c>
      <c r="G1988" s="1" t="s">
        <v>15</v>
      </c>
      <c r="H1988" s="1" t="str">
        <f>"3"</f>
        <v>3</v>
      </c>
      <c r="I1988" s="3">
        <v>847.87</v>
      </c>
      <c r="J1988" s="4">
        <v>46028</v>
      </c>
      <c r="K1988" s="1" t="s">
        <v>4427</v>
      </c>
    </row>
    <row r="1989" spans="1:11" x14ac:dyDescent="0.35">
      <c r="A1989" s="1" t="s">
        <v>4381</v>
      </c>
      <c r="B1989" s="1" t="s">
        <v>4414</v>
      </c>
      <c r="C1989" s="1" t="s">
        <v>4439</v>
      </c>
      <c r="D1989" s="1" t="str">
        <f>"7520"</f>
        <v>7520</v>
      </c>
      <c r="E1989" s="1" t="str">
        <f>"015076974"</f>
        <v>015076974</v>
      </c>
      <c r="F1989" s="1" t="s">
        <v>4440</v>
      </c>
      <c r="G1989" s="1" t="s">
        <v>257</v>
      </c>
      <c r="H1989" s="1" t="str">
        <f>"4"</f>
        <v>4</v>
      </c>
      <c r="I1989" s="3">
        <v>12.05</v>
      </c>
      <c r="J1989" s="4">
        <v>46028</v>
      </c>
      <c r="K1989" s="1" t="s">
        <v>4441</v>
      </c>
    </row>
    <row r="1990" spans="1:11" x14ac:dyDescent="0.35">
      <c r="A1990" s="1" t="s">
        <v>4381</v>
      </c>
      <c r="B1990" s="1" t="s">
        <v>4408</v>
      </c>
      <c r="C1990" s="1" t="s">
        <v>4409</v>
      </c>
      <c r="D1990" s="1" t="str">
        <f>"5855"</f>
        <v>5855</v>
      </c>
      <c r="E1990" s="1" t="str">
        <f>"015485687"</f>
        <v>015485687</v>
      </c>
      <c r="F1990" s="1" t="s">
        <v>798</v>
      </c>
      <c r="G1990" s="1" t="s">
        <v>15</v>
      </c>
      <c r="H1990" s="1" t="str">
        <f>"17"</f>
        <v>17</v>
      </c>
      <c r="I1990" s="3" t="str">
        <f>"10402"</f>
        <v>10402</v>
      </c>
      <c r="J1990" s="4">
        <v>46038</v>
      </c>
      <c r="K1990" s="1" t="s">
        <v>4410</v>
      </c>
    </row>
    <row r="1991" spans="1:11" x14ac:dyDescent="0.35">
      <c r="A1991" s="1" t="s">
        <v>4381</v>
      </c>
      <c r="B1991" s="1" t="s">
        <v>4447</v>
      </c>
      <c r="C1991" s="1" t="s">
        <v>4450</v>
      </c>
      <c r="D1991" s="1" t="str">
        <f>"1240"</f>
        <v>1240</v>
      </c>
      <c r="E1991" s="1" t="str">
        <f>"014111265"</f>
        <v>014111265</v>
      </c>
      <c r="F1991" s="1" t="s">
        <v>71</v>
      </c>
      <c r="G1991" s="1" t="s">
        <v>15</v>
      </c>
      <c r="H1991" s="1" t="str">
        <f>"5"</f>
        <v>5</v>
      </c>
      <c r="I1991" s="3" t="str">
        <f>"339"</f>
        <v>339</v>
      </c>
      <c r="J1991" s="4">
        <v>46042</v>
      </c>
      <c r="K1991" s="1" t="s">
        <v>4451</v>
      </c>
    </row>
    <row r="1992" spans="1:11" x14ac:dyDescent="0.35">
      <c r="A1992" s="1" t="s">
        <v>4381</v>
      </c>
      <c r="B1992" s="1" t="s">
        <v>4382</v>
      </c>
      <c r="C1992" s="1" t="s">
        <v>4385</v>
      </c>
      <c r="D1992" s="1" t="str">
        <f>"4910"</f>
        <v>4910</v>
      </c>
      <c r="E1992" s="1" t="str">
        <f>"016203116"</f>
        <v>016203116</v>
      </c>
      <c r="F1992" s="1" t="s">
        <v>4386</v>
      </c>
      <c r="G1992" s="1" t="s">
        <v>168</v>
      </c>
      <c r="H1992" s="1" t="str">
        <f>"2"</f>
        <v>2</v>
      </c>
      <c r="I1992" s="3">
        <v>5039.3599999999997</v>
      </c>
      <c r="J1992" s="4">
        <v>46050</v>
      </c>
      <c r="K1992" s="1" t="s">
        <v>4387</v>
      </c>
    </row>
    <row r="1993" spans="1:11" x14ac:dyDescent="0.35">
      <c r="A1993" s="1" t="s">
        <v>4381</v>
      </c>
      <c r="B1993" s="1" t="s">
        <v>4447</v>
      </c>
      <c r="C1993" s="1" t="s">
        <v>4448</v>
      </c>
      <c r="D1993" s="1" t="str">
        <f>"1095"</f>
        <v>1095</v>
      </c>
      <c r="E1993" s="1" t="str">
        <f>"004070674"</f>
        <v>004070674</v>
      </c>
      <c r="F1993" s="1" t="s">
        <v>330</v>
      </c>
      <c r="G1993" s="1" t="s">
        <v>15</v>
      </c>
      <c r="H1993" s="1" t="str">
        <f>"2"</f>
        <v>2</v>
      </c>
      <c r="I1993" s="3">
        <v>1098.96</v>
      </c>
      <c r="J1993" s="4">
        <v>46050</v>
      </c>
      <c r="K1993" s="1" t="s">
        <v>4449</v>
      </c>
    </row>
    <row r="1994" spans="1:11" x14ac:dyDescent="0.35">
      <c r="A1994" s="1" t="s">
        <v>4381</v>
      </c>
      <c r="B1994" s="1" t="s">
        <v>4447</v>
      </c>
      <c r="C1994" s="1" t="s">
        <v>4454</v>
      </c>
      <c r="D1994" s="1" t="str">
        <f>"4933"</f>
        <v>4933</v>
      </c>
      <c r="E1994" s="1" t="str">
        <f>"016323964"</f>
        <v>016323964</v>
      </c>
      <c r="F1994" s="1" t="s">
        <v>3549</v>
      </c>
      <c r="G1994" s="1" t="s">
        <v>257</v>
      </c>
      <c r="H1994" s="1" t="str">
        <f>"1"</f>
        <v>1</v>
      </c>
      <c r="I1994" s="3" t="str">
        <f>"28245"</f>
        <v>28245</v>
      </c>
      <c r="J1994" s="4">
        <v>46063</v>
      </c>
      <c r="K1994" s="1" t="s">
        <v>4455</v>
      </c>
    </row>
    <row r="1995" spans="1:11" x14ac:dyDescent="0.35">
      <c r="A1995" s="1" t="s">
        <v>4381</v>
      </c>
      <c r="B1995" s="1" t="s">
        <v>4414</v>
      </c>
      <c r="C1995" s="1" t="s">
        <v>4420</v>
      </c>
      <c r="D1995" s="1" t="str">
        <f>"5180"</f>
        <v>5180</v>
      </c>
      <c r="E1995" s="1" t="str">
        <f>"015487634"</f>
        <v>015487634</v>
      </c>
      <c r="F1995" s="1" t="s">
        <v>1831</v>
      </c>
      <c r="G1995" s="1" t="s">
        <v>257</v>
      </c>
      <c r="H1995" s="1" t="str">
        <f>"1"</f>
        <v>1</v>
      </c>
      <c r="I1995" s="3" t="str">
        <f>"2048"</f>
        <v>2048</v>
      </c>
      <c r="J1995" s="4">
        <v>46071</v>
      </c>
      <c r="K1995" s="1" t="s">
        <v>4421</v>
      </c>
    </row>
    <row r="1996" spans="1:11" x14ac:dyDescent="0.35">
      <c r="A1996" s="1" t="s">
        <v>4381</v>
      </c>
      <c r="B1996" s="1" t="s">
        <v>4414</v>
      </c>
      <c r="C1996" s="1" t="s">
        <v>4442</v>
      </c>
      <c r="D1996" s="1" t="str">
        <f>"7520"</f>
        <v>7520</v>
      </c>
      <c r="E1996" s="1" t="str">
        <f>"013925296"</f>
        <v>013925296</v>
      </c>
      <c r="F1996" s="1" t="s">
        <v>4440</v>
      </c>
      <c r="G1996" s="1" t="s">
        <v>257</v>
      </c>
      <c r="H1996" s="1" t="str">
        <f>"1"</f>
        <v>1</v>
      </c>
      <c r="I1996" s="3">
        <v>7.59</v>
      </c>
      <c r="J1996" s="4">
        <v>46071</v>
      </c>
      <c r="K1996" s="1" t="s">
        <v>4443</v>
      </c>
    </row>
    <row r="1997" spans="1:11" x14ac:dyDescent="0.35">
      <c r="A1997" s="1" t="s">
        <v>4381</v>
      </c>
      <c r="B1997" s="1" t="s">
        <v>4411</v>
      </c>
      <c r="C1997" s="1" t="s">
        <v>4412</v>
      </c>
      <c r="D1997" s="1" t="str">
        <f>"4240"</f>
        <v>4240</v>
      </c>
      <c r="E1997" s="1" t="s">
        <v>372</v>
      </c>
      <c r="F1997" s="1" t="s">
        <v>373</v>
      </c>
      <c r="G1997" s="1" t="s">
        <v>15</v>
      </c>
      <c r="H1997" s="1" t="str">
        <f>"5"</f>
        <v>5</v>
      </c>
      <c r="I1997" s="3" t="str">
        <f>"514"</f>
        <v>514</v>
      </c>
      <c r="J1997" s="4">
        <v>46078</v>
      </c>
      <c r="K1997" s="1" t="s">
        <v>4413</v>
      </c>
    </row>
    <row r="1998" spans="1:11" x14ac:dyDescent="0.35">
      <c r="A1998" s="1" t="s">
        <v>4381</v>
      </c>
      <c r="B1998" s="1" t="s">
        <v>4382</v>
      </c>
      <c r="C1998" s="1" t="s">
        <v>4394</v>
      </c>
      <c r="D1998" s="1" t="str">
        <f>"6515"</f>
        <v>6515</v>
      </c>
      <c r="E1998" s="1" t="str">
        <f>"016059429"</f>
        <v>016059429</v>
      </c>
      <c r="F1998" s="1" t="s">
        <v>4395</v>
      </c>
      <c r="G1998" s="1" t="s">
        <v>15</v>
      </c>
      <c r="H1998" s="1" t="str">
        <f>"8"</f>
        <v>8</v>
      </c>
      <c r="I1998" s="3" t="str">
        <f>"31973"</f>
        <v>31973</v>
      </c>
      <c r="J1998" s="4">
        <v>46079</v>
      </c>
      <c r="K1998" s="1" t="s">
        <v>4396</v>
      </c>
    </row>
    <row r="1999" spans="1:11" x14ac:dyDescent="0.35">
      <c r="A1999" s="1" t="s">
        <v>4381</v>
      </c>
      <c r="B1999" s="1" t="s">
        <v>4382</v>
      </c>
      <c r="C1999" s="1" t="s">
        <v>4403</v>
      </c>
      <c r="D1999" s="1" t="str">
        <f>"7830"</f>
        <v>7830</v>
      </c>
      <c r="E1999" s="1" t="s">
        <v>2004</v>
      </c>
      <c r="F1999" s="1" t="s">
        <v>2005</v>
      </c>
      <c r="G1999" s="1" t="s">
        <v>15</v>
      </c>
      <c r="H1999" s="1" t="str">
        <f>"1"</f>
        <v>1</v>
      </c>
      <c r="I1999" s="3" t="str">
        <f>"500"</f>
        <v>500</v>
      </c>
      <c r="J1999" s="4">
        <v>46079</v>
      </c>
      <c r="K1999" s="1" t="s">
        <v>4404</v>
      </c>
    </row>
    <row r="2000" spans="1:11" x14ac:dyDescent="0.35">
      <c r="A2000" s="1" t="s">
        <v>4381</v>
      </c>
      <c r="B2000" s="1" t="s">
        <v>4382</v>
      </c>
      <c r="C2000" s="1" t="s">
        <v>4405</v>
      </c>
      <c r="D2000" s="1" t="str">
        <f>"8465"</f>
        <v>8465</v>
      </c>
      <c r="E2000" s="1" t="str">
        <f>"015588195"</f>
        <v>015588195</v>
      </c>
      <c r="F2000" s="1" t="s">
        <v>4406</v>
      </c>
      <c r="G2000" s="1" t="s">
        <v>168</v>
      </c>
      <c r="H2000" s="1" t="str">
        <f>"4"</f>
        <v>4</v>
      </c>
      <c r="I2000" s="3">
        <v>5954.06</v>
      </c>
      <c r="J2000" s="4">
        <v>46079</v>
      </c>
      <c r="K2000" s="1" t="s">
        <v>4407</v>
      </c>
    </row>
    <row r="2001" spans="1:11" x14ac:dyDescent="0.35">
      <c r="A2001" s="1" t="s">
        <v>4381</v>
      </c>
      <c r="B2001" s="1" t="s">
        <v>4382</v>
      </c>
      <c r="C2001" s="1" t="s">
        <v>4383</v>
      </c>
      <c r="D2001" s="1" t="str">
        <f>"2920"</f>
        <v>2920</v>
      </c>
      <c r="E2001" s="1" t="s">
        <v>1309</v>
      </c>
      <c r="F2001" s="1" t="s">
        <v>1310</v>
      </c>
      <c r="G2001" s="1" t="s">
        <v>15</v>
      </c>
      <c r="H2001" s="1" t="str">
        <f>"1"</f>
        <v>1</v>
      </c>
      <c r="I2001" s="3" t="str">
        <f>"400"</f>
        <v>400</v>
      </c>
      <c r="J2001" s="4">
        <v>46085</v>
      </c>
      <c r="K2001" s="1" t="s">
        <v>4384</v>
      </c>
    </row>
    <row r="2002" spans="1:11" x14ac:dyDescent="0.35">
      <c r="A2002" s="1" t="s">
        <v>4381</v>
      </c>
      <c r="B2002" s="1" t="s">
        <v>4382</v>
      </c>
      <c r="C2002" s="1" t="s">
        <v>4388</v>
      </c>
      <c r="D2002" s="1" t="str">
        <f>"5180"</f>
        <v>5180</v>
      </c>
      <c r="E2002" s="1" t="str">
        <f>"014830249"</f>
        <v>014830249</v>
      </c>
      <c r="F2002" s="1" t="s">
        <v>2821</v>
      </c>
      <c r="G2002" s="1" t="s">
        <v>257</v>
      </c>
      <c r="H2002" s="1" t="str">
        <f>"11"</f>
        <v>11</v>
      </c>
      <c r="I2002" s="3" t="str">
        <f>"1780"</f>
        <v>1780</v>
      </c>
      <c r="J2002" s="4">
        <v>46085</v>
      </c>
      <c r="K2002" s="1" t="s">
        <v>4389</v>
      </c>
    </row>
    <row r="2003" spans="1:11" x14ac:dyDescent="0.35">
      <c r="A2003" s="1" t="s">
        <v>4381</v>
      </c>
      <c r="B2003" s="1" t="s">
        <v>4382</v>
      </c>
      <c r="C2003" s="1" t="s">
        <v>4390</v>
      </c>
      <c r="D2003" s="1" t="str">
        <f>"5180"</f>
        <v>5180</v>
      </c>
      <c r="E2003" s="1" t="str">
        <f>"015487634"</f>
        <v>015487634</v>
      </c>
      <c r="F2003" s="1" t="s">
        <v>1831</v>
      </c>
      <c r="G2003" s="1" t="s">
        <v>257</v>
      </c>
      <c r="H2003" s="1" t="str">
        <f>"8"</f>
        <v>8</v>
      </c>
      <c r="I2003" s="3" t="str">
        <f>"2048"</f>
        <v>2048</v>
      </c>
      <c r="J2003" s="4">
        <v>46085</v>
      </c>
      <c r="K2003" s="1" t="s">
        <v>4389</v>
      </c>
    </row>
    <row r="2004" spans="1:11" x14ac:dyDescent="0.35">
      <c r="A2004" s="1" t="s">
        <v>4381</v>
      </c>
      <c r="B2004" s="1" t="s">
        <v>4414</v>
      </c>
      <c r="C2004" s="1" t="s">
        <v>4415</v>
      </c>
      <c r="D2004" s="1" t="str">
        <f>"4240"</f>
        <v>4240</v>
      </c>
      <c r="E2004" s="1" t="str">
        <f>"016307259"</f>
        <v>016307259</v>
      </c>
      <c r="F2004" s="1" t="s">
        <v>1354</v>
      </c>
      <c r="G2004" s="1" t="s">
        <v>15</v>
      </c>
      <c r="H2004" s="1" t="str">
        <f>"15"</f>
        <v>15</v>
      </c>
      <c r="I2004" s="3">
        <v>67.94</v>
      </c>
      <c r="J2004" s="4">
        <v>46085</v>
      </c>
      <c r="K2004" s="1" t="s">
        <v>4416</v>
      </c>
    </row>
    <row r="2005" spans="1:11" x14ac:dyDescent="0.35">
      <c r="A2005" s="1" t="s">
        <v>4381</v>
      </c>
      <c r="B2005" s="1" t="s">
        <v>4414</v>
      </c>
      <c r="C2005" s="1" t="s">
        <v>4422</v>
      </c>
      <c r="D2005" s="1" t="str">
        <f>"5180"</f>
        <v>5180</v>
      </c>
      <c r="E2005" s="1" t="str">
        <f>"015595981"</f>
        <v>015595981</v>
      </c>
      <c r="F2005" s="1" t="s">
        <v>2584</v>
      </c>
      <c r="G2005" s="1" t="s">
        <v>168</v>
      </c>
      <c r="H2005" s="1" t="str">
        <f>"1"</f>
        <v>1</v>
      </c>
      <c r="I2005" s="3" t="str">
        <f>"1774"</f>
        <v>1774</v>
      </c>
      <c r="J2005" s="4">
        <v>46085</v>
      </c>
      <c r="K2005" s="1" t="s">
        <v>4423</v>
      </c>
    </row>
    <row r="2006" spans="1:11" x14ac:dyDescent="0.35">
      <c r="A2006" s="1" t="s">
        <v>4381</v>
      </c>
      <c r="B2006" s="1" t="s">
        <v>4414</v>
      </c>
      <c r="C2006" s="1" t="s">
        <v>4424</v>
      </c>
      <c r="D2006" s="1" t="str">
        <f>"5855"</f>
        <v>5855</v>
      </c>
      <c r="E2006" s="1" t="str">
        <f>"015013081"</f>
        <v>015013081</v>
      </c>
      <c r="F2006" s="1" t="s">
        <v>952</v>
      </c>
      <c r="G2006" s="1" t="s">
        <v>15</v>
      </c>
      <c r="H2006" s="1" t="str">
        <f>"7"</f>
        <v>7</v>
      </c>
      <c r="I2006" s="3" t="str">
        <f>"515"</f>
        <v>515</v>
      </c>
      <c r="J2006" s="4">
        <v>46085</v>
      </c>
      <c r="K2006" s="1" t="s">
        <v>4425</v>
      </c>
    </row>
    <row r="2007" spans="1:11" x14ac:dyDescent="0.35">
      <c r="A2007" s="1" t="s">
        <v>4381</v>
      </c>
      <c r="B2007" s="1" t="s">
        <v>4414</v>
      </c>
      <c r="C2007" s="1" t="s">
        <v>4444</v>
      </c>
      <c r="D2007" s="1" t="str">
        <f>"7920"</f>
        <v>7920</v>
      </c>
      <c r="E2007" s="1" t="str">
        <f>"016303062"</f>
        <v>016303062</v>
      </c>
      <c r="F2007" s="1" t="s">
        <v>4445</v>
      </c>
      <c r="G2007" s="1" t="s">
        <v>15</v>
      </c>
      <c r="H2007" s="1" t="str">
        <f>"1"</f>
        <v>1</v>
      </c>
      <c r="I2007" s="3">
        <v>59.96</v>
      </c>
      <c r="J2007" s="4">
        <v>46085</v>
      </c>
      <c r="K2007" s="1" t="s">
        <v>4446</v>
      </c>
    </row>
    <row r="2008" spans="1:11" x14ac:dyDescent="0.35">
      <c r="A2008" s="1" t="s">
        <v>4381</v>
      </c>
      <c r="B2008" s="1" t="s">
        <v>4447</v>
      </c>
      <c r="C2008" s="1" t="s">
        <v>4452</v>
      </c>
      <c r="D2008" s="1" t="str">
        <f>"3930"</f>
        <v>3930</v>
      </c>
      <c r="E2008" s="1" t="s">
        <v>423</v>
      </c>
      <c r="F2008" s="1" t="s">
        <v>424</v>
      </c>
      <c r="G2008" s="1" t="s">
        <v>15</v>
      </c>
      <c r="H2008" s="1" t="str">
        <f>"1"</f>
        <v>1</v>
      </c>
      <c r="I2008" s="3">
        <v>37321.089999999997</v>
      </c>
      <c r="J2008" s="4">
        <v>46099</v>
      </c>
      <c r="K2008" s="1" t="s">
        <v>4453</v>
      </c>
    </row>
    <row r="2009" spans="1:11" x14ac:dyDescent="0.35">
      <c r="A2009" s="1" t="s">
        <v>4381</v>
      </c>
      <c r="B2009" s="1" t="s">
        <v>4382</v>
      </c>
      <c r="C2009" s="1" t="s">
        <v>4397</v>
      </c>
      <c r="D2009" s="1" t="str">
        <f>"6532"</f>
        <v>6532</v>
      </c>
      <c r="E2009" s="1" t="str">
        <f>"015246932"</f>
        <v>015246932</v>
      </c>
      <c r="F2009" s="1" t="s">
        <v>4398</v>
      </c>
      <c r="G2009" s="1" t="s">
        <v>15</v>
      </c>
      <c r="H2009" s="1" t="str">
        <f>"52"</f>
        <v>52</v>
      </c>
      <c r="I2009" s="3" t="str">
        <f>"52"</f>
        <v>52</v>
      </c>
      <c r="J2009" s="4">
        <v>46102</v>
      </c>
      <c r="K2009" s="1" t="s">
        <v>4399</v>
      </c>
    </row>
    <row r="2010" spans="1:11" x14ac:dyDescent="0.35">
      <c r="A2010" s="1" t="s">
        <v>4381</v>
      </c>
      <c r="B2010" s="1" t="s">
        <v>4382</v>
      </c>
      <c r="C2010" s="1" t="s">
        <v>4400</v>
      </c>
      <c r="D2010" s="1" t="str">
        <f>"6625"</f>
        <v>6625</v>
      </c>
      <c r="E2010" s="1" t="str">
        <f>"016182208"</f>
        <v>016182208</v>
      </c>
      <c r="F2010" s="1" t="s">
        <v>4401</v>
      </c>
      <c r="G2010" s="1" t="s">
        <v>15</v>
      </c>
      <c r="H2010" s="1" t="str">
        <f>"2"</f>
        <v>2</v>
      </c>
      <c r="I2010" s="3">
        <v>4161.67</v>
      </c>
      <c r="J2010" s="4">
        <v>46106</v>
      </c>
      <c r="K2010" s="1" t="s">
        <v>4402</v>
      </c>
    </row>
    <row r="2011" spans="1:11" x14ac:dyDescent="0.35">
      <c r="A2011" s="1" t="s">
        <v>4381</v>
      </c>
      <c r="B2011" s="1" t="s">
        <v>4382</v>
      </c>
      <c r="C2011" s="1" t="s">
        <v>4391</v>
      </c>
      <c r="D2011" s="1" t="str">
        <f>"5820"</f>
        <v>5820</v>
      </c>
      <c r="E2011" s="1" t="str">
        <f>"015647598"</f>
        <v>015647598</v>
      </c>
      <c r="F2011" s="1" t="s">
        <v>4392</v>
      </c>
      <c r="G2011" s="1" t="s">
        <v>15</v>
      </c>
      <c r="H2011" s="1" t="str">
        <f>"1"</f>
        <v>1</v>
      </c>
      <c r="I2011" s="3">
        <v>5327.51</v>
      </c>
      <c r="J2011" s="4">
        <v>46112</v>
      </c>
      <c r="K2011" s="1" t="s">
        <v>4393</v>
      </c>
    </row>
    <row r="2012" spans="1:11" x14ac:dyDescent="0.35">
      <c r="A2012" s="1" t="s">
        <v>4456</v>
      </c>
      <c r="B2012" s="1" t="s">
        <v>4460</v>
      </c>
      <c r="C2012" s="1" t="s">
        <v>4464</v>
      </c>
      <c r="D2012" s="1" t="str">
        <f>"1005"</f>
        <v>1005</v>
      </c>
      <c r="E2012" s="1" t="str">
        <f>"991322616"</f>
        <v>991322616</v>
      </c>
      <c r="F2012" s="1" t="s">
        <v>4465</v>
      </c>
      <c r="G2012" s="1" t="s">
        <v>15</v>
      </c>
      <c r="H2012" s="1" t="str">
        <f>"10"</f>
        <v>10</v>
      </c>
      <c r="I2012" s="3">
        <v>415.36</v>
      </c>
      <c r="J2012" s="4">
        <v>46035</v>
      </c>
      <c r="K2012" s="1" t="s">
        <v>4466</v>
      </c>
    </row>
    <row r="2013" spans="1:11" x14ac:dyDescent="0.35">
      <c r="A2013" s="1" t="s">
        <v>4456</v>
      </c>
      <c r="B2013" s="1" t="s">
        <v>4460</v>
      </c>
      <c r="C2013" s="1" t="s">
        <v>4472</v>
      </c>
      <c r="D2013" s="1" t="str">
        <f>"6545"</f>
        <v>6545</v>
      </c>
      <c r="E2013" s="1" t="str">
        <f>"015300929"</f>
        <v>015300929</v>
      </c>
      <c r="F2013" s="1" t="s">
        <v>167</v>
      </c>
      <c r="G2013" s="1" t="s">
        <v>168</v>
      </c>
      <c r="H2013" s="1" t="str">
        <f>"22"</f>
        <v>22</v>
      </c>
      <c r="I2013" s="3">
        <v>48.71</v>
      </c>
      <c r="J2013" s="4">
        <v>46044</v>
      </c>
      <c r="K2013" s="1" t="s">
        <v>4473</v>
      </c>
    </row>
    <row r="2014" spans="1:11" x14ac:dyDescent="0.35">
      <c r="A2014" s="1" t="s">
        <v>4456</v>
      </c>
      <c r="B2014" s="1" t="s">
        <v>4477</v>
      </c>
      <c r="C2014" s="1" t="s">
        <v>4478</v>
      </c>
      <c r="D2014" s="1" t="str">
        <f>"6530"</f>
        <v>6530</v>
      </c>
      <c r="E2014" s="1" t="str">
        <f>"015049051"</f>
        <v>015049051</v>
      </c>
      <c r="F2014" s="1" t="s">
        <v>4479</v>
      </c>
      <c r="G2014" s="1" t="s">
        <v>15</v>
      </c>
      <c r="H2014" s="1" t="str">
        <f>"1"</f>
        <v>1</v>
      </c>
      <c r="I2014" s="3">
        <v>937.15</v>
      </c>
      <c r="J2014" s="4">
        <v>46056</v>
      </c>
      <c r="K2014" s="1" t="s">
        <v>4480</v>
      </c>
    </row>
    <row r="2015" spans="1:11" x14ac:dyDescent="0.35">
      <c r="A2015" s="1" t="s">
        <v>4456</v>
      </c>
      <c r="B2015" s="1" t="s">
        <v>4484</v>
      </c>
      <c r="C2015" s="1" t="s">
        <v>4485</v>
      </c>
      <c r="D2015" s="1" t="str">
        <f>"6115"</f>
        <v>6115</v>
      </c>
      <c r="E2015" s="1" t="str">
        <f>"015624010"</f>
        <v>015624010</v>
      </c>
      <c r="F2015" s="1" t="s">
        <v>1179</v>
      </c>
      <c r="G2015" s="1" t="s">
        <v>15</v>
      </c>
      <c r="H2015" s="1" t="str">
        <f>"1"</f>
        <v>1</v>
      </c>
      <c r="I2015" s="3">
        <v>43720.93</v>
      </c>
      <c r="J2015" s="4">
        <v>46066</v>
      </c>
      <c r="K2015" s="1" t="s">
        <v>4486</v>
      </c>
    </row>
    <row r="2016" spans="1:11" x14ac:dyDescent="0.35">
      <c r="A2016" s="1" t="s">
        <v>4456</v>
      </c>
      <c r="B2016" s="1" t="s">
        <v>4481</v>
      </c>
      <c r="C2016" s="1" t="s">
        <v>4482</v>
      </c>
      <c r="D2016" s="1" t="str">
        <f>"5855"</f>
        <v>5855</v>
      </c>
      <c r="E2016" s="1" t="str">
        <f>"015345931"</f>
        <v>015345931</v>
      </c>
      <c r="F2016" s="1" t="s">
        <v>742</v>
      </c>
      <c r="G2016" s="1" t="s">
        <v>15</v>
      </c>
      <c r="H2016" s="1" t="str">
        <f>"20"</f>
        <v>20</v>
      </c>
      <c r="I2016" s="3" t="str">
        <f>"970"</f>
        <v>970</v>
      </c>
      <c r="J2016" s="4">
        <v>46070</v>
      </c>
      <c r="K2016" s="1" t="s">
        <v>4483</v>
      </c>
    </row>
    <row r="2017" spans="1:11" x14ac:dyDescent="0.35">
      <c r="A2017" s="1" t="s">
        <v>4456</v>
      </c>
      <c r="B2017" s="1" t="s">
        <v>4460</v>
      </c>
      <c r="C2017" s="1" t="s">
        <v>4461</v>
      </c>
      <c r="D2017" s="1" t="str">
        <f>"1005"</f>
        <v>1005</v>
      </c>
      <c r="E2017" s="1" t="str">
        <f>"996715390"</f>
        <v>996715390</v>
      </c>
      <c r="F2017" s="1" t="s">
        <v>4462</v>
      </c>
      <c r="G2017" s="1" t="s">
        <v>168</v>
      </c>
      <c r="H2017" s="1" t="str">
        <f>"3"</f>
        <v>3</v>
      </c>
      <c r="I2017" s="3">
        <v>712.79</v>
      </c>
      <c r="J2017" s="4">
        <v>46084</v>
      </c>
      <c r="K2017" s="1" t="s">
        <v>4463</v>
      </c>
    </row>
    <row r="2018" spans="1:11" x14ac:dyDescent="0.35">
      <c r="A2018" s="1" t="s">
        <v>4456</v>
      </c>
      <c r="B2018" s="1" t="s">
        <v>4474</v>
      </c>
      <c r="C2018" s="1" t="s">
        <v>4475</v>
      </c>
      <c r="D2018" s="1" t="str">
        <f>"5855"</f>
        <v>5855</v>
      </c>
      <c r="E2018" s="1" t="str">
        <f>"015485687"</f>
        <v>015485687</v>
      </c>
      <c r="F2018" s="1" t="s">
        <v>798</v>
      </c>
      <c r="G2018" s="1" t="s">
        <v>15</v>
      </c>
      <c r="H2018" s="1" t="str">
        <f>"25"</f>
        <v>25</v>
      </c>
      <c r="I2018" s="3" t="str">
        <f>"10402"</f>
        <v>10402</v>
      </c>
      <c r="J2018" s="4">
        <v>46087</v>
      </c>
      <c r="K2018" s="1" t="s">
        <v>4476</v>
      </c>
    </row>
    <row r="2019" spans="1:11" x14ac:dyDescent="0.35">
      <c r="A2019" s="1" t="s">
        <v>4456</v>
      </c>
      <c r="B2019" s="1" t="s">
        <v>4457</v>
      </c>
      <c r="C2019" s="1" t="s">
        <v>4458</v>
      </c>
      <c r="D2019" s="1" t="str">
        <f>"6210"</f>
        <v>6210</v>
      </c>
      <c r="E2019" s="1" t="s">
        <v>2189</v>
      </c>
      <c r="F2019" s="1" t="s">
        <v>2190</v>
      </c>
      <c r="G2019" s="1" t="s">
        <v>15</v>
      </c>
      <c r="H2019" s="1" t="str">
        <f>"5"</f>
        <v>5</v>
      </c>
      <c r="I2019" s="3" t="str">
        <f>"5860"</f>
        <v>5860</v>
      </c>
      <c r="J2019" s="4">
        <v>46091</v>
      </c>
      <c r="K2019" s="1" t="s">
        <v>4459</v>
      </c>
    </row>
    <row r="2020" spans="1:11" x14ac:dyDescent="0.35">
      <c r="A2020" s="1" t="s">
        <v>4456</v>
      </c>
      <c r="B2020" s="1" t="s">
        <v>4460</v>
      </c>
      <c r="C2020" s="1" t="s">
        <v>4467</v>
      </c>
      <c r="D2020" s="1" t="str">
        <f>"2320"</f>
        <v>2320</v>
      </c>
      <c r="E2020" s="1" t="str">
        <f>"010911597"</f>
        <v>010911597</v>
      </c>
      <c r="F2020" s="1" t="s">
        <v>4468</v>
      </c>
      <c r="G2020" s="1" t="s">
        <v>15</v>
      </c>
      <c r="H2020" s="1" t="str">
        <f>"1"</f>
        <v>1</v>
      </c>
      <c r="I2020" s="3" t="str">
        <f>"150120"</f>
        <v>150120</v>
      </c>
      <c r="J2020" s="4">
        <v>46100</v>
      </c>
      <c r="K2020" s="1" t="s">
        <v>4469</v>
      </c>
    </row>
    <row r="2021" spans="1:11" x14ac:dyDescent="0.35">
      <c r="A2021" s="1" t="s">
        <v>4456</v>
      </c>
      <c r="B2021" s="1" t="s">
        <v>4460</v>
      </c>
      <c r="C2021" s="1" t="s">
        <v>4470</v>
      </c>
      <c r="D2021" s="1" t="str">
        <f>"2330"</f>
        <v>2330</v>
      </c>
      <c r="E2021" s="1" t="s">
        <v>104</v>
      </c>
      <c r="F2021" s="1" t="s">
        <v>105</v>
      </c>
      <c r="G2021" s="1" t="s">
        <v>15</v>
      </c>
      <c r="H2021" s="1" t="str">
        <f>"1"</f>
        <v>1</v>
      </c>
      <c r="I2021" s="3">
        <v>968678.86</v>
      </c>
      <c r="J2021" s="4">
        <v>46104</v>
      </c>
      <c r="K2021" s="1" t="s">
        <v>4471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3CB88-E9A4-4D2C-9B2A-D93EA651B4D0}">
  <dimension ref="A1:N3201"/>
  <sheetViews>
    <sheetView workbookViewId="0"/>
  </sheetViews>
  <sheetFormatPr defaultRowHeight="10" x14ac:dyDescent="0.35"/>
  <cols>
    <col min="1" max="1" width="13.36328125" style="1" bestFit="1" customWidth="1"/>
    <col min="2" max="2" width="5.81640625" style="1" bestFit="1" customWidth="1"/>
    <col min="3" max="3" width="44.453125" style="1" bestFit="1" customWidth="1"/>
    <col min="4" max="4" width="16" style="1" bestFit="1" customWidth="1"/>
    <col min="5" max="5" width="4.81640625" style="1" bestFit="1" customWidth="1"/>
    <col min="6" max="6" width="12.54296875" style="1" bestFit="1" customWidth="1"/>
    <col min="7" max="7" width="44.81640625" style="1" bestFit="1" customWidth="1"/>
    <col min="8" max="8" width="3.54296875" style="1" bestFit="1" customWidth="1"/>
    <col min="9" max="9" width="9.36328125" style="1" bestFit="1" customWidth="1"/>
    <col min="10" max="10" width="17.81640625" style="3" bestFit="1" customWidth="1"/>
    <col min="11" max="11" width="15.453125" style="1" bestFit="1" customWidth="1"/>
    <col min="12" max="12" width="17.81640625" style="1" bestFit="1" customWidth="1"/>
    <col min="13" max="14" width="255.6328125" style="1" bestFit="1" customWidth="1"/>
    <col min="15" max="16384" width="8.7265625" style="1"/>
  </cols>
  <sheetData>
    <row r="1" spans="1:14" s="1" customFormat="1" x14ac:dyDescent="0.35">
      <c r="A1" s="1" t="s">
        <v>12594</v>
      </c>
      <c r="B1" s="1" t="s">
        <v>0</v>
      </c>
      <c r="C1" s="1" t="s">
        <v>1</v>
      </c>
      <c r="D1" s="1" t="s">
        <v>2</v>
      </c>
      <c r="E1" s="1" t="s">
        <v>3</v>
      </c>
      <c r="F1" s="1" t="s">
        <v>4</v>
      </c>
      <c r="G1" s="1" t="s">
        <v>5</v>
      </c>
      <c r="H1" s="1" t="s">
        <v>6</v>
      </c>
      <c r="I1" s="1" t="s">
        <v>7</v>
      </c>
      <c r="J1" s="3" t="s">
        <v>8</v>
      </c>
      <c r="K1" s="1" t="s">
        <v>12593</v>
      </c>
      <c r="L1" s="1" t="s">
        <v>12592</v>
      </c>
      <c r="M1" s="1" t="s">
        <v>12591</v>
      </c>
      <c r="N1" s="1" t="s">
        <v>10</v>
      </c>
    </row>
    <row r="2" spans="1:14" s="1" customFormat="1" x14ac:dyDescent="0.35">
      <c r="A2" s="1" t="s">
        <v>12457</v>
      </c>
      <c r="B2" s="1" t="s">
        <v>3356</v>
      </c>
      <c r="C2" s="1" t="s">
        <v>3357</v>
      </c>
      <c r="D2" s="1" t="s">
        <v>12590</v>
      </c>
      <c r="E2" s="1" t="str">
        <f>"2320"</f>
        <v>2320</v>
      </c>
      <c r="F2" s="1" t="str">
        <f>"005401428"</f>
        <v>005401428</v>
      </c>
      <c r="G2" s="1" t="s">
        <v>930</v>
      </c>
      <c r="H2" s="1" t="s">
        <v>15</v>
      </c>
      <c r="I2" s="1" t="str">
        <f>"1"</f>
        <v>1</v>
      </c>
      <c r="J2" s="3" t="str">
        <f>"13334"</f>
        <v>13334</v>
      </c>
      <c r="K2" s="4">
        <v>46074</v>
      </c>
      <c r="L2" s="4">
        <v>46074</v>
      </c>
      <c r="N2" s="1" t="s">
        <v>12453</v>
      </c>
    </row>
    <row r="3" spans="1:14" s="1" customFormat="1" x14ac:dyDescent="0.35">
      <c r="A3" s="1" t="s">
        <v>12457</v>
      </c>
      <c r="B3" s="1" t="s">
        <v>3356</v>
      </c>
      <c r="C3" s="1" t="s">
        <v>3357</v>
      </c>
      <c r="D3" s="1" t="s">
        <v>12589</v>
      </c>
      <c r="E3" s="1" t="str">
        <f>"3825"</f>
        <v>3825</v>
      </c>
      <c r="F3" s="1" t="str">
        <f>"010957521"</f>
        <v>010957521</v>
      </c>
      <c r="G3" s="1" t="s">
        <v>2543</v>
      </c>
      <c r="H3" s="1" t="s">
        <v>15</v>
      </c>
      <c r="I3" s="1" t="str">
        <f>"1"</f>
        <v>1</v>
      </c>
      <c r="J3" s="3" t="str">
        <f>"110000"</f>
        <v>110000</v>
      </c>
      <c r="K3" s="4">
        <v>46077</v>
      </c>
      <c r="L3" s="4">
        <v>46077</v>
      </c>
      <c r="N3" s="1" t="s">
        <v>12588</v>
      </c>
    </row>
    <row r="4" spans="1:14" s="1" customFormat="1" x14ac:dyDescent="0.35">
      <c r="A4" s="1" t="s">
        <v>12457</v>
      </c>
      <c r="B4" s="1" t="s">
        <v>1303</v>
      </c>
      <c r="C4" s="1" t="s">
        <v>1304</v>
      </c>
      <c r="D4" s="1" t="s">
        <v>12587</v>
      </c>
      <c r="E4" s="1" t="str">
        <f>"1940"</f>
        <v>1940</v>
      </c>
      <c r="F4" s="1" t="s">
        <v>1898</v>
      </c>
      <c r="G4" s="1" t="s">
        <v>1899</v>
      </c>
      <c r="H4" s="1" t="s">
        <v>15</v>
      </c>
      <c r="I4" s="1" t="str">
        <f>"1"</f>
        <v>1</v>
      </c>
      <c r="J4" s="3" t="str">
        <f>"65000"</f>
        <v>65000</v>
      </c>
      <c r="K4" s="4">
        <v>46110</v>
      </c>
      <c r="L4" s="4">
        <v>46110</v>
      </c>
      <c r="M4" s="1" t="s">
        <v>4556</v>
      </c>
      <c r="N4" s="1" t="s">
        <v>12586</v>
      </c>
    </row>
    <row r="5" spans="1:14" s="1" customFormat="1" x14ac:dyDescent="0.35">
      <c r="A5" s="1" t="s">
        <v>12457</v>
      </c>
      <c r="B5" s="1" t="s">
        <v>4456</v>
      </c>
      <c r="C5" s="1" t="s">
        <v>10709</v>
      </c>
      <c r="D5" s="1" t="s">
        <v>12585</v>
      </c>
      <c r="E5" s="1" t="str">
        <f>"2340"</f>
        <v>2340</v>
      </c>
      <c r="F5" s="1" t="s">
        <v>1071</v>
      </c>
      <c r="G5" s="1" t="s">
        <v>1072</v>
      </c>
      <c r="H5" s="1" t="s">
        <v>15</v>
      </c>
      <c r="I5" s="1" t="str">
        <f>"1"</f>
        <v>1</v>
      </c>
      <c r="J5" s="3" t="str">
        <f>"9000"</f>
        <v>9000</v>
      </c>
      <c r="K5" s="4">
        <v>46097</v>
      </c>
      <c r="L5" s="4">
        <v>46098</v>
      </c>
      <c r="M5" s="1" t="s">
        <v>4556</v>
      </c>
      <c r="N5" s="1" t="s">
        <v>12584</v>
      </c>
    </row>
    <row r="6" spans="1:14" s="1" customFormat="1" x14ac:dyDescent="0.35">
      <c r="A6" s="1" t="s">
        <v>12457</v>
      </c>
      <c r="B6" s="1" t="s">
        <v>4456</v>
      </c>
      <c r="C6" s="1" t="s">
        <v>10709</v>
      </c>
      <c r="D6" s="1" t="s">
        <v>12583</v>
      </c>
      <c r="E6" s="1" t="str">
        <f>"2340"</f>
        <v>2340</v>
      </c>
      <c r="F6" s="1" t="s">
        <v>1071</v>
      </c>
      <c r="G6" s="1" t="s">
        <v>1072</v>
      </c>
      <c r="H6" s="1" t="s">
        <v>15</v>
      </c>
      <c r="I6" s="1" t="str">
        <f>"1"</f>
        <v>1</v>
      </c>
      <c r="J6" s="3" t="str">
        <f>"5000"</f>
        <v>5000</v>
      </c>
      <c r="K6" s="4">
        <v>46097</v>
      </c>
      <c r="L6" s="4">
        <v>46098</v>
      </c>
      <c r="M6" s="1" t="s">
        <v>4556</v>
      </c>
      <c r="N6" s="1" t="s">
        <v>12582</v>
      </c>
    </row>
    <row r="7" spans="1:14" s="1" customFormat="1" x14ac:dyDescent="0.35">
      <c r="A7" s="1" t="s">
        <v>12457</v>
      </c>
      <c r="B7" s="1" t="s">
        <v>2641</v>
      </c>
      <c r="C7" s="1" t="s">
        <v>12432</v>
      </c>
      <c r="D7" s="1" t="s">
        <v>12581</v>
      </c>
      <c r="E7" s="1" t="str">
        <f>"1385"</f>
        <v>1385</v>
      </c>
      <c r="F7" s="1" t="str">
        <f>"015785490"</f>
        <v>015785490</v>
      </c>
      <c r="G7" s="1" t="s">
        <v>12430</v>
      </c>
      <c r="H7" s="1" t="s">
        <v>15</v>
      </c>
      <c r="I7" s="1" t="str">
        <f>"1"</f>
        <v>1</v>
      </c>
      <c r="J7" s="3" t="str">
        <f>"213686"</f>
        <v>213686</v>
      </c>
      <c r="K7" s="4">
        <v>46099</v>
      </c>
      <c r="L7" s="4">
        <v>46099</v>
      </c>
      <c r="M7" s="1" t="s">
        <v>4556</v>
      </c>
      <c r="N7" s="1" t="s">
        <v>12429</v>
      </c>
    </row>
    <row r="8" spans="1:14" s="1" customFormat="1" x14ac:dyDescent="0.35">
      <c r="A8" s="1" t="s">
        <v>12457</v>
      </c>
      <c r="B8" s="1" t="s">
        <v>2630</v>
      </c>
      <c r="C8" s="1" t="s">
        <v>10653</v>
      </c>
      <c r="D8" s="1" t="s">
        <v>12580</v>
      </c>
      <c r="E8" s="1" t="str">
        <f>"5855"</f>
        <v>5855</v>
      </c>
      <c r="F8" s="1" t="str">
        <f>"015356166"</f>
        <v>015356166</v>
      </c>
      <c r="G8" s="1" t="s">
        <v>742</v>
      </c>
      <c r="H8" s="1" t="s">
        <v>15</v>
      </c>
      <c r="I8" s="1" t="str">
        <f>"1"</f>
        <v>1</v>
      </c>
      <c r="J8" s="3" t="str">
        <f>"898"</f>
        <v>898</v>
      </c>
      <c r="K8" s="4">
        <v>46057</v>
      </c>
      <c r="L8" s="4">
        <v>46057</v>
      </c>
      <c r="N8" s="1" t="s">
        <v>12579</v>
      </c>
    </row>
    <row r="9" spans="1:14" s="1" customFormat="1" x14ac:dyDescent="0.35">
      <c r="A9" s="1" t="s">
        <v>12457</v>
      </c>
      <c r="B9" s="1" t="s">
        <v>1013</v>
      </c>
      <c r="C9" s="1" t="s">
        <v>1014</v>
      </c>
      <c r="D9" s="1" t="s">
        <v>12578</v>
      </c>
      <c r="E9" s="1" t="str">
        <f>"2320"</f>
        <v>2320</v>
      </c>
      <c r="F9" s="1" t="s">
        <v>100</v>
      </c>
      <c r="G9" s="1" t="s">
        <v>101</v>
      </c>
      <c r="H9" s="1" t="s">
        <v>15</v>
      </c>
      <c r="I9" s="1" t="str">
        <f>"1"</f>
        <v>1</v>
      </c>
      <c r="J9" s="3" t="str">
        <f>"15000"</f>
        <v>15000</v>
      </c>
      <c r="K9" s="4">
        <v>46083</v>
      </c>
      <c r="L9" s="4">
        <v>46083</v>
      </c>
      <c r="M9" s="1" t="s">
        <v>4556</v>
      </c>
      <c r="N9" s="1" t="s">
        <v>12577</v>
      </c>
    </row>
    <row r="10" spans="1:14" s="1" customFormat="1" x14ac:dyDescent="0.35">
      <c r="A10" s="1" t="s">
        <v>12457</v>
      </c>
      <c r="B10" s="1" t="s">
        <v>4883</v>
      </c>
      <c r="C10" s="1" t="s">
        <v>10396</v>
      </c>
      <c r="D10" s="1" t="s">
        <v>12576</v>
      </c>
      <c r="E10" s="1" t="str">
        <f>"5855"</f>
        <v>5855</v>
      </c>
      <c r="F10" s="1" t="str">
        <f>"015959294"</f>
        <v>015959294</v>
      </c>
      <c r="G10" s="1" t="s">
        <v>1188</v>
      </c>
      <c r="H10" s="1" t="s">
        <v>15</v>
      </c>
      <c r="I10" s="1" t="str">
        <f>"1"</f>
        <v>1</v>
      </c>
      <c r="J10" s="3" t="str">
        <f>"18055"</f>
        <v>18055</v>
      </c>
      <c r="K10" s="4">
        <v>46034</v>
      </c>
      <c r="L10" s="4">
        <v>46035</v>
      </c>
      <c r="N10" s="1" t="s">
        <v>12575</v>
      </c>
    </row>
    <row r="11" spans="1:14" s="1" customFormat="1" x14ac:dyDescent="0.35">
      <c r="A11" s="1" t="s">
        <v>12457</v>
      </c>
      <c r="B11" s="1" t="s">
        <v>4883</v>
      </c>
      <c r="C11" s="1" t="s">
        <v>10396</v>
      </c>
      <c r="D11" s="1" t="s">
        <v>12574</v>
      </c>
      <c r="E11" s="1" t="str">
        <f>"5855"</f>
        <v>5855</v>
      </c>
      <c r="F11" s="1" t="str">
        <f>"015790062"</f>
        <v>015790062</v>
      </c>
      <c r="G11" s="1" t="s">
        <v>742</v>
      </c>
      <c r="H11" s="1" t="s">
        <v>15</v>
      </c>
      <c r="I11" s="1" t="str">
        <f>"1"</f>
        <v>1</v>
      </c>
      <c r="J11" s="3" t="str">
        <f>"900"</f>
        <v>900</v>
      </c>
      <c r="K11" s="4">
        <v>46076</v>
      </c>
      <c r="L11" s="4">
        <v>46077</v>
      </c>
      <c r="N11" s="1" t="s">
        <v>12573</v>
      </c>
    </row>
    <row r="12" spans="1:14" s="1" customFormat="1" x14ac:dyDescent="0.35">
      <c r="A12" s="1" t="s">
        <v>12457</v>
      </c>
      <c r="B12" s="1" t="s">
        <v>1176</v>
      </c>
      <c r="C12" s="1" t="s">
        <v>1182</v>
      </c>
      <c r="D12" s="1" t="s">
        <v>12572</v>
      </c>
      <c r="E12" s="1" t="str">
        <f>"5855"</f>
        <v>5855</v>
      </c>
      <c r="F12" s="1" t="str">
        <f>"015485687"</f>
        <v>015485687</v>
      </c>
      <c r="G12" s="1" t="s">
        <v>798</v>
      </c>
      <c r="H12" s="1" t="s">
        <v>15</v>
      </c>
      <c r="I12" s="1" t="str">
        <f>"5"</f>
        <v>5</v>
      </c>
      <c r="J12" s="3" t="str">
        <f>"10402"</f>
        <v>10402</v>
      </c>
      <c r="K12" s="4">
        <v>46079</v>
      </c>
      <c r="L12" s="4">
        <v>46079</v>
      </c>
      <c r="N12" s="1" t="s">
        <v>1185</v>
      </c>
    </row>
    <row r="13" spans="1:14" s="1" customFormat="1" x14ac:dyDescent="0.35">
      <c r="A13" s="1" t="s">
        <v>12457</v>
      </c>
      <c r="B13" s="1" t="s">
        <v>1989</v>
      </c>
      <c r="C13" s="1" t="s">
        <v>11650</v>
      </c>
      <c r="D13" s="1" t="s">
        <v>12571</v>
      </c>
      <c r="E13" s="1" t="str">
        <f>"5855"</f>
        <v>5855</v>
      </c>
      <c r="F13" s="1" t="str">
        <f>"015485687"</f>
        <v>015485687</v>
      </c>
      <c r="G13" s="1" t="s">
        <v>798</v>
      </c>
      <c r="H13" s="1" t="s">
        <v>15</v>
      </c>
      <c r="I13" s="1" t="str">
        <f>"6"</f>
        <v>6</v>
      </c>
      <c r="J13" s="3" t="str">
        <f>"10402"</f>
        <v>10402</v>
      </c>
      <c r="K13" s="4">
        <v>46076</v>
      </c>
      <c r="L13" s="4">
        <v>46077</v>
      </c>
      <c r="N13" s="1" t="s">
        <v>12570</v>
      </c>
    </row>
    <row r="14" spans="1:14" s="1" customFormat="1" x14ac:dyDescent="0.35">
      <c r="A14" s="1" t="s">
        <v>12457</v>
      </c>
      <c r="B14" s="1" t="s">
        <v>2196</v>
      </c>
      <c r="C14" s="1" t="s">
        <v>9785</v>
      </c>
      <c r="D14" s="1" t="s">
        <v>12569</v>
      </c>
      <c r="E14" s="1" t="str">
        <f>"1240"</f>
        <v>1240</v>
      </c>
      <c r="F14" s="1" t="str">
        <f>"015515736"</f>
        <v>015515736</v>
      </c>
      <c r="G14" s="1" t="s">
        <v>5824</v>
      </c>
      <c r="H14" s="1" t="s">
        <v>15</v>
      </c>
      <c r="I14" s="1" t="str">
        <f>"1"</f>
        <v>1</v>
      </c>
      <c r="J14" s="3" t="str">
        <f>"687"</f>
        <v>687</v>
      </c>
      <c r="K14" s="4">
        <v>46084</v>
      </c>
      <c r="L14" s="4">
        <v>46086</v>
      </c>
      <c r="N14" s="1" t="s">
        <v>12568</v>
      </c>
    </row>
    <row r="15" spans="1:14" s="1" customFormat="1" x14ac:dyDescent="0.35">
      <c r="A15" s="1" t="s">
        <v>12457</v>
      </c>
      <c r="B15" s="1" t="s">
        <v>1516</v>
      </c>
      <c r="C15" s="1" t="s">
        <v>9683</v>
      </c>
      <c r="D15" s="1" t="s">
        <v>12567</v>
      </c>
      <c r="E15" s="1" t="str">
        <f>"5855"</f>
        <v>5855</v>
      </c>
      <c r="F15" s="1" t="str">
        <f>"016299933"</f>
        <v>016299933</v>
      </c>
      <c r="G15" s="1" t="s">
        <v>8315</v>
      </c>
      <c r="H15" s="1" t="s">
        <v>15</v>
      </c>
      <c r="I15" s="1" t="str">
        <f>"22"</f>
        <v>22</v>
      </c>
      <c r="J15" s="3" t="str">
        <f>"19625"</f>
        <v>19625</v>
      </c>
      <c r="K15" s="4">
        <v>46034</v>
      </c>
      <c r="L15" s="4">
        <v>46034</v>
      </c>
      <c r="N15" s="1" t="s">
        <v>9681</v>
      </c>
    </row>
    <row r="16" spans="1:14" s="1" customFormat="1" x14ac:dyDescent="0.35">
      <c r="A16" s="1" t="s">
        <v>12457</v>
      </c>
      <c r="B16" s="1" t="s">
        <v>1516</v>
      </c>
      <c r="C16" s="1" t="s">
        <v>9683</v>
      </c>
      <c r="D16" s="1" t="s">
        <v>12566</v>
      </c>
      <c r="E16" s="1" t="str">
        <f>"5855"</f>
        <v>5855</v>
      </c>
      <c r="F16" s="1" t="str">
        <f>"016800712"</f>
        <v>016800712</v>
      </c>
      <c r="G16" s="1" t="s">
        <v>5381</v>
      </c>
      <c r="H16" s="1" t="s">
        <v>15</v>
      </c>
      <c r="I16" s="1" t="str">
        <f>"18"</f>
        <v>18</v>
      </c>
      <c r="J16" s="3" t="str">
        <f>"3000"</f>
        <v>3000</v>
      </c>
      <c r="K16" s="4">
        <v>46083</v>
      </c>
      <c r="L16" s="4">
        <v>46084</v>
      </c>
      <c r="N16" s="1" t="s">
        <v>9681</v>
      </c>
    </row>
    <row r="17" spans="1:14" s="1" customFormat="1" x14ac:dyDescent="0.35">
      <c r="A17" s="1" t="s">
        <v>12457</v>
      </c>
      <c r="B17" s="1" t="s">
        <v>3268</v>
      </c>
      <c r="C17" s="1" t="s">
        <v>3309</v>
      </c>
      <c r="D17" s="1" t="s">
        <v>12565</v>
      </c>
      <c r="E17" s="1" t="str">
        <f>"5855"</f>
        <v>5855</v>
      </c>
      <c r="F17" s="1" t="str">
        <f>"015051442"</f>
        <v>015051442</v>
      </c>
      <c r="G17" s="1" t="s">
        <v>614</v>
      </c>
      <c r="H17" s="1" t="s">
        <v>15</v>
      </c>
      <c r="I17" s="1" t="str">
        <f>"24"</f>
        <v>24</v>
      </c>
      <c r="J17" s="3" t="str">
        <f>"68850"</f>
        <v>68850</v>
      </c>
      <c r="K17" s="4">
        <v>46034</v>
      </c>
      <c r="L17" s="4">
        <v>46034</v>
      </c>
      <c r="N17" s="1" t="s">
        <v>11619</v>
      </c>
    </row>
    <row r="18" spans="1:14" s="1" customFormat="1" x14ac:dyDescent="0.35">
      <c r="A18" s="1" t="s">
        <v>12457</v>
      </c>
      <c r="B18" s="1" t="s">
        <v>3268</v>
      </c>
      <c r="C18" s="1" t="s">
        <v>3309</v>
      </c>
      <c r="D18" s="1" t="s">
        <v>12564</v>
      </c>
      <c r="E18" s="1" t="str">
        <f>"1240"</f>
        <v>1240</v>
      </c>
      <c r="F18" s="1" t="str">
        <f>"251605361"</f>
        <v>251605361</v>
      </c>
      <c r="G18" s="1" t="s">
        <v>12563</v>
      </c>
      <c r="H18" s="1" t="s">
        <v>15</v>
      </c>
      <c r="I18" s="1" t="str">
        <f>"4"</f>
        <v>4</v>
      </c>
      <c r="J18" s="3" t="str">
        <f>"25355"</f>
        <v>25355</v>
      </c>
      <c r="K18" s="4">
        <v>46041</v>
      </c>
      <c r="L18" s="4">
        <v>46042</v>
      </c>
      <c r="N18" s="1" t="s">
        <v>11619</v>
      </c>
    </row>
    <row r="19" spans="1:14" s="1" customFormat="1" x14ac:dyDescent="0.35">
      <c r="A19" s="1" t="s">
        <v>12457</v>
      </c>
      <c r="B19" s="1" t="s">
        <v>1989</v>
      </c>
      <c r="C19" s="1" t="s">
        <v>2026</v>
      </c>
      <c r="D19" s="1" t="s">
        <v>12562</v>
      </c>
      <c r="E19" s="1" t="str">
        <f>"5180"</f>
        <v>5180</v>
      </c>
      <c r="F19" s="1" t="str">
        <f>"016282375"</f>
        <v>016282375</v>
      </c>
      <c r="G19" s="1" t="s">
        <v>322</v>
      </c>
      <c r="H19" s="1" t="s">
        <v>168</v>
      </c>
      <c r="I19" s="1" t="str">
        <f>"1"</f>
        <v>1</v>
      </c>
      <c r="J19" s="3" t="str">
        <f>"3655"</f>
        <v>3655</v>
      </c>
      <c r="K19" s="4">
        <v>46072</v>
      </c>
      <c r="L19" s="4">
        <v>46072</v>
      </c>
      <c r="N19" s="1" t="s">
        <v>12561</v>
      </c>
    </row>
    <row r="20" spans="1:14" s="1" customFormat="1" x14ac:dyDescent="0.35">
      <c r="A20" s="1" t="s">
        <v>12457</v>
      </c>
      <c r="B20" s="1" t="s">
        <v>1989</v>
      </c>
      <c r="C20" s="1" t="s">
        <v>2026</v>
      </c>
      <c r="D20" s="1" t="s">
        <v>12560</v>
      </c>
      <c r="E20" s="1" t="str">
        <f>"2310"</f>
        <v>2310</v>
      </c>
      <c r="F20" s="1" t="s">
        <v>4332</v>
      </c>
      <c r="G20" s="1" t="s">
        <v>4333</v>
      </c>
      <c r="H20" s="1" t="s">
        <v>15</v>
      </c>
      <c r="I20" s="1" t="str">
        <f>"1"</f>
        <v>1</v>
      </c>
      <c r="J20" s="3" t="str">
        <f>"7500"</f>
        <v>7500</v>
      </c>
      <c r="K20" s="4">
        <v>46088</v>
      </c>
      <c r="L20" s="4">
        <v>46089</v>
      </c>
      <c r="N20" s="1" t="s">
        <v>12559</v>
      </c>
    </row>
    <row r="21" spans="1:14" s="1" customFormat="1" x14ac:dyDescent="0.35">
      <c r="A21" s="1" t="s">
        <v>12457</v>
      </c>
      <c r="B21" s="1" t="s">
        <v>1013</v>
      </c>
      <c r="C21" s="1" t="s">
        <v>9225</v>
      </c>
      <c r="D21" s="1" t="s">
        <v>12558</v>
      </c>
      <c r="E21" s="1" t="str">
        <f>"5855"</f>
        <v>5855</v>
      </c>
      <c r="F21" s="1" t="str">
        <f>"015847217"</f>
        <v>015847217</v>
      </c>
      <c r="G21" s="1" t="s">
        <v>614</v>
      </c>
      <c r="H21" s="1" t="s">
        <v>15</v>
      </c>
      <c r="I21" s="1" t="str">
        <f>"5"</f>
        <v>5</v>
      </c>
      <c r="J21" s="3" t="str">
        <f>"34084"</f>
        <v>34084</v>
      </c>
      <c r="K21" s="4">
        <v>46108</v>
      </c>
      <c r="L21" s="4">
        <v>46108</v>
      </c>
      <c r="N21" s="1" t="s">
        <v>12557</v>
      </c>
    </row>
    <row r="22" spans="1:14" s="1" customFormat="1" x14ac:dyDescent="0.35">
      <c r="A22" s="1" t="s">
        <v>12457</v>
      </c>
      <c r="B22" s="1" t="s">
        <v>692</v>
      </c>
      <c r="C22" s="1" t="s">
        <v>790</v>
      </c>
      <c r="D22" s="1" t="s">
        <v>12556</v>
      </c>
      <c r="E22" s="1" t="str">
        <f>"8115"</f>
        <v>8115</v>
      </c>
      <c r="F22" s="1" t="str">
        <f>"001682275"</f>
        <v>001682275</v>
      </c>
      <c r="G22" s="1" t="s">
        <v>431</v>
      </c>
      <c r="H22" s="1" t="s">
        <v>15</v>
      </c>
      <c r="I22" s="1" t="str">
        <f>"1"</f>
        <v>1</v>
      </c>
      <c r="J22" s="3" t="str">
        <f>"1324"</f>
        <v>1324</v>
      </c>
      <c r="K22" s="4">
        <v>46097</v>
      </c>
      <c r="L22" s="4">
        <v>46098</v>
      </c>
      <c r="N22" s="1" t="s">
        <v>12554</v>
      </c>
    </row>
    <row r="23" spans="1:14" s="1" customFormat="1" x14ac:dyDescent="0.35">
      <c r="A23" s="1" t="s">
        <v>12457</v>
      </c>
      <c r="B23" s="1" t="s">
        <v>692</v>
      </c>
      <c r="C23" s="1" t="s">
        <v>790</v>
      </c>
      <c r="D23" s="1" t="s">
        <v>12555</v>
      </c>
      <c r="E23" s="1" t="str">
        <f>"8115"</f>
        <v>8115</v>
      </c>
      <c r="F23" s="1" t="str">
        <f>"001682275"</f>
        <v>001682275</v>
      </c>
      <c r="G23" s="1" t="s">
        <v>431</v>
      </c>
      <c r="H23" s="1" t="s">
        <v>15</v>
      </c>
      <c r="I23" s="1" t="str">
        <f>"1"</f>
        <v>1</v>
      </c>
      <c r="J23" s="3" t="str">
        <f>"1324"</f>
        <v>1324</v>
      </c>
      <c r="K23" s="4">
        <v>46097</v>
      </c>
      <c r="L23" s="4">
        <v>46098</v>
      </c>
      <c r="N23" s="1" t="s">
        <v>12554</v>
      </c>
    </row>
    <row r="24" spans="1:14" s="1" customFormat="1" x14ac:dyDescent="0.35">
      <c r="A24" s="1" t="s">
        <v>12457</v>
      </c>
      <c r="B24" s="1" t="s">
        <v>1989</v>
      </c>
      <c r="C24" s="1" t="s">
        <v>2055</v>
      </c>
      <c r="D24" s="1" t="s">
        <v>12553</v>
      </c>
      <c r="E24" s="1" t="str">
        <f>"1240"</f>
        <v>1240</v>
      </c>
      <c r="F24" s="1" t="str">
        <f>"016520150"</f>
        <v>016520150</v>
      </c>
      <c r="G24" s="1" t="s">
        <v>4579</v>
      </c>
      <c r="H24" s="1" t="s">
        <v>15</v>
      </c>
      <c r="I24" s="1" t="str">
        <f>"4"</f>
        <v>4</v>
      </c>
      <c r="J24" s="3">
        <v>813.79</v>
      </c>
      <c r="K24" s="4">
        <v>46083</v>
      </c>
      <c r="L24" s="4">
        <v>46084</v>
      </c>
      <c r="N24" s="1" t="s">
        <v>12552</v>
      </c>
    </row>
    <row r="25" spans="1:14" s="1" customFormat="1" x14ac:dyDescent="0.35">
      <c r="A25" s="1" t="s">
        <v>12457</v>
      </c>
      <c r="B25" s="1" t="s">
        <v>1989</v>
      </c>
      <c r="C25" s="1" t="s">
        <v>2055</v>
      </c>
      <c r="D25" s="1" t="s">
        <v>12551</v>
      </c>
      <c r="E25" s="1" t="str">
        <f>"2330"</f>
        <v>2330</v>
      </c>
      <c r="F25" s="1" t="s">
        <v>104</v>
      </c>
      <c r="G25" s="1" t="s">
        <v>105</v>
      </c>
      <c r="H25" s="1" t="s">
        <v>15</v>
      </c>
      <c r="I25" s="1" t="str">
        <f>"1"</f>
        <v>1</v>
      </c>
      <c r="J25" s="3" t="str">
        <f>"16229"</f>
        <v>16229</v>
      </c>
      <c r="K25" s="4">
        <v>46091</v>
      </c>
      <c r="L25" s="4">
        <v>46091</v>
      </c>
      <c r="N25" s="1" t="s">
        <v>11497</v>
      </c>
    </row>
    <row r="26" spans="1:14" s="1" customFormat="1" x14ac:dyDescent="0.35">
      <c r="A26" s="1" t="s">
        <v>12457</v>
      </c>
      <c r="B26" s="1" t="s">
        <v>3356</v>
      </c>
      <c r="C26" s="1" t="s">
        <v>3509</v>
      </c>
      <c r="D26" s="1" t="s">
        <v>12550</v>
      </c>
      <c r="E26" s="1" t="str">
        <f>"2330"</f>
        <v>2330</v>
      </c>
      <c r="F26" s="1" t="s">
        <v>104</v>
      </c>
      <c r="G26" s="1" t="s">
        <v>105</v>
      </c>
      <c r="H26" s="1" t="s">
        <v>15</v>
      </c>
      <c r="I26" s="1" t="str">
        <f>"1"</f>
        <v>1</v>
      </c>
      <c r="J26" s="3" t="str">
        <f>"45080"</f>
        <v>45080</v>
      </c>
      <c r="K26" s="4">
        <v>46107</v>
      </c>
      <c r="L26" s="4">
        <v>46107</v>
      </c>
      <c r="N26" s="1" t="s">
        <v>12549</v>
      </c>
    </row>
    <row r="27" spans="1:14" s="1" customFormat="1" x14ac:dyDescent="0.35">
      <c r="A27" s="1" t="s">
        <v>12457</v>
      </c>
      <c r="B27" s="1" t="s">
        <v>1516</v>
      </c>
      <c r="C27" s="1" t="s">
        <v>1520</v>
      </c>
      <c r="D27" s="1" t="s">
        <v>12548</v>
      </c>
      <c r="E27" s="1" t="str">
        <f>"3770"</f>
        <v>3770</v>
      </c>
      <c r="F27" s="1" t="str">
        <f>"016140683"</f>
        <v>016140683</v>
      </c>
      <c r="G27" s="1" t="s">
        <v>14</v>
      </c>
      <c r="H27" s="1" t="s">
        <v>15</v>
      </c>
      <c r="I27" s="1" t="str">
        <f>"4"</f>
        <v>4</v>
      </c>
      <c r="J27" s="3">
        <v>1878.96</v>
      </c>
      <c r="K27" s="4">
        <v>46063</v>
      </c>
      <c r="L27" s="4">
        <v>46063</v>
      </c>
      <c r="M27" s="1" t="s">
        <v>4556</v>
      </c>
      <c r="N27" s="1" t="s">
        <v>8853</v>
      </c>
    </row>
    <row r="28" spans="1:14" s="1" customFormat="1" x14ac:dyDescent="0.35">
      <c r="A28" s="1" t="s">
        <v>12457</v>
      </c>
      <c r="B28" s="1" t="s">
        <v>1516</v>
      </c>
      <c r="C28" s="1" t="s">
        <v>1520</v>
      </c>
      <c r="D28" s="1" t="s">
        <v>12547</v>
      </c>
      <c r="E28" s="1" t="str">
        <f>"4210"</f>
        <v>4210</v>
      </c>
      <c r="F28" s="1" t="str">
        <f>"010254976"</f>
        <v>010254976</v>
      </c>
      <c r="G28" s="1" t="s">
        <v>1036</v>
      </c>
      <c r="H28" s="1" t="s">
        <v>15</v>
      </c>
      <c r="I28" s="1" t="str">
        <f>"1"</f>
        <v>1</v>
      </c>
      <c r="J28" s="3" t="str">
        <f>"217297"</f>
        <v>217297</v>
      </c>
      <c r="K28" s="4">
        <v>46109</v>
      </c>
      <c r="L28" s="4">
        <v>46110</v>
      </c>
      <c r="M28" s="1" t="s">
        <v>4556</v>
      </c>
      <c r="N28" s="1" t="s">
        <v>12546</v>
      </c>
    </row>
    <row r="29" spans="1:14" s="1" customFormat="1" x14ac:dyDescent="0.35">
      <c r="A29" s="1" t="s">
        <v>12457</v>
      </c>
      <c r="B29" s="1" t="s">
        <v>1453</v>
      </c>
      <c r="C29" s="1" t="s">
        <v>8718</v>
      </c>
      <c r="D29" s="1" t="s">
        <v>12545</v>
      </c>
      <c r="E29" s="1" t="str">
        <f>"5855"</f>
        <v>5855</v>
      </c>
      <c r="F29" s="1" t="str">
        <f>"015345931"</f>
        <v>015345931</v>
      </c>
      <c r="G29" s="1" t="s">
        <v>742</v>
      </c>
      <c r="H29" s="1" t="s">
        <v>15</v>
      </c>
      <c r="I29" s="1" t="str">
        <f>"18"</f>
        <v>18</v>
      </c>
      <c r="J29" s="3" t="str">
        <f>"970"</f>
        <v>970</v>
      </c>
      <c r="K29" s="4">
        <v>46082</v>
      </c>
      <c r="L29" s="4">
        <v>46082</v>
      </c>
      <c r="N29" s="1" t="s">
        <v>12544</v>
      </c>
    </row>
    <row r="30" spans="1:14" s="1" customFormat="1" x14ac:dyDescent="0.35">
      <c r="A30" s="1" t="s">
        <v>12457</v>
      </c>
      <c r="B30" s="1" t="s">
        <v>3356</v>
      </c>
      <c r="C30" s="1" t="s">
        <v>3518</v>
      </c>
      <c r="D30" s="1" t="s">
        <v>12543</v>
      </c>
      <c r="E30" s="1" t="str">
        <f>"8465"</f>
        <v>8465</v>
      </c>
      <c r="F30" s="1" t="str">
        <f>"014456274"</f>
        <v>014456274</v>
      </c>
      <c r="G30" s="1" t="s">
        <v>3536</v>
      </c>
      <c r="H30" s="1" t="s">
        <v>15</v>
      </c>
      <c r="I30" s="1" t="str">
        <f>"26"</f>
        <v>26</v>
      </c>
      <c r="J30" s="3">
        <v>255.6</v>
      </c>
      <c r="K30" s="4">
        <v>46075</v>
      </c>
      <c r="L30" s="4">
        <v>46076</v>
      </c>
      <c r="N30" s="1" t="s">
        <v>8682</v>
      </c>
    </row>
    <row r="31" spans="1:14" s="1" customFormat="1" x14ac:dyDescent="0.35">
      <c r="A31" s="1" t="s">
        <v>12457</v>
      </c>
      <c r="B31" s="1" t="s">
        <v>3356</v>
      </c>
      <c r="C31" s="1" t="s">
        <v>3518</v>
      </c>
      <c r="D31" s="1" t="s">
        <v>12542</v>
      </c>
      <c r="E31" s="1" t="str">
        <f>"2320"</f>
        <v>2320</v>
      </c>
      <c r="F31" s="1" t="s">
        <v>100</v>
      </c>
      <c r="G31" s="1" t="s">
        <v>101</v>
      </c>
      <c r="H31" s="1" t="s">
        <v>15</v>
      </c>
      <c r="I31" s="1" t="str">
        <f>"1"</f>
        <v>1</v>
      </c>
      <c r="J31" s="3" t="str">
        <f>"47710"</f>
        <v>47710</v>
      </c>
      <c r="K31" s="4">
        <v>46109</v>
      </c>
      <c r="L31" s="4">
        <v>46111</v>
      </c>
      <c r="M31" s="1" t="s">
        <v>4556</v>
      </c>
      <c r="N31" s="1" t="s">
        <v>12541</v>
      </c>
    </row>
    <row r="32" spans="1:14" s="1" customFormat="1" x14ac:dyDescent="0.35">
      <c r="A32" s="1" t="s">
        <v>12457</v>
      </c>
      <c r="B32" s="1" t="s">
        <v>3356</v>
      </c>
      <c r="C32" s="1" t="s">
        <v>3518</v>
      </c>
      <c r="D32" s="1" t="s">
        <v>12540</v>
      </c>
      <c r="E32" s="1" t="str">
        <f>"6230"</f>
        <v>6230</v>
      </c>
      <c r="F32" s="1" t="str">
        <f>"013827265"</f>
        <v>013827265</v>
      </c>
      <c r="G32" s="1" t="s">
        <v>9409</v>
      </c>
      <c r="H32" s="1" t="s">
        <v>15</v>
      </c>
      <c r="I32" s="1" t="str">
        <f>"2"</f>
        <v>2</v>
      </c>
      <c r="J32" s="3" t="str">
        <f>"18400"</f>
        <v>18400</v>
      </c>
      <c r="K32" s="4">
        <v>46110</v>
      </c>
      <c r="L32" s="4">
        <v>46111</v>
      </c>
      <c r="N32" s="1" t="s">
        <v>12539</v>
      </c>
    </row>
    <row r="33" spans="1:14" s="1" customFormat="1" x14ac:dyDescent="0.35">
      <c r="A33" s="1" t="s">
        <v>12457</v>
      </c>
      <c r="B33" s="1" t="s">
        <v>1453</v>
      </c>
      <c r="C33" s="1" t="s">
        <v>8625</v>
      </c>
      <c r="D33" s="1" t="s">
        <v>12538</v>
      </c>
      <c r="E33" s="1" t="str">
        <f>"8430"</f>
        <v>8430</v>
      </c>
      <c r="F33" s="1" t="s">
        <v>8606</v>
      </c>
      <c r="G33" s="1" t="s">
        <v>8605</v>
      </c>
      <c r="H33" s="1" t="s">
        <v>47</v>
      </c>
      <c r="I33" s="1" t="str">
        <f>"40"</f>
        <v>40</v>
      </c>
      <c r="J33" s="3">
        <v>84.31</v>
      </c>
      <c r="K33" s="4">
        <v>46057</v>
      </c>
      <c r="L33" s="4">
        <v>46058</v>
      </c>
      <c r="N33" s="1" t="s">
        <v>12537</v>
      </c>
    </row>
    <row r="34" spans="1:14" s="1" customFormat="1" x14ac:dyDescent="0.35">
      <c r="A34" s="1" t="s">
        <v>12457</v>
      </c>
      <c r="B34" s="1" t="s">
        <v>1516</v>
      </c>
      <c r="C34" s="1" t="s">
        <v>8563</v>
      </c>
      <c r="D34" s="1" t="s">
        <v>12536</v>
      </c>
      <c r="E34" s="1" t="str">
        <f>"5855"</f>
        <v>5855</v>
      </c>
      <c r="F34" s="1" t="str">
        <f>"016299933"</f>
        <v>016299933</v>
      </c>
      <c r="G34" s="1" t="s">
        <v>8315</v>
      </c>
      <c r="H34" s="1" t="s">
        <v>15</v>
      </c>
      <c r="I34" s="1" t="str">
        <f>"20"</f>
        <v>20</v>
      </c>
      <c r="J34" s="3" t="str">
        <f>"19625"</f>
        <v>19625</v>
      </c>
      <c r="K34" s="4">
        <v>46034</v>
      </c>
      <c r="L34" s="4">
        <v>46034</v>
      </c>
      <c r="N34" s="1" t="s">
        <v>12535</v>
      </c>
    </row>
    <row r="35" spans="1:14" s="1" customFormat="1" x14ac:dyDescent="0.35">
      <c r="A35" s="1" t="s">
        <v>12457</v>
      </c>
      <c r="B35" s="1" t="s">
        <v>2641</v>
      </c>
      <c r="C35" s="1" t="s">
        <v>2690</v>
      </c>
      <c r="D35" s="1" t="s">
        <v>12534</v>
      </c>
      <c r="E35" s="1" t="str">
        <f>"5210"</f>
        <v>5210</v>
      </c>
      <c r="F35" s="1" t="s">
        <v>2830</v>
      </c>
      <c r="G35" s="1" t="s">
        <v>2831</v>
      </c>
      <c r="H35" s="1" t="s">
        <v>15</v>
      </c>
      <c r="I35" s="1" t="str">
        <f>"1"</f>
        <v>1</v>
      </c>
      <c r="J35" s="3" t="str">
        <f>"3500"</f>
        <v>3500</v>
      </c>
      <c r="K35" s="4">
        <v>46070</v>
      </c>
      <c r="L35" s="4">
        <v>46070</v>
      </c>
      <c r="N35" s="1" t="s">
        <v>12533</v>
      </c>
    </row>
    <row r="36" spans="1:14" s="1" customFormat="1" x14ac:dyDescent="0.35">
      <c r="A36" s="1" t="s">
        <v>12457</v>
      </c>
      <c r="B36" s="1" t="s">
        <v>3822</v>
      </c>
      <c r="C36" s="1" t="s">
        <v>4138</v>
      </c>
      <c r="D36" s="1" t="s">
        <v>12532</v>
      </c>
      <c r="E36" s="1" t="str">
        <f>"6545"</f>
        <v>6545</v>
      </c>
      <c r="F36" s="1" t="str">
        <f>"016899365"</f>
        <v>016899365</v>
      </c>
      <c r="G36" s="1" t="s">
        <v>5556</v>
      </c>
      <c r="H36" s="1" t="s">
        <v>168</v>
      </c>
      <c r="I36" s="1" t="str">
        <f>"8"</f>
        <v>8</v>
      </c>
      <c r="J36" s="3">
        <v>3729.93</v>
      </c>
      <c r="K36" s="4">
        <v>46063</v>
      </c>
      <c r="L36" s="4">
        <v>46063</v>
      </c>
      <c r="N36" s="1" t="s">
        <v>12531</v>
      </c>
    </row>
    <row r="37" spans="1:14" s="1" customFormat="1" x14ac:dyDescent="0.35">
      <c r="A37" s="1" t="s">
        <v>12457</v>
      </c>
      <c r="B37" s="1" t="s">
        <v>1013</v>
      </c>
      <c r="C37" s="1" t="s">
        <v>1074</v>
      </c>
      <c r="D37" s="1" t="s">
        <v>12530</v>
      </c>
      <c r="E37" s="1" t="str">
        <f>"2330"</f>
        <v>2330</v>
      </c>
      <c r="F37" s="1" t="s">
        <v>104</v>
      </c>
      <c r="G37" s="1" t="s">
        <v>105</v>
      </c>
      <c r="H37" s="1" t="s">
        <v>15</v>
      </c>
      <c r="I37" s="1" t="str">
        <f>"1"</f>
        <v>1</v>
      </c>
      <c r="J37" s="3" t="str">
        <f>"13000"</f>
        <v>13000</v>
      </c>
      <c r="K37" s="4">
        <v>46092</v>
      </c>
      <c r="L37" s="4">
        <v>46092</v>
      </c>
      <c r="N37" s="1" t="s">
        <v>12529</v>
      </c>
    </row>
    <row r="38" spans="1:14" s="1" customFormat="1" x14ac:dyDescent="0.35">
      <c r="A38" s="1" t="s">
        <v>12457</v>
      </c>
      <c r="B38" s="1" t="s">
        <v>1784</v>
      </c>
      <c r="C38" s="1" t="s">
        <v>12528</v>
      </c>
      <c r="D38" s="1" t="s">
        <v>12527</v>
      </c>
      <c r="E38" s="1" t="str">
        <f>"1385"</f>
        <v>1385</v>
      </c>
      <c r="F38" s="1" t="str">
        <f>"015736046"</f>
        <v>015736046</v>
      </c>
      <c r="G38" s="1" t="s">
        <v>417</v>
      </c>
      <c r="H38" s="1" t="s">
        <v>15</v>
      </c>
      <c r="I38" s="1" t="str">
        <f>"1"</f>
        <v>1</v>
      </c>
      <c r="J38" s="3">
        <v>284528.08</v>
      </c>
      <c r="K38" s="4">
        <v>46080</v>
      </c>
      <c r="L38" s="4">
        <v>46080</v>
      </c>
      <c r="M38" s="1" t="s">
        <v>4556</v>
      </c>
      <c r="N38" s="1" t="s">
        <v>12526</v>
      </c>
    </row>
    <row r="39" spans="1:14" s="1" customFormat="1" x14ac:dyDescent="0.35">
      <c r="A39" s="1" t="s">
        <v>12457</v>
      </c>
      <c r="B39" s="1" t="s">
        <v>1516</v>
      </c>
      <c r="C39" s="1" t="s">
        <v>1651</v>
      </c>
      <c r="D39" s="1" t="s">
        <v>12525</v>
      </c>
      <c r="E39" s="1" t="str">
        <f>"6720"</f>
        <v>6720</v>
      </c>
      <c r="F39" s="1" t="str">
        <f>"016877421"</f>
        <v>016877421</v>
      </c>
      <c r="G39" s="1" t="s">
        <v>1725</v>
      </c>
      <c r="H39" s="1" t="s">
        <v>15</v>
      </c>
      <c r="I39" s="1" t="str">
        <f>"20"</f>
        <v>20</v>
      </c>
      <c r="J39" s="3">
        <v>10613.84</v>
      </c>
      <c r="K39" s="4">
        <v>46060</v>
      </c>
      <c r="L39" s="4">
        <v>46060</v>
      </c>
      <c r="N39" s="1" t="s">
        <v>12524</v>
      </c>
    </row>
    <row r="40" spans="1:14" s="1" customFormat="1" x14ac:dyDescent="0.35">
      <c r="A40" s="1" t="s">
        <v>12457</v>
      </c>
      <c r="B40" s="1" t="s">
        <v>1293</v>
      </c>
      <c r="C40" s="1" t="s">
        <v>1297</v>
      </c>
      <c r="D40" s="1" t="s">
        <v>12523</v>
      </c>
      <c r="E40" s="1" t="str">
        <f>"7830"</f>
        <v>7830</v>
      </c>
      <c r="F40" s="1" t="s">
        <v>2167</v>
      </c>
      <c r="G40" s="1" t="s">
        <v>2168</v>
      </c>
      <c r="H40" s="1" t="s">
        <v>15</v>
      </c>
      <c r="I40" s="1" t="str">
        <f>"2"</f>
        <v>2</v>
      </c>
      <c r="J40" s="3" t="str">
        <f>"500"</f>
        <v>500</v>
      </c>
      <c r="K40" s="4">
        <v>46104</v>
      </c>
      <c r="L40" s="4">
        <v>46105</v>
      </c>
      <c r="N40" s="1" t="s">
        <v>12522</v>
      </c>
    </row>
    <row r="41" spans="1:14" s="1" customFormat="1" x14ac:dyDescent="0.35">
      <c r="A41" s="1" t="s">
        <v>12457</v>
      </c>
      <c r="B41" s="1" t="s">
        <v>2196</v>
      </c>
      <c r="C41" s="1" t="s">
        <v>2197</v>
      </c>
      <c r="D41" s="1" t="s">
        <v>12521</v>
      </c>
      <c r="E41" s="1" t="str">
        <f>"2320"</f>
        <v>2320</v>
      </c>
      <c r="F41" s="1" t="s">
        <v>1016</v>
      </c>
      <c r="G41" s="1" t="s">
        <v>1017</v>
      </c>
      <c r="H41" s="1" t="s">
        <v>15</v>
      </c>
      <c r="I41" s="1" t="str">
        <f>"1"</f>
        <v>1</v>
      </c>
      <c r="J41" s="3">
        <v>25765.1</v>
      </c>
      <c r="K41" s="4">
        <v>46027</v>
      </c>
      <c r="L41" s="4">
        <v>46027</v>
      </c>
      <c r="M41" s="1" t="s">
        <v>4556</v>
      </c>
      <c r="N41" s="1" t="s">
        <v>12520</v>
      </c>
    </row>
    <row r="42" spans="1:14" s="1" customFormat="1" x14ac:dyDescent="0.35">
      <c r="A42" s="1" t="s">
        <v>12457</v>
      </c>
      <c r="B42" s="1" t="s">
        <v>2196</v>
      </c>
      <c r="C42" s="1" t="s">
        <v>2197</v>
      </c>
      <c r="D42" s="1" t="s">
        <v>12519</v>
      </c>
      <c r="E42" s="1" t="str">
        <f>"5855"</f>
        <v>5855</v>
      </c>
      <c r="F42" s="1" t="str">
        <f>"015665301"</f>
        <v>015665301</v>
      </c>
      <c r="G42" s="1" t="s">
        <v>1357</v>
      </c>
      <c r="H42" s="1" t="s">
        <v>15</v>
      </c>
      <c r="I42" s="1" t="str">
        <f>"20"</f>
        <v>20</v>
      </c>
      <c r="J42" s="3">
        <v>445.26</v>
      </c>
      <c r="K42" s="4">
        <v>46060</v>
      </c>
      <c r="L42" s="4">
        <v>46060</v>
      </c>
      <c r="M42" s="1" t="s">
        <v>4556</v>
      </c>
      <c r="N42" s="1" t="s">
        <v>2210</v>
      </c>
    </row>
    <row r="43" spans="1:14" s="1" customFormat="1" x14ac:dyDescent="0.35">
      <c r="A43" s="1" t="s">
        <v>12457</v>
      </c>
      <c r="B43" s="1" t="s">
        <v>1989</v>
      </c>
      <c r="C43" s="1" t="s">
        <v>6852</v>
      </c>
      <c r="D43" s="1" t="s">
        <v>12518</v>
      </c>
      <c r="E43" s="1" t="str">
        <f>"5855"</f>
        <v>5855</v>
      </c>
      <c r="F43" s="1" t="str">
        <f>"015330555"</f>
        <v>015330555</v>
      </c>
      <c r="G43" s="1" t="s">
        <v>476</v>
      </c>
      <c r="H43" s="1" t="s">
        <v>15</v>
      </c>
      <c r="I43" s="1" t="str">
        <f>"30"</f>
        <v>30</v>
      </c>
      <c r="J43" s="3" t="str">
        <f>"1800"</f>
        <v>1800</v>
      </c>
      <c r="K43" s="4">
        <v>46110</v>
      </c>
      <c r="L43" s="4">
        <v>46111</v>
      </c>
      <c r="N43" s="1" t="s">
        <v>12516</v>
      </c>
    </row>
    <row r="44" spans="1:14" s="1" customFormat="1" x14ac:dyDescent="0.35">
      <c r="A44" s="1" t="s">
        <v>12457</v>
      </c>
      <c r="B44" s="1" t="s">
        <v>1989</v>
      </c>
      <c r="C44" s="1" t="s">
        <v>6852</v>
      </c>
      <c r="D44" s="1" t="s">
        <v>12517</v>
      </c>
      <c r="E44" s="1" t="str">
        <f>"5855"</f>
        <v>5855</v>
      </c>
      <c r="F44" s="1" t="str">
        <f>"015330555"</f>
        <v>015330555</v>
      </c>
      <c r="G44" s="1" t="s">
        <v>476</v>
      </c>
      <c r="H44" s="1" t="s">
        <v>15</v>
      </c>
      <c r="I44" s="1" t="str">
        <f>"20"</f>
        <v>20</v>
      </c>
      <c r="J44" s="3" t="str">
        <f>"1800"</f>
        <v>1800</v>
      </c>
      <c r="K44" s="4">
        <v>46110</v>
      </c>
      <c r="L44" s="4">
        <v>46111</v>
      </c>
      <c r="N44" s="1" t="s">
        <v>12516</v>
      </c>
    </row>
    <row r="45" spans="1:14" s="1" customFormat="1" x14ac:dyDescent="0.35">
      <c r="A45" s="1" t="s">
        <v>12457</v>
      </c>
      <c r="B45" s="1" t="s">
        <v>1516</v>
      </c>
      <c r="C45" s="1" t="s">
        <v>1755</v>
      </c>
      <c r="D45" s="1" t="s">
        <v>12515</v>
      </c>
      <c r="E45" s="1" t="str">
        <f>"4210"</f>
        <v>4210</v>
      </c>
      <c r="F45" s="1" t="s">
        <v>5997</v>
      </c>
      <c r="G45" s="1" t="s">
        <v>5996</v>
      </c>
      <c r="H45" s="1" t="s">
        <v>15</v>
      </c>
      <c r="I45" s="1" t="str">
        <f>"1"</f>
        <v>1</v>
      </c>
      <c r="J45" s="3" t="str">
        <f>"500"</f>
        <v>500</v>
      </c>
      <c r="K45" s="4">
        <v>46101</v>
      </c>
      <c r="L45" s="4">
        <v>46101</v>
      </c>
      <c r="N45" s="1" t="s">
        <v>6823</v>
      </c>
    </row>
    <row r="46" spans="1:14" s="1" customFormat="1" x14ac:dyDescent="0.35">
      <c r="A46" s="1" t="s">
        <v>12457</v>
      </c>
      <c r="B46" s="1" t="s">
        <v>1516</v>
      </c>
      <c r="C46" s="1" t="s">
        <v>1755</v>
      </c>
      <c r="D46" s="1" t="s">
        <v>12514</v>
      </c>
      <c r="E46" s="1" t="str">
        <f>"3470"</f>
        <v>3470</v>
      </c>
      <c r="F46" s="1" t="str">
        <f>"014549877"</f>
        <v>014549877</v>
      </c>
      <c r="G46" s="1" t="s">
        <v>4212</v>
      </c>
      <c r="H46" s="1" t="s">
        <v>15</v>
      </c>
      <c r="I46" s="1" t="str">
        <f>"1"</f>
        <v>1</v>
      </c>
      <c r="J46" s="3" t="str">
        <f>"35000"</f>
        <v>35000</v>
      </c>
      <c r="K46" s="4">
        <v>46098</v>
      </c>
      <c r="L46" s="4">
        <v>46098</v>
      </c>
      <c r="N46" s="1" t="s">
        <v>12513</v>
      </c>
    </row>
    <row r="47" spans="1:14" s="1" customFormat="1" x14ac:dyDescent="0.35">
      <c r="A47" s="1" t="s">
        <v>12457</v>
      </c>
      <c r="B47" s="1" t="s">
        <v>2196</v>
      </c>
      <c r="C47" s="1" t="s">
        <v>2211</v>
      </c>
      <c r="D47" s="1" t="s">
        <v>12512</v>
      </c>
      <c r="E47" s="1" t="str">
        <f>"1095"</f>
        <v>1095</v>
      </c>
      <c r="F47" s="1" t="s">
        <v>2217</v>
      </c>
      <c r="G47" s="1" t="s">
        <v>2218</v>
      </c>
      <c r="H47" s="1" t="s">
        <v>15</v>
      </c>
      <c r="I47" s="1" t="str">
        <f>"20"</f>
        <v>20</v>
      </c>
      <c r="J47" s="3" t="str">
        <f>"10"</f>
        <v>10</v>
      </c>
      <c r="K47" s="4">
        <v>46026</v>
      </c>
      <c r="L47" s="4">
        <v>46028</v>
      </c>
      <c r="M47" s="1" t="s">
        <v>4556</v>
      </c>
      <c r="N47" s="1" t="s">
        <v>12511</v>
      </c>
    </row>
    <row r="48" spans="1:14" s="1" customFormat="1" x14ac:dyDescent="0.35">
      <c r="A48" s="1" t="s">
        <v>12457</v>
      </c>
      <c r="B48" s="1" t="s">
        <v>2196</v>
      </c>
      <c r="C48" s="1" t="s">
        <v>2211</v>
      </c>
      <c r="D48" s="1" t="s">
        <v>12510</v>
      </c>
      <c r="E48" s="1" t="str">
        <f>"1005"</f>
        <v>1005</v>
      </c>
      <c r="F48" s="1" t="s">
        <v>2213</v>
      </c>
      <c r="G48" s="1" t="s">
        <v>2214</v>
      </c>
      <c r="H48" s="1" t="s">
        <v>15</v>
      </c>
      <c r="I48" s="1" t="str">
        <f>"3"</f>
        <v>3</v>
      </c>
      <c r="J48" s="3" t="str">
        <f>"200"</f>
        <v>200</v>
      </c>
      <c r="K48" s="4">
        <v>46050</v>
      </c>
      <c r="L48" s="4">
        <v>46051</v>
      </c>
      <c r="N48" s="1" t="s">
        <v>12509</v>
      </c>
    </row>
    <row r="49" spans="1:14" s="1" customFormat="1" x14ac:dyDescent="0.35">
      <c r="A49" s="1" t="s">
        <v>12457</v>
      </c>
      <c r="B49" s="1" t="s">
        <v>1516</v>
      </c>
      <c r="C49" s="1" t="s">
        <v>1781</v>
      </c>
      <c r="D49" s="1" t="s">
        <v>12508</v>
      </c>
      <c r="E49" s="1" t="str">
        <f>"3805"</f>
        <v>3805</v>
      </c>
      <c r="F49" s="1" t="s">
        <v>1020</v>
      </c>
      <c r="G49" s="1" t="s">
        <v>1021</v>
      </c>
      <c r="H49" s="1" t="s">
        <v>15</v>
      </c>
      <c r="I49" s="1" t="str">
        <f>"1"</f>
        <v>1</v>
      </c>
      <c r="J49" s="3" t="str">
        <f>"16000"</f>
        <v>16000</v>
      </c>
      <c r="K49" s="4">
        <v>46024</v>
      </c>
      <c r="L49" s="4">
        <v>46025</v>
      </c>
      <c r="N49" s="1" t="s">
        <v>12507</v>
      </c>
    </row>
    <row r="50" spans="1:14" s="1" customFormat="1" x14ac:dyDescent="0.35">
      <c r="A50" s="1" t="s">
        <v>12457</v>
      </c>
      <c r="B50" s="1" t="s">
        <v>1989</v>
      </c>
      <c r="C50" s="1" t="s">
        <v>6658</v>
      </c>
      <c r="D50" s="1" t="s">
        <v>12506</v>
      </c>
      <c r="E50" s="1" t="str">
        <f>"8150"</f>
        <v>8150</v>
      </c>
      <c r="F50" s="1" t="s">
        <v>944</v>
      </c>
      <c r="G50" s="1" t="s">
        <v>945</v>
      </c>
      <c r="H50" s="1" t="s">
        <v>15</v>
      </c>
      <c r="I50" s="1" t="str">
        <f>"2"</f>
        <v>2</v>
      </c>
      <c r="J50" s="3" t="str">
        <f>"5000"</f>
        <v>5000</v>
      </c>
      <c r="K50" s="4">
        <v>46078</v>
      </c>
      <c r="L50" s="4">
        <v>46078</v>
      </c>
      <c r="N50" s="1" t="s">
        <v>12505</v>
      </c>
    </row>
    <row r="51" spans="1:14" s="1" customFormat="1" x14ac:dyDescent="0.35">
      <c r="A51" s="1" t="s">
        <v>12457</v>
      </c>
      <c r="B51" s="1" t="s">
        <v>1989</v>
      </c>
      <c r="C51" s="1" t="s">
        <v>6658</v>
      </c>
      <c r="D51" s="1" t="s">
        <v>12504</v>
      </c>
      <c r="E51" s="1" t="str">
        <f>"3940"</f>
        <v>3940</v>
      </c>
      <c r="F51" s="1" t="str">
        <f>"015156858"</f>
        <v>015156858</v>
      </c>
      <c r="G51" s="1" t="s">
        <v>11268</v>
      </c>
      <c r="H51" s="1" t="s">
        <v>15</v>
      </c>
      <c r="I51" s="1" t="str">
        <f>"1"</f>
        <v>1</v>
      </c>
      <c r="J51" s="3">
        <v>1229.5</v>
      </c>
      <c r="K51" s="4">
        <v>46078</v>
      </c>
      <c r="L51" s="4">
        <v>46078</v>
      </c>
      <c r="N51" s="1" t="s">
        <v>11267</v>
      </c>
    </row>
    <row r="52" spans="1:14" s="1" customFormat="1" x14ac:dyDescent="0.35">
      <c r="A52" s="1" t="s">
        <v>12457</v>
      </c>
      <c r="B52" s="1" t="s">
        <v>1989</v>
      </c>
      <c r="C52" s="1" t="s">
        <v>6658</v>
      </c>
      <c r="D52" s="1" t="s">
        <v>12503</v>
      </c>
      <c r="E52" s="1" t="str">
        <f>"6115"</f>
        <v>6115</v>
      </c>
      <c r="F52" s="1" t="s">
        <v>157</v>
      </c>
      <c r="G52" s="1" t="s">
        <v>158</v>
      </c>
      <c r="H52" s="1" t="s">
        <v>15</v>
      </c>
      <c r="I52" s="1" t="str">
        <f>"1"</f>
        <v>1</v>
      </c>
      <c r="J52" s="3" t="str">
        <f>"300"</f>
        <v>300</v>
      </c>
      <c r="K52" s="4">
        <v>46078</v>
      </c>
      <c r="L52" s="4">
        <v>46078</v>
      </c>
      <c r="N52" s="1" t="s">
        <v>12502</v>
      </c>
    </row>
    <row r="53" spans="1:14" s="1" customFormat="1" x14ac:dyDescent="0.35">
      <c r="A53" s="1" t="s">
        <v>12457</v>
      </c>
      <c r="B53" s="1" t="s">
        <v>802</v>
      </c>
      <c r="C53" s="1" t="s">
        <v>803</v>
      </c>
      <c r="D53" s="1" t="s">
        <v>12501</v>
      </c>
      <c r="E53" s="1" t="str">
        <f>"2330"</f>
        <v>2330</v>
      </c>
      <c r="F53" s="1" t="s">
        <v>104</v>
      </c>
      <c r="G53" s="1" t="s">
        <v>105</v>
      </c>
      <c r="H53" s="1" t="s">
        <v>15</v>
      </c>
      <c r="I53" s="1" t="str">
        <f>"1"</f>
        <v>1</v>
      </c>
      <c r="J53" s="3" t="str">
        <f>"14555"</f>
        <v>14555</v>
      </c>
      <c r="K53" s="4">
        <v>46074</v>
      </c>
      <c r="L53" s="4">
        <v>46075</v>
      </c>
      <c r="N53" s="1" t="s">
        <v>12500</v>
      </c>
    </row>
    <row r="54" spans="1:14" s="1" customFormat="1" x14ac:dyDescent="0.35">
      <c r="A54" s="1" t="s">
        <v>12457</v>
      </c>
      <c r="B54" s="1" t="s">
        <v>802</v>
      </c>
      <c r="C54" s="1" t="s">
        <v>803</v>
      </c>
      <c r="D54" s="1" t="s">
        <v>12499</v>
      </c>
      <c r="E54" s="1" t="str">
        <f>"2330"</f>
        <v>2330</v>
      </c>
      <c r="F54" s="1" t="s">
        <v>104</v>
      </c>
      <c r="G54" s="1" t="s">
        <v>105</v>
      </c>
      <c r="H54" s="1" t="s">
        <v>15</v>
      </c>
      <c r="I54" s="1" t="str">
        <f>"1"</f>
        <v>1</v>
      </c>
      <c r="J54" s="3" t="str">
        <f>"10000"</f>
        <v>10000</v>
      </c>
      <c r="K54" s="4">
        <v>46095</v>
      </c>
      <c r="L54" s="4">
        <v>46096</v>
      </c>
      <c r="N54" s="1" t="s">
        <v>12497</v>
      </c>
    </row>
    <row r="55" spans="1:14" s="1" customFormat="1" x14ac:dyDescent="0.35">
      <c r="A55" s="1" t="s">
        <v>12457</v>
      </c>
      <c r="B55" s="1" t="s">
        <v>802</v>
      </c>
      <c r="C55" s="1" t="s">
        <v>803</v>
      </c>
      <c r="D55" s="1" t="s">
        <v>12498</v>
      </c>
      <c r="E55" s="1" t="str">
        <f>"2330"</f>
        <v>2330</v>
      </c>
      <c r="F55" s="1" t="s">
        <v>104</v>
      </c>
      <c r="G55" s="1" t="s">
        <v>105</v>
      </c>
      <c r="H55" s="1" t="s">
        <v>15</v>
      </c>
      <c r="I55" s="1" t="str">
        <f>"1"</f>
        <v>1</v>
      </c>
      <c r="J55" s="3" t="str">
        <f>"10000"</f>
        <v>10000</v>
      </c>
      <c r="K55" s="4">
        <v>46095</v>
      </c>
      <c r="L55" s="4">
        <v>46096</v>
      </c>
      <c r="N55" s="1" t="s">
        <v>12497</v>
      </c>
    </row>
    <row r="56" spans="1:14" s="1" customFormat="1" x14ac:dyDescent="0.35">
      <c r="A56" s="1" t="s">
        <v>12457</v>
      </c>
      <c r="B56" s="1" t="s">
        <v>802</v>
      </c>
      <c r="C56" s="1" t="s">
        <v>803</v>
      </c>
      <c r="D56" s="1" t="s">
        <v>12496</v>
      </c>
      <c r="E56" s="1" t="str">
        <f>"4240"</f>
        <v>4240</v>
      </c>
      <c r="F56" s="1" t="str">
        <f>"016306064"</f>
        <v>016306064</v>
      </c>
      <c r="G56" s="1" t="s">
        <v>1404</v>
      </c>
      <c r="H56" s="1" t="s">
        <v>15</v>
      </c>
      <c r="I56" s="1" t="str">
        <f>"10"</f>
        <v>10</v>
      </c>
      <c r="J56" s="3">
        <v>128.97999999999999</v>
      </c>
      <c r="K56" s="4">
        <v>46103</v>
      </c>
      <c r="L56" s="4">
        <v>46104</v>
      </c>
      <c r="N56" s="1" t="s">
        <v>6420</v>
      </c>
    </row>
    <row r="57" spans="1:14" s="1" customFormat="1" x14ac:dyDescent="0.35">
      <c r="A57" s="1" t="s">
        <v>12457</v>
      </c>
      <c r="B57" s="1" t="s">
        <v>802</v>
      </c>
      <c r="C57" s="1" t="s">
        <v>803</v>
      </c>
      <c r="D57" s="1" t="s">
        <v>12495</v>
      </c>
      <c r="E57" s="1" t="str">
        <f>"4240"</f>
        <v>4240</v>
      </c>
      <c r="F57" s="1" t="str">
        <f>"015253095"</f>
        <v>015253095</v>
      </c>
      <c r="G57" s="1" t="s">
        <v>3426</v>
      </c>
      <c r="H57" s="1" t="s">
        <v>15</v>
      </c>
      <c r="I57" s="1" t="str">
        <f>"10"</f>
        <v>10</v>
      </c>
      <c r="J57" s="3">
        <v>129.01</v>
      </c>
      <c r="K57" s="4">
        <v>46103</v>
      </c>
      <c r="L57" s="4">
        <v>46104</v>
      </c>
      <c r="N57" s="1" t="s">
        <v>6420</v>
      </c>
    </row>
    <row r="58" spans="1:14" s="1" customFormat="1" x14ac:dyDescent="0.35">
      <c r="A58" s="1" t="s">
        <v>12457</v>
      </c>
      <c r="B58" s="1" t="s">
        <v>802</v>
      </c>
      <c r="C58" s="1" t="s">
        <v>803</v>
      </c>
      <c r="D58" s="1" t="s">
        <v>12494</v>
      </c>
      <c r="E58" s="1" t="str">
        <f>"8415"</f>
        <v>8415</v>
      </c>
      <c r="F58" s="1" t="str">
        <f>"013950005"</f>
        <v>013950005</v>
      </c>
      <c r="G58" s="1" t="s">
        <v>6437</v>
      </c>
      <c r="H58" s="1" t="s">
        <v>15</v>
      </c>
      <c r="I58" s="1" t="str">
        <f>"1"</f>
        <v>1</v>
      </c>
      <c r="J58" s="3">
        <v>184.45</v>
      </c>
      <c r="K58" s="4">
        <v>46103</v>
      </c>
      <c r="L58" s="4">
        <v>46104</v>
      </c>
      <c r="N58" s="1" t="s">
        <v>857</v>
      </c>
    </row>
    <row r="59" spans="1:14" s="1" customFormat="1" x14ac:dyDescent="0.35">
      <c r="A59" s="1" t="s">
        <v>12457</v>
      </c>
      <c r="B59" s="1" t="s">
        <v>802</v>
      </c>
      <c r="C59" s="1" t="s">
        <v>803</v>
      </c>
      <c r="D59" s="1" t="s">
        <v>12493</v>
      </c>
      <c r="E59" s="1" t="str">
        <f>"2310"</f>
        <v>2310</v>
      </c>
      <c r="F59" s="1" t="str">
        <f>"016544105"</f>
        <v>016544105</v>
      </c>
      <c r="G59" s="1" t="s">
        <v>232</v>
      </c>
      <c r="H59" s="1" t="s">
        <v>15</v>
      </c>
      <c r="I59" s="1" t="str">
        <f>"2"</f>
        <v>2</v>
      </c>
      <c r="J59" s="3">
        <v>31905.14</v>
      </c>
      <c r="K59" s="4">
        <v>46103</v>
      </c>
      <c r="L59" s="4">
        <v>46104</v>
      </c>
      <c r="M59" s="1" t="s">
        <v>4556</v>
      </c>
      <c r="N59" s="1" t="s">
        <v>12492</v>
      </c>
    </row>
    <row r="60" spans="1:14" s="1" customFormat="1" x14ac:dyDescent="0.35">
      <c r="A60" s="1" t="s">
        <v>12457</v>
      </c>
      <c r="B60" s="1" t="s">
        <v>1453</v>
      </c>
      <c r="C60" s="1" t="s">
        <v>1454</v>
      </c>
      <c r="D60" s="1" t="s">
        <v>12491</v>
      </c>
      <c r="E60" s="1" t="str">
        <f>"5855"</f>
        <v>5855</v>
      </c>
      <c r="F60" s="1" t="str">
        <f>"015959294"</f>
        <v>015959294</v>
      </c>
      <c r="G60" s="1" t="s">
        <v>1188</v>
      </c>
      <c r="H60" s="1" t="s">
        <v>15</v>
      </c>
      <c r="I60" s="1" t="str">
        <f>"1"</f>
        <v>1</v>
      </c>
      <c r="J60" s="3" t="str">
        <f>"18055"</f>
        <v>18055</v>
      </c>
      <c r="K60" s="4">
        <v>46036</v>
      </c>
      <c r="L60" s="4">
        <v>46037</v>
      </c>
      <c r="M60" s="1" t="s">
        <v>4556</v>
      </c>
      <c r="N60" s="1" t="s">
        <v>12490</v>
      </c>
    </row>
    <row r="61" spans="1:14" s="1" customFormat="1" x14ac:dyDescent="0.35">
      <c r="A61" s="1" t="s">
        <v>12457</v>
      </c>
      <c r="B61" s="1" t="s">
        <v>1791</v>
      </c>
      <c r="C61" s="1" t="s">
        <v>1856</v>
      </c>
      <c r="D61" s="1" t="s">
        <v>12489</v>
      </c>
      <c r="E61" s="1" t="str">
        <f>"5410"</f>
        <v>5410</v>
      </c>
      <c r="F61" s="1" t="str">
        <f>"014518080"</f>
        <v>014518080</v>
      </c>
      <c r="G61" s="1" t="s">
        <v>1892</v>
      </c>
      <c r="H61" s="1" t="s">
        <v>15</v>
      </c>
      <c r="I61" s="1" t="str">
        <f>"1"</f>
        <v>1</v>
      </c>
      <c r="J61" s="3">
        <v>112715.04</v>
      </c>
      <c r="K61" s="4">
        <v>46079</v>
      </c>
      <c r="L61" s="4">
        <v>46079</v>
      </c>
      <c r="N61" s="1" t="s">
        <v>12488</v>
      </c>
    </row>
    <row r="62" spans="1:14" s="1" customFormat="1" x14ac:dyDescent="0.35">
      <c r="A62" s="1" t="s">
        <v>12457</v>
      </c>
      <c r="B62" s="1" t="s">
        <v>1013</v>
      </c>
      <c r="C62" s="1" t="s">
        <v>1083</v>
      </c>
      <c r="D62" s="1" t="s">
        <v>12487</v>
      </c>
      <c r="E62" s="1" t="str">
        <f>"6210"</f>
        <v>6210</v>
      </c>
      <c r="F62" s="1" t="str">
        <f>"004745653"</f>
        <v>004745653</v>
      </c>
      <c r="G62" s="1" t="s">
        <v>8465</v>
      </c>
      <c r="H62" s="1" t="s">
        <v>15</v>
      </c>
      <c r="I62" s="1" t="str">
        <f>"1"</f>
        <v>1</v>
      </c>
      <c r="J62" s="3">
        <v>1495.22</v>
      </c>
      <c r="K62" s="4">
        <v>46027</v>
      </c>
      <c r="L62" s="4">
        <v>46027</v>
      </c>
      <c r="N62" s="1" t="s">
        <v>12486</v>
      </c>
    </row>
    <row r="63" spans="1:14" s="1" customFormat="1" x14ac:dyDescent="0.35">
      <c r="A63" s="1" t="s">
        <v>12457</v>
      </c>
      <c r="B63" s="1" t="s">
        <v>2641</v>
      </c>
      <c r="C63" s="1" t="s">
        <v>3124</v>
      </c>
      <c r="D63" s="1" t="s">
        <v>12485</v>
      </c>
      <c r="E63" s="1" t="str">
        <f>"5965"</f>
        <v>5965</v>
      </c>
      <c r="F63" s="1" t="str">
        <f>"015415801"</f>
        <v>015415801</v>
      </c>
      <c r="G63" s="1" t="s">
        <v>209</v>
      </c>
      <c r="H63" s="1" t="s">
        <v>15</v>
      </c>
      <c r="I63" s="1" t="str">
        <f>"5"</f>
        <v>5</v>
      </c>
      <c r="J63" s="3">
        <v>870.81</v>
      </c>
      <c r="K63" s="4">
        <v>46046</v>
      </c>
      <c r="L63" s="4">
        <v>46047</v>
      </c>
      <c r="M63" s="1" t="s">
        <v>4556</v>
      </c>
      <c r="N63" s="1" t="s">
        <v>12484</v>
      </c>
    </row>
    <row r="64" spans="1:14" s="1" customFormat="1" x14ac:dyDescent="0.35">
      <c r="A64" s="1" t="s">
        <v>12457</v>
      </c>
      <c r="B64" s="1" t="s">
        <v>2641</v>
      </c>
      <c r="C64" s="1" t="s">
        <v>3124</v>
      </c>
      <c r="D64" s="1" t="s">
        <v>12483</v>
      </c>
      <c r="E64" s="1" t="str">
        <f>"2340"</f>
        <v>2340</v>
      </c>
      <c r="F64" s="1" t="s">
        <v>1071</v>
      </c>
      <c r="G64" s="1" t="s">
        <v>1072</v>
      </c>
      <c r="H64" s="1" t="s">
        <v>15</v>
      </c>
      <c r="I64" s="1" t="str">
        <f>"1"</f>
        <v>1</v>
      </c>
      <c r="J64" s="3" t="str">
        <f>"14918"</f>
        <v>14918</v>
      </c>
      <c r="K64" s="4">
        <v>46046</v>
      </c>
      <c r="L64" s="4">
        <v>46047</v>
      </c>
      <c r="M64" s="1" t="s">
        <v>4556</v>
      </c>
      <c r="N64" s="1" t="s">
        <v>12482</v>
      </c>
    </row>
    <row r="65" spans="1:14" s="1" customFormat="1" x14ac:dyDescent="0.35">
      <c r="A65" s="1" t="s">
        <v>12457</v>
      </c>
      <c r="B65" s="1" t="s">
        <v>4247</v>
      </c>
      <c r="C65" s="1" t="s">
        <v>4327</v>
      </c>
      <c r="D65" s="1" t="s">
        <v>12481</v>
      </c>
      <c r="E65" s="1" t="str">
        <f>"8415"</f>
        <v>8415</v>
      </c>
      <c r="F65" s="1" t="str">
        <f>"015674782"</f>
        <v>015674782</v>
      </c>
      <c r="G65" s="1" t="s">
        <v>3008</v>
      </c>
      <c r="H65" s="1" t="s">
        <v>15</v>
      </c>
      <c r="I65" s="1" t="str">
        <f>"1"</f>
        <v>1</v>
      </c>
      <c r="J65" s="3">
        <v>43.63</v>
      </c>
      <c r="K65" s="4">
        <v>46054</v>
      </c>
      <c r="L65" s="4">
        <v>46054</v>
      </c>
      <c r="N65" s="1" t="s">
        <v>5536</v>
      </c>
    </row>
    <row r="66" spans="1:14" s="1" customFormat="1" x14ac:dyDescent="0.35">
      <c r="A66" s="1" t="s">
        <v>12457</v>
      </c>
      <c r="B66" s="1" t="s">
        <v>2368</v>
      </c>
      <c r="C66" s="1" t="s">
        <v>2575</v>
      </c>
      <c r="D66" s="1" t="s">
        <v>12480</v>
      </c>
      <c r="E66" s="1" t="str">
        <f>"8465"</f>
        <v>8465</v>
      </c>
      <c r="F66" s="1" t="str">
        <f>"015801560"</f>
        <v>015801560</v>
      </c>
      <c r="G66" s="1" t="s">
        <v>2628</v>
      </c>
      <c r="H66" s="1" t="s">
        <v>15</v>
      </c>
      <c r="I66" s="1" t="str">
        <f>"1"</f>
        <v>1</v>
      </c>
      <c r="J66" s="3">
        <v>77.33</v>
      </c>
      <c r="K66" s="4">
        <v>46045</v>
      </c>
      <c r="L66" s="4">
        <v>46045</v>
      </c>
      <c r="N66" s="1" t="s">
        <v>12479</v>
      </c>
    </row>
    <row r="67" spans="1:14" s="1" customFormat="1" x14ac:dyDescent="0.35">
      <c r="A67" s="1" t="s">
        <v>12457</v>
      </c>
      <c r="B67" s="1" t="s">
        <v>2368</v>
      </c>
      <c r="C67" s="1" t="s">
        <v>2575</v>
      </c>
      <c r="D67" s="1" t="s">
        <v>12478</v>
      </c>
      <c r="E67" s="1" t="str">
        <f>"8415"</f>
        <v>8415</v>
      </c>
      <c r="F67" s="1" t="str">
        <f>"015386289"</f>
        <v>015386289</v>
      </c>
      <c r="G67" s="1" t="s">
        <v>2097</v>
      </c>
      <c r="H67" s="1" t="s">
        <v>15</v>
      </c>
      <c r="I67" s="1" t="str">
        <f>"1"</f>
        <v>1</v>
      </c>
      <c r="J67" s="3">
        <v>137.97999999999999</v>
      </c>
      <c r="K67" s="4">
        <v>46045</v>
      </c>
      <c r="L67" s="4">
        <v>46045</v>
      </c>
      <c r="N67" s="1" t="s">
        <v>12477</v>
      </c>
    </row>
    <row r="68" spans="1:14" s="1" customFormat="1" x14ac:dyDescent="0.35">
      <c r="A68" s="1" t="s">
        <v>12457</v>
      </c>
      <c r="B68" s="1" t="s">
        <v>2368</v>
      </c>
      <c r="C68" s="1" t="s">
        <v>2575</v>
      </c>
      <c r="D68" s="1" t="s">
        <v>12476</v>
      </c>
      <c r="E68" s="1" t="str">
        <f>"4910"</f>
        <v>4910</v>
      </c>
      <c r="F68" s="1" t="str">
        <f>"016203116"</f>
        <v>016203116</v>
      </c>
      <c r="G68" s="1" t="s">
        <v>4386</v>
      </c>
      <c r="H68" s="1" t="s">
        <v>168</v>
      </c>
      <c r="I68" s="1" t="str">
        <f>"5"</f>
        <v>5</v>
      </c>
      <c r="J68" s="3">
        <v>5039.3599999999997</v>
      </c>
      <c r="K68" s="4">
        <v>46084</v>
      </c>
      <c r="L68" s="4">
        <v>46085</v>
      </c>
      <c r="N68" s="1" t="s">
        <v>12475</v>
      </c>
    </row>
    <row r="69" spans="1:14" s="1" customFormat="1" x14ac:dyDescent="0.35">
      <c r="A69" s="1" t="s">
        <v>12457</v>
      </c>
      <c r="B69" s="1" t="s">
        <v>2368</v>
      </c>
      <c r="C69" s="1" t="s">
        <v>2575</v>
      </c>
      <c r="D69" s="1" t="s">
        <v>12474</v>
      </c>
      <c r="E69" s="1" t="str">
        <f>"6130"</f>
        <v>6130</v>
      </c>
      <c r="F69" s="1" t="str">
        <f>"016485273"</f>
        <v>016485273</v>
      </c>
      <c r="G69" s="1" t="s">
        <v>882</v>
      </c>
      <c r="H69" s="1" t="s">
        <v>15</v>
      </c>
      <c r="I69" s="1" t="str">
        <f>"1"</f>
        <v>1</v>
      </c>
      <c r="J69" s="3">
        <v>397.58</v>
      </c>
      <c r="K69" s="4">
        <v>46101</v>
      </c>
      <c r="L69" s="4">
        <v>46101</v>
      </c>
      <c r="N69" s="1" t="s">
        <v>12473</v>
      </c>
    </row>
    <row r="70" spans="1:14" s="1" customFormat="1" x14ac:dyDescent="0.35">
      <c r="A70" s="1" t="s">
        <v>12457</v>
      </c>
      <c r="B70" s="1" t="s">
        <v>1013</v>
      </c>
      <c r="C70" s="1" t="s">
        <v>5153</v>
      </c>
      <c r="D70" s="1" t="s">
        <v>12472</v>
      </c>
      <c r="E70" s="1" t="str">
        <f>"6545"</f>
        <v>6545</v>
      </c>
      <c r="F70" s="1" t="str">
        <f>"015841582"</f>
        <v>015841582</v>
      </c>
      <c r="G70" s="1" t="s">
        <v>990</v>
      </c>
      <c r="H70" s="1" t="s">
        <v>168</v>
      </c>
      <c r="I70" s="1" t="str">
        <f>"39"</f>
        <v>39</v>
      </c>
      <c r="J70" s="3">
        <v>103.24</v>
      </c>
      <c r="K70" s="4">
        <v>46086</v>
      </c>
      <c r="L70" s="4">
        <v>46086</v>
      </c>
      <c r="N70" s="1" t="s">
        <v>12471</v>
      </c>
    </row>
    <row r="71" spans="1:14" s="1" customFormat="1" x14ac:dyDescent="0.35">
      <c r="A71" s="1" t="s">
        <v>12457</v>
      </c>
      <c r="B71" s="1" t="s">
        <v>1791</v>
      </c>
      <c r="C71" s="1" t="s">
        <v>1904</v>
      </c>
      <c r="D71" s="1" t="s">
        <v>12470</v>
      </c>
      <c r="E71" s="1" t="str">
        <f>"1240"</f>
        <v>1240</v>
      </c>
      <c r="F71" s="1" t="str">
        <f>"014111265"</f>
        <v>014111265</v>
      </c>
      <c r="G71" s="1" t="s">
        <v>71</v>
      </c>
      <c r="H71" s="1" t="s">
        <v>15</v>
      </c>
      <c r="I71" s="1" t="str">
        <f>"1"</f>
        <v>1</v>
      </c>
      <c r="J71" s="3" t="str">
        <f>"339"</f>
        <v>339</v>
      </c>
      <c r="K71" s="4">
        <v>46057</v>
      </c>
      <c r="L71" s="4">
        <v>46057</v>
      </c>
      <c r="M71" s="1" t="s">
        <v>4556</v>
      </c>
      <c r="N71" s="1" t="s">
        <v>12466</v>
      </c>
    </row>
    <row r="72" spans="1:14" s="1" customFormat="1" x14ac:dyDescent="0.35">
      <c r="A72" s="1" t="s">
        <v>12457</v>
      </c>
      <c r="B72" s="1" t="s">
        <v>1791</v>
      </c>
      <c r="C72" s="1" t="s">
        <v>1904</v>
      </c>
      <c r="D72" s="1" t="s">
        <v>12469</v>
      </c>
      <c r="E72" s="1" t="str">
        <f>"1240"</f>
        <v>1240</v>
      </c>
      <c r="F72" s="1" t="str">
        <f>"014111265"</f>
        <v>014111265</v>
      </c>
      <c r="G72" s="1" t="s">
        <v>71</v>
      </c>
      <c r="H72" s="1" t="s">
        <v>15</v>
      </c>
      <c r="I72" s="1" t="str">
        <f>"5"</f>
        <v>5</v>
      </c>
      <c r="J72" s="3" t="str">
        <f>"339"</f>
        <v>339</v>
      </c>
      <c r="K72" s="4">
        <v>46057</v>
      </c>
      <c r="L72" s="4">
        <v>46057</v>
      </c>
      <c r="M72" s="1" t="s">
        <v>4556</v>
      </c>
      <c r="N72" s="1" t="s">
        <v>12466</v>
      </c>
    </row>
    <row r="73" spans="1:14" s="1" customFormat="1" x14ac:dyDescent="0.35">
      <c r="A73" s="1" t="s">
        <v>12457</v>
      </c>
      <c r="B73" s="1" t="s">
        <v>1791</v>
      </c>
      <c r="C73" s="1" t="s">
        <v>1904</v>
      </c>
      <c r="D73" s="1" t="s">
        <v>12468</v>
      </c>
      <c r="E73" s="1" t="str">
        <f>"1240"</f>
        <v>1240</v>
      </c>
      <c r="F73" s="1" t="str">
        <f>"014111265"</f>
        <v>014111265</v>
      </c>
      <c r="G73" s="1" t="s">
        <v>71</v>
      </c>
      <c r="H73" s="1" t="s">
        <v>15</v>
      </c>
      <c r="I73" s="1" t="str">
        <f>"4"</f>
        <v>4</v>
      </c>
      <c r="J73" s="3" t="str">
        <f>"339"</f>
        <v>339</v>
      </c>
      <c r="K73" s="4">
        <v>46057</v>
      </c>
      <c r="L73" s="4">
        <v>46057</v>
      </c>
      <c r="M73" s="1" t="s">
        <v>4556</v>
      </c>
      <c r="N73" s="1" t="s">
        <v>12466</v>
      </c>
    </row>
    <row r="74" spans="1:14" s="1" customFormat="1" x14ac:dyDescent="0.35">
      <c r="A74" s="1" t="s">
        <v>12457</v>
      </c>
      <c r="B74" s="1" t="s">
        <v>1791</v>
      </c>
      <c r="C74" s="1" t="s">
        <v>1904</v>
      </c>
      <c r="D74" s="1" t="s">
        <v>12467</v>
      </c>
      <c r="E74" s="1" t="str">
        <f>"1240"</f>
        <v>1240</v>
      </c>
      <c r="F74" s="1" t="str">
        <f>"014111265"</f>
        <v>014111265</v>
      </c>
      <c r="G74" s="1" t="s">
        <v>71</v>
      </c>
      <c r="H74" s="1" t="s">
        <v>15</v>
      </c>
      <c r="I74" s="1" t="str">
        <f>"1"</f>
        <v>1</v>
      </c>
      <c r="J74" s="3" t="str">
        <f>"339"</f>
        <v>339</v>
      </c>
      <c r="K74" s="4">
        <v>46057</v>
      </c>
      <c r="L74" s="4">
        <v>46057</v>
      </c>
      <c r="N74" s="1" t="s">
        <v>12466</v>
      </c>
    </row>
    <row r="75" spans="1:14" s="1" customFormat="1" x14ac:dyDescent="0.35">
      <c r="A75" s="1" t="s">
        <v>12457</v>
      </c>
      <c r="B75" s="1" t="s">
        <v>2196</v>
      </c>
      <c r="C75" s="1" t="s">
        <v>2265</v>
      </c>
      <c r="D75" s="1" t="s">
        <v>12465</v>
      </c>
      <c r="E75" s="1" t="str">
        <f>"6530"</f>
        <v>6530</v>
      </c>
      <c r="F75" s="1" t="str">
        <f>"016316261"</f>
        <v>016316261</v>
      </c>
      <c r="G75" s="1" t="s">
        <v>2305</v>
      </c>
      <c r="H75" s="1" t="s">
        <v>15</v>
      </c>
      <c r="I75" s="1" t="str">
        <f>"1"</f>
        <v>1</v>
      </c>
      <c r="J75" s="3">
        <v>2994.75</v>
      </c>
      <c r="K75" s="4">
        <v>46049</v>
      </c>
      <c r="L75" s="4">
        <v>46049</v>
      </c>
      <c r="M75" s="1" t="s">
        <v>4556</v>
      </c>
      <c r="N75" s="1" t="s">
        <v>2315</v>
      </c>
    </row>
    <row r="76" spans="1:14" s="1" customFormat="1" x14ac:dyDescent="0.35">
      <c r="A76" s="1" t="s">
        <v>12457</v>
      </c>
      <c r="B76" s="1" t="s">
        <v>2196</v>
      </c>
      <c r="C76" s="1" t="s">
        <v>2265</v>
      </c>
      <c r="D76" s="1" t="s">
        <v>12464</v>
      </c>
      <c r="E76" s="1" t="str">
        <f>"6230"</f>
        <v>6230</v>
      </c>
      <c r="F76" s="1" t="str">
        <f>"015888427"</f>
        <v>015888427</v>
      </c>
      <c r="G76" s="1" t="s">
        <v>1571</v>
      </c>
      <c r="H76" s="1" t="s">
        <v>15</v>
      </c>
      <c r="I76" s="1" t="str">
        <f>"7"</f>
        <v>7</v>
      </c>
      <c r="J76" s="3">
        <v>418.1</v>
      </c>
      <c r="K76" s="4">
        <v>46079</v>
      </c>
      <c r="L76" s="4">
        <v>46079</v>
      </c>
      <c r="M76" s="1" t="s">
        <v>4556</v>
      </c>
      <c r="N76" s="1" t="s">
        <v>12463</v>
      </c>
    </row>
    <row r="77" spans="1:14" s="1" customFormat="1" x14ac:dyDescent="0.35">
      <c r="A77" s="1" t="s">
        <v>12457</v>
      </c>
      <c r="B77" s="1" t="s">
        <v>2196</v>
      </c>
      <c r="C77" s="1" t="s">
        <v>2265</v>
      </c>
      <c r="D77" s="1" t="s">
        <v>12462</v>
      </c>
      <c r="E77" s="1" t="str">
        <f>"8415"</f>
        <v>8415</v>
      </c>
      <c r="F77" s="1" t="s">
        <v>1944</v>
      </c>
      <c r="G77" s="1" t="s">
        <v>1945</v>
      </c>
      <c r="H77" s="1" t="s">
        <v>15</v>
      </c>
      <c r="I77" s="1" t="str">
        <f>"850"</f>
        <v>850</v>
      </c>
      <c r="J77" s="3">
        <v>12.5</v>
      </c>
      <c r="K77" s="4">
        <v>46084</v>
      </c>
      <c r="L77" s="4">
        <v>46085</v>
      </c>
      <c r="M77" s="1" t="s">
        <v>4556</v>
      </c>
      <c r="N77" s="1" t="s">
        <v>12461</v>
      </c>
    </row>
    <row r="78" spans="1:14" s="1" customFormat="1" x14ac:dyDescent="0.35">
      <c r="A78" s="1" t="s">
        <v>12457</v>
      </c>
      <c r="B78" s="1" t="s">
        <v>2196</v>
      </c>
      <c r="C78" s="1" t="s">
        <v>2265</v>
      </c>
      <c r="D78" s="1" t="s">
        <v>12460</v>
      </c>
      <c r="E78" s="1" t="str">
        <f>"4240"</f>
        <v>4240</v>
      </c>
      <c r="F78" s="1" t="s">
        <v>2291</v>
      </c>
      <c r="G78" s="1" t="s">
        <v>2292</v>
      </c>
      <c r="H78" s="1" t="s">
        <v>15</v>
      </c>
      <c r="I78" s="1" t="str">
        <f>"1087"</f>
        <v>1087</v>
      </c>
      <c r="J78" s="3">
        <v>22.06</v>
      </c>
      <c r="K78" s="4">
        <v>46084</v>
      </c>
      <c r="L78" s="4">
        <v>46085</v>
      </c>
      <c r="M78" s="1" t="s">
        <v>4556</v>
      </c>
      <c r="N78" s="1" t="s">
        <v>12459</v>
      </c>
    </row>
    <row r="79" spans="1:14" s="1" customFormat="1" x14ac:dyDescent="0.35">
      <c r="A79" s="1" t="s">
        <v>12457</v>
      </c>
      <c r="B79" s="1" t="s">
        <v>2196</v>
      </c>
      <c r="C79" s="1" t="s">
        <v>2265</v>
      </c>
      <c r="D79" s="1" t="s">
        <v>12458</v>
      </c>
      <c r="E79" s="1" t="str">
        <f>"4240"</f>
        <v>4240</v>
      </c>
      <c r="F79" s="1" t="str">
        <f>"015274051"</f>
        <v>015274051</v>
      </c>
      <c r="G79" s="1" t="s">
        <v>4557</v>
      </c>
      <c r="H79" s="1" t="s">
        <v>15</v>
      </c>
      <c r="I79" s="1" t="str">
        <f>"3"</f>
        <v>3</v>
      </c>
      <c r="J79" s="3">
        <v>47.66</v>
      </c>
      <c r="K79" s="4">
        <v>46096</v>
      </c>
      <c r="L79" s="4">
        <v>46096</v>
      </c>
      <c r="M79" s="1" t="s">
        <v>4556</v>
      </c>
      <c r="N79" s="1" t="s">
        <v>4553</v>
      </c>
    </row>
    <row r="80" spans="1:14" s="1" customFormat="1" x14ac:dyDescent="0.35">
      <c r="A80" s="1" t="s">
        <v>12457</v>
      </c>
      <c r="B80" s="1" t="s">
        <v>2196</v>
      </c>
      <c r="C80" s="1" t="s">
        <v>2265</v>
      </c>
      <c r="D80" s="1" t="s">
        <v>12456</v>
      </c>
      <c r="E80" s="1" t="str">
        <f>"1240"</f>
        <v>1240</v>
      </c>
      <c r="F80" s="1" t="str">
        <f>"015544488"</f>
        <v>015544488</v>
      </c>
      <c r="G80" s="1" t="s">
        <v>5801</v>
      </c>
      <c r="H80" s="1" t="s">
        <v>15</v>
      </c>
      <c r="I80" s="1" t="str">
        <f>"4"</f>
        <v>4</v>
      </c>
      <c r="J80" s="3" t="str">
        <f>"379"</f>
        <v>379</v>
      </c>
      <c r="K80" s="4">
        <v>46094</v>
      </c>
      <c r="L80" s="4">
        <v>46097</v>
      </c>
      <c r="M80" s="1" t="s">
        <v>4556</v>
      </c>
      <c r="N80" s="1" t="s">
        <v>12455</v>
      </c>
    </row>
    <row r="81" spans="1:14" s="1" customFormat="1" x14ac:dyDescent="0.35">
      <c r="A81" s="1" t="s">
        <v>11760</v>
      </c>
      <c r="B81" s="1" t="s">
        <v>3356</v>
      </c>
      <c r="C81" s="1" t="s">
        <v>3357</v>
      </c>
      <c r="D81" s="1" t="s">
        <v>12454</v>
      </c>
      <c r="E81" s="1" t="str">
        <f>"2320"</f>
        <v>2320</v>
      </c>
      <c r="F81" s="1" t="str">
        <f>"005401428"</f>
        <v>005401428</v>
      </c>
      <c r="G81" s="1" t="s">
        <v>930</v>
      </c>
      <c r="H81" s="1" t="s">
        <v>15</v>
      </c>
      <c r="I81" s="1" t="str">
        <f>"1"</f>
        <v>1</v>
      </c>
      <c r="J81" s="3" t="str">
        <f>"13334"</f>
        <v>13334</v>
      </c>
      <c r="K81" s="4">
        <v>46074</v>
      </c>
      <c r="L81" s="4">
        <v>46076</v>
      </c>
      <c r="M81" s="1" t="s">
        <v>11778</v>
      </c>
      <c r="N81" s="1" t="s">
        <v>12453</v>
      </c>
    </row>
    <row r="82" spans="1:14" s="1" customFormat="1" x14ac:dyDescent="0.35">
      <c r="A82" s="1" t="s">
        <v>11760</v>
      </c>
      <c r="B82" s="1" t="s">
        <v>3356</v>
      </c>
      <c r="C82" s="1" t="s">
        <v>3357</v>
      </c>
      <c r="D82" s="1" t="s">
        <v>12452</v>
      </c>
      <c r="E82" s="1" t="str">
        <f>"4210"</f>
        <v>4210</v>
      </c>
      <c r="F82" s="1" t="str">
        <f>"002244564"</f>
        <v>002244564</v>
      </c>
      <c r="G82" s="1" t="s">
        <v>1036</v>
      </c>
      <c r="H82" s="1" t="s">
        <v>15</v>
      </c>
      <c r="I82" s="1" t="str">
        <f>"1"</f>
        <v>1</v>
      </c>
      <c r="J82" s="3" t="str">
        <f>"344920"</f>
        <v>344920</v>
      </c>
      <c r="K82" s="4">
        <v>46103</v>
      </c>
      <c r="L82" s="4">
        <v>46105</v>
      </c>
      <c r="M82" s="1" t="s">
        <v>12451</v>
      </c>
      <c r="N82" s="1" t="s">
        <v>12450</v>
      </c>
    </row>
    <row r="83" spans="1:14" s="1" customFormat="1" x14ac:dyDescent="0.35">
      <c r="A83" s="1" t="s">
        <v>11760</v>
      </c>
      <c r="B83" s="1" t="s">
        <v>2641</v>
      </c>
      <c r="C83" s="1" t="s">
        <v>12449</v>
      </c>
      <c r="D83" s="1" t="s">
        <v>12448</v>
      </c>
      <c r="E83" s="1" t="str">
        <f>"5855"</f>
        <v>5855</v>
      </c>
      <c r="F83" s="1" t="str">
        <f>"015315726"</f>
        <v>015315726</v>
      </c>
      <c r="G83" s="1" t="s">
        <v>1188</v>
      </c>
      <c r="H83" s="1" t="s">
        <v>15</v>
      </c>
      <c r="I83" s="1" t="str">
        <f>"1"</f>
        <v>1</v>
      </c>
      <c r="J83" s="3" t="str">
        <f>"10089"</f>
        <v>10089</v>
      </c>
      <c r="K83" s="4">
        <v>46109</v>
      </c>
      <c r="L83" s="4">
        <v>46111</v>
      </c>
      <c r="M83" s="1" t="s">
        <v>11771</v>
      </c>
      <c r="N83" s="1" t="s">
        <v>12447</v>
      </c>
    </row>
    <row r="84" spans="1:14" s="1" customFormat="1" x14ac:dyDescent="0.35">
      <c r="A84" s="1" t="s">
        <v>11760</v>
      </c>
      <c r="B84" s="1" t="s">
        <v>11</v>
      </c>
      <c r="C84" s="1" t="s">
        <v>57</v>
      </c>
      <c r="D84" s="1" t="s">
        <v>12446</v>
      </c>
      <c r="E84" s="1" t="str">
        <f>"4240"</f>
        <v>4240</v>
      </c>
      <c r="F84" s="1" t="str">
        <f>"015489078"</f>
        <v>015489078</v>
      </c>
      <c r="G84" s="1" t="s">
        <v>12445</v>
      </c>
      <c r="H84" s="1" t="s">
        <v>206</v>
      </c>
      <c r="I84" s="1" t="str">
        <f>"3"</f>
        <v>3</v>
      </c>
      <c r="J84" s="3">
        <v>37.07</v>
      </c>
      <c r="K84" s="4">
        <v>46064</v>
      </c>
      <c r="L84" s="4">
        <v>46072</v>
      </c>
      <c r="M84" s="1" t="s">
        <v>11789</v>
      </c>
      <c r="N84" s="1" t="s">
        <v>12444</v>
      </c>
    </row>
    <row r="85" spans="1:14" s="1" customFormat="1" x14ac:dyDescent="0.35">
      <c r="A85" s="1" t="s">
        <v>11760</v>
      </c>
      <c r="B85" s="1" t="s">
        <v>1791</v>
      </c>
      <c r="C85" s="1" t="s">
        <v>12443</v>
      </c>
      <c r="D85" s="1" t="s">
        <v>12442</v>
      </c>
      <c r="E85" s="1" t="str">
        <f>"2340"</f>
        <v>2340</v>
      </c>
      <c r="F85" s="1" t="str">
        <f>"013954293"</f>
        <v>013954293</v>
      </c>
      <c r="G85" s="1" t="s">
        <v>3527</v>
      </c>
      <c r="H85" s="1" t="s">
        <v>15</v>
      </c>
      <c r="I85" s="1" t="str">
        <f>"1"</f>
        <v>1</v>
      </c>
      <c r="J85" s="3">
        <v>5694.11</v>
      </c>
      <c r="K85" s="4">
        <v>46108</v>
      </c>
      <c r="L85" s="4">
        <v>46111</v>
      </c>
      <c r="M85" s="1" t="s">
        <v>11789</v>
      </c>
      <c r="N85" s="1" t="s">
        <v>12441</v>
      </c>
    </row>
    <row r="86" spans="1:14" s="1" customFormat="1" x14ac:dyDescent="0.35">
      <c r="A86" s="1" t="s">
        <v>11760</v>
      </c>
      <c r="B86" s="1" t="s">
        <v>3822</v>
      </c>
      <c r="C86" s="1" t="s">
        <v>3823</v>
      </c>
      <c r="D86" s="1" t="s">
        <v>12440</v>
      </c>
      <c r="E86" s="1" t="str">
        <f>"3805"</f>
        <v>3805</v>
      </c>
      <c r="F86" s="1" t="str">
        <f>"012178422"</f>
        <v>012178422</v>
      </c>
      <c r="G86" s="1" t="s">
        <v>12439</v>
      </c>
      <c r="H86" s="1" t="s">
        <v>15</v>
      </c>
      <c r="I86" s="1" t="str">
        <f>"1"</f>
        <v>1</v>
      </c>
      <c r="J86" s="3" t="str">
        <f>"298025"</f>
        <v>298025</v>
      </c>
      <c r="K86" s="4">
        <v>46056</v>
      </c>
      <c r="L86" s="4">
        <v>46057</v>
      </c>
      <c r="M86" s="1" t="s">
        <v>12438</v>
      </c>
      <c r="N86" s="1" t="s">
        <v>12437</v>
      </c>
    </row>
    <row r="87" spans="1:14" s="1" customFormat="1" x14ac:dyDescent="0.35">
      <c r="A87" s="1" t="s">
        <v>11760</v>
      </c>
      <c r="B87" s="1" t="s">
        <v>1791</v>
      </c>
      <c r="C87" s="1" t="s">
        <v>1792</v>
      </c>
      <c r="D87" s="1" t="s">
        <v>12436</v>
      </c>
      <c r="E87" s="1" t="str">
        <f>"1240"</f>
        <v>1240</v>
      </c>
      <c r="F87" s="1" t="str">
        <f>"016813209"</f>
        <v>016813209</v>
      </c>
      <c r="G87" s="1" t="s">
        <v>6044</v>
      </c>
      <c r="H87" s="1" t="s">
        <v>15</v>
      </c>
      <c r="I87" s="1" t="str">
        <f>"10"</f>
        <v>10</v>
      </c>
      <c r="J87" s="3" t="str">
        <f>"3269"</f>
        <v>3269</v>
      </c>
      <c r="K87" s="4">
        <v>46083</v>
      </c>
      <c r="L87" s="4">
        <v>46084</v>
      </c>
      <c r="M87" s="1" t="s">
        <v>11771</v>
      </c>
      <c r="N87" s="1" t="s">
        <v>12435</v>
      </c>
    </row>
    <row r="88" spans="1:14" s="1" customFormat="1" x14ac:dyDescent="0.35">
      <c r="A88" s="1" t="s">
        <v>11760</v>
      </c>
      <c r="B88" s="1" t="s">
        <v>4456</v>
      </c>
      <c r="C88" s="1" t="s">
        <v>4457</v>
      </c>
      <c r="D88" s="1" t="s">
        <v>12434</v>
      </c>
      <c r="E88" s="1" t="str">
        <f>"2330"</f>
        <v>2330</v>
      </c>
      <c r="F88" s="1" t="s">
        <v>104</v>
      </c>
      <c r="G88" s="1" t="s">
        <v>105</v>
      </c>
      <c r="H88" s="1" t="s">
        <v>15</v>
      </c>
      <c r="I88" s="1" t="str">
        <f>"1"</f>
        <v>1</v>
      </c>
      <c r="J88" s="3">
        <v>968678.86</v>
      </c>
      <c r="K88" s="4">
        <v>46074</v>
      </c>
      <c r="L88" s="4">
        <v>46076</v>
      </c>
      <c r="M88" s="1" t="s">
        <v>11778</v>
      </c>
      <c r="N88" s="1" t="s">
        <v>12433</v>
      </c>
    </row>
    <row r="89" spans="1:14" s="1" customFormat="1" x14ac:dyDescent="0.35">
      <c r="A89" s="1" t="s">
        <v>11760</v>
      </c>
      <c r="B89" s="1" t="s">
        <v>2641</v>
      </c>
      <c r="C89" s="1" t="s">
        <v>12432</v>
      </c>
      <c r="D89" s="1" t="s">
        <v>12431</v>
      </c>
      <c r="E89" s="1" t="str">
        <f>"1385"</f>
        <v>1385</v>
      </c>
      <c r="F89" s="1" t="str">
        <f>"015785490"</f>
        <v>015785490</v>
      </c>
      <c r="G89" s="1" t="s">
        <v>12430</v>
      </c>
      <c r="H89" s="1" t="s">
        <v>15</v>
      </c>
      <c r="I89" s="1" t="str">
        <f>"1"</f>
        <v>1</v>
      </c>
      <c r="J89" s="3" t="str">
        <f>"213686"</f>
        <v>213686</v>
      </c>
      <c r="K89" s="4">
        <v>46099</v>
      </c>
      <c r="L89" s="4">
        <v>46099</v>
      </c>
      <c r="M89" s="1" t="s">
        <v>4556</v>
      </c>
      <c r="N89" s="1" t="s">
        <v>12429</v>
      </c>
    </row>
    <row r="90" spans="1:14" s="1" customFormat="1" x14ac:dyDescent="0.35">
      <c r="A90" s="1" t="s">
        <v>11760</v>
      </c>
      <c r="B90" s="1" t="s">
        <v>1303</v>
      </c>
      <c r="C90" s="1" t="s">
        <v>10636</v>
      </c>
      <c r="D90" s="1" t="s">
        <v>12428</v>
      </c>
      <c r="E90" s="1" t="str">
        <f>"2320"</f>
        <v>2320</v>
      </c>
      <c r="F90" s="1" t="str">
        <f>"010747642"</f>
        <v>010747642</v>
      </c>
      <c r="G90" s="1" t="s">
        <v>7312</v>
      </c>
      <c r="H90" s="1" t="s">
        <v>15</v>
      </c>
      <c r="I90" s="1" t="str">
        <f>"1"</f>
        <v>1</v>
      </c>
      <c r="J90" s="3" t="str">
        <f>"65070"</f>
        <v>65070</v>
      </c>
      <c r="K90" s="4">
        <v>46033</v>
      </c>
      <c r="L90" s="4">
        <v>46034</v>
      </c>
      <c r="N90" s="1" t="s">
        <v>11698</v>
      </c>
    </row>
    <row r="91" spans="1:14" s="1" customFormat="1" x14ac:dyDescent="0.35">
      <c r="A91" s="1" t="s">
        <v>11760</v>
      </c>
      <c r="B91" s="1" t="s">
        <v>1129</v>
      </c>
      <c r="C91" s="1" t="s">
        <v>1130</v>
      </c>
      <c r="D91" s="1" t="s">
        <v>12427</v>
      </c>
      <c r="E91" s="1" t="str">
        <f>"8415"</f>
        <v>8415</v>
      </c>
      <c r="F91" s="1" t="str">
        <f>"015802856"</f>
        <v>015802856</v>
      </c>
      <c r="G91" s="1" t="s">
        <v>18</v>
      </c>
      <c r="H91" s="1" t="s">
        <v>15</v>
      </c>
      <c r="I91" s="1" t="str">
        <f>"14"</f>
        <v>14</v>
      </c>
      <c r="J91" s="3">
        <v>146.16</v>
      </c>
      <c r="K91" s="4">
        <v>46043</v>
      </c>
      <c r="L91" s="4">
        <v>46048</v>
      </c>
      <c r="M91" s="1" t="s">
        <v>11789</v>
      </c>
      <c r="N91" s="1" t="s">
        <v>12426</v>
      </c>
    </row>
    <row r="92" spans="1:14" s="1" customFormat="1" x14ac:dyDescent="0.35">
      <c r="A92" s="1" t="s">
        <v>11760</v>
      </c>
      <c r="B92" s="1" t="s">
        <v>1129</v>
      </c>
      <c r="C92" s="1" t="s">
        <v>1130</v>
      </c>
      <c r="D92" s="1" t="s">
        <v>12425</v>
      </c>
      <c r="E92" s="1" t="str">
        <f>"8415"</f>
        <v>8415</v>
      </c>
      <c r="F92" s="1" t="str">
        <f>"015801341"</f>
        <v>015801341</v>
      </c>
      <c r="G92" s="1" t="s">
        <v>761</v>
      </c>
      <c r="H92" s="1" t="s">
        <v>15</v>
      </c>
      <c r="I92" s="1" t="str">
        <f>"10"</f>
        <v>10</v>
      </c>
      <c r="J92" s="3">
        <v>80.94</v>
      </c>
      <c r="K92" s="4">
        <v>46043</v>
      </c>
      <c r="L92" s="4">
        <v>46048</v>
      </c>
      <c r="M92" s="1" t="s">
        <v>11789</v>
      </c>
      <c r="N92" s="1" t="s">
        <v>12424</v>
      </c>
    </row>
    <row r="93" spans="1:14" s="1" customFormat="1" x14ac:dyDescent="0.35">
      <c r="A93" s="1" t="s">
        <v>11760</v>
      </c>
      <c r="B93" s="1" t="s">
        <v>1129</v>
      </c>
      <c r="C93" s="1" t="s">
        <v>1130</v>
      </c>
      <c r="D93" s="1" t="s">
        <v>12423</v>
      </c>
      <c r="E93" s="1" t="str">
        <f>"8415"</f>
        <v>8415</v>
      </c>
      <c r="F93" s="1" t="str">
        <f>"015474194"</f>
        <v>015474194</v>
      </c>
      <c r="G93" s="1" t="s">
        <v>22</v>
      </c>
      <c r="H93" s="1" t="s">
        <v>15</v>
      </c>
      <c r="I93" s="1" t="str">
        <f>"4"</f>
        <v>4</v>
      </c>
      <c r="J93" s="3">
        <v>93.46</v>
      </c>
      <c r="K93" s="4">
        <v>46043</v>
      </c>
      <c r="L93" s="4">
        <v>46048</v>
      </c>
      <c r="M93" s="1" t="s">
        <v>11789</v>
      </c>
      <c r="N93" s="1" t="s">
        <v>12419</v>
      </c>
    </row>
    <row r="94" spans="1:14" s="1" customFormat="1" x14ac:dyDescent="0.35">
      <c r="A94" s="1" t="s">
        <v>11760</v>
      </c>
      <c r="B94" s="1" t="s">
        <v>1129</v>
      </c>
      <c r="C94" s="1" t="s">
        <v>1130</v>
      </c>
      <c r="D94" s="1" t="s">
        <v>12422</v>
      </c>
      <c r="E94" s="1" t="str">
        <f>"8415"</f>
        <v>8415</v>
      </c>
      <c r="F94" s="1" t="str">
        <f>"015802984"</f>
        <v>015802984</v>
      </c>
      <c r="G94" s="1" t="s">
        <v>758</v>
      </c>
      <c r="H94" s="1" t="s">
        <v>47</v>
      </c>
      <c r="I94" s="1" t="str">
        <f>"5"</f>
        <v>5</v>
      </c>
      <c r="J94" s="3">
        <v>113.3</v>
      </c>
      <c r="K94" s="4">
        <v>46043</v>
      </c>
      <c r="L94" s="4">
        <v>46048</v>
      </c>
      <c r="M94" s="1" t="s">
        <v>11789</v>
      </c>
      <c r="N94" s="1" t="s">
        <v>12421</v>
      </c>
    </row>
    <row r="95" spans="1:14" s="1" customFormat="1" x14ac:dyDescent="0.35">
      <c r="A95" s="1" t="s">
        <v>11760</v>
      </c>
      <c r="B95" s="1" t="s">
        <v>1129</v>
      </c>
      <c r="C95" s="1" t="s">
        <v>1130</v>
      </c>
      <c r="D95" s="1" t="s">
        <v>12420</v>
      </c>
      <c r="E95" s="1" t="str">
        <f>"8415"</f>
        <v>8415</v>
      </c>
      <c r="F95" s="1" t="str">
        <f>"015386680"</f>
        <v>015386680</v>
      </c>
      <c r="G95" s="1" t="s">
        <v>22</v>
      </c>
      <c r="H95" s="1" t="s">
        <v>15</v>
      </c>
      <c r="I95" s="1" t="str">
        <f>"20"</f>
        <v>20</v>
      </c>
      <c r="J95" s="3">
        <v>93.46</v>
      </c>
      <c r="K95" s="4">
        <v>46043</v>
      </c>
      <c r="L95" s="4">
        <v>46048</v>
      </c>
      <c r="M95" s="1" t="s">
        <v>11789</v>
      </c>
      <c r="N95" s="1" t="s">
        <v>12419</v>
      </c>
    </row>
    <row r="96" spans="1:14" s="1" customFormat="1" x14ac:dyDescent="0.35">
      <c r="A96" s="1" t="s">
        <v>11760</v>
      </c>
      <c r="B96" s="1" t="s">
        <v>1129</v>
      </c>
      <c r="C96" s="1" t="s">
        <v>1130</v>
      </c>
      <c r="D96" s="1" t="s">
        <v>12418</v>
      </c>
      <c r="E96" s="1" t="str">
        <f>"2330"</f>
        <v>2330</v>
      </c>
      <c r="F96" s="1" t="str">
        <f>"013875424"</f>
        <v>013875424</v>
      </c>
      <c r="G96" s="1" t="s">
        <v>1823</v>
      </c>
      <c r="H96" s="1" t="s">
        <v>15</v>
      </c>
      <c r="I96" s="1" t="str">
        <f>"1"</f>
        <v>1</v>
      </c>
      <c r="J96" s="3" t="str">
        <f>"7058"</f>
        <v>7058</v>
      </c>
      <c r="K96" s="4">
        <v>46043</v>
      </c>
      <c r="L96" s="4">
        <v>46048</v>
      </c>
      <c r="M96" s="1" t="s">
        <v>12417</v>
      </c>
      <c r="N96" s="1" t="s">
        <v>12416</v>
      </c>
    </row>
    <row r="97" spans="1:14" s="1" customFormat="1" x14ac:dyDescent="0.35">
      <c r="A97" s="1" t="s">
        <v>11760</v>
      </c>
      <c r="B97" s="1" t="s">
        <v>1129</v>
      </c>
      <c r="C97" s="1" t="s">
        <v>1130</v>
      </c>
      <c r="D97" s="1" t="s">
        <v>12415</v>
      </c>
      <c r="E97" s="1" t="str">
        <f>"2510"</f>
        <v>2510</v>
      </c>
      <c r="F97" s="1" t="str">
        <f>"013306176"</f>
        <v>013306176</v>
      </c>
      <c r="G97" s="1" t="s">
        <v>1136</v>
      </c>
      <c r="H97" s="1" t="s">
        <v>15</v>
      </c>
      <c r="I97" s="1" t="str">
        <f>"2"</f>
        <v>2</v>
      </c>
      <c r="J97" s="3">
        <v>170.71</v>
      </c>
      <c r="K97" s="4">
        <v>46052</v>
      </c>
      <c r="L97" s="4">
        <v>46057</v>
      </c>
      <c r="M97" s="1" t="s">
        <v>11828</v>
      </c>
      <c r="N97" s="1" t="s">
        <v>12414</v>
      </c>
    </row>
    <row r="98" spans="1:14" s="1" customFormat="1" x14ac:dyDescent="0.35">
      <c r="A98" s="1" t="s">
        <v>11760</v>
      </c>
      <c r="B98" s="1" t="s">
        <v>1129</v>
      </c>
      <c r="C98" s="1" t="s">
        <v>1130</v>
      </c>
      <c r="D98" s="1" t="s">
        <v>12413</v>
      </c>
      <c r="E98" s="1" t="str">
        <f>"2320"</f>
        <v>2320</v>
      </c>
      <c r="F98" s="1" t="str">
        <f>"014120143"</f>
        <v>014120143</v>
      </c>
      <c r="G98" s="1" t="s">
        <v>1860</v>
      </c>
      <c r="H98" s="1" t="s">
        <v>15</v>
      </c>
      <c r="I98" s="1" t="str">
        <f>"1"</f>
        <v>1</v>
      </c>
      <c r="J98" s="3" t="str">
        <f>"89627"</f>
        <v>89627</v>
      </c>
      <c r="K98" s="4">
        <v>46062</v>
      </c>
      <c r="L98" s="4">
        <v>46066</v>
      </c>
      <c r="M98" s="1" t="s">
        <v>12412</v>
      </c>
      <c r="N98" s="1" t="s">
        <v>12411</v>
      </c>
    </row>
    <row r="99" spans="1:14" s="1" customFormat="1" x14ac:dyDescent="0.35">
      <c r="A99" s="1" t="s">
        <v>11760</v>
      </c>
      <c r="B99" s="1" t="s">
        <v>3356</v>
      </c>
      <c r="C99" s="1" t="s">
        <v>3371</v>
      </c>
      <c r="D99" s="1" t="s">
        <v>12410</v>
      </c>
      <c r="E99" s="1" t="str">
        <f>"3805"</f>
        <v>3805</v>
      </c>
      <c r="F99" s="1" t="s">
        <v>1020</v>
      </c>
      <c r="G99" s="1" t="s">
        <v>1021</v>
      </c>
      <c r="H99" s="1" t="s">
        <v>15</v>
      </c>
      <c r="I99" s="1" t="str">
        <f>"1"</f>
        <v>1</v>
      </c>
      <c r="J99" s="3">
        <v>102143.01</v>
      </c>
      <c r="K99" s="4">
        <v>46103</v>
      </c>
      <c r="L99" s="4">
        <v>46104</v>
      </c>
      <c r="M99" s="1" t="s">
        <v>11758</v>
      </c>
      <c r="N99" s="1" t="s">
        <v>12409</v>
      </c>
    </row>
    <row r="100" spans="1:14" s="1" customFormat="1" x14ac:dyDescent="0.35">
      <c r="A100" s="1" t="s">
        <v>11760</v>
      </c>
      <c r="B100" s="1" t="s">
        <v>2630</v>
      </c>
      <c r="C100" s="1" t="s">
        <v>2631</v>
      </c>
      <c r="D100" s="1" t="s">
        <v>12408</v>
      </c>
      <c r="E100" s="1" t="str">
        <f>"1550"</f>
        <v>1550</v>
      </c>
      <c r="F100" s="1" t="str">
        <f>"016215533"</f>
        <v>016215533</v>
      </c>
      <c r="G100" s="1" t="s">
        <v>1789</v>
      </c>
      <c r="H100" s="1" t="s">
        <v>15</v>
      </c>
      <c r="I100" s="1" t="str">
        <f>"2"</f>
        <v>2</v>
      </c>
      <c r="J100" s="3" t="str">
        <f>"168000"</f>
        <v>168000</v>
      </c>
      <c r="K100" s="4">
        <v>46101</v>
      </c>
      <c r="L100" s="4">
        <v>46104</v>
      </c>
      <c r="N100" s="1" t="s">
        <v>12407</v>
      </c>
    </row>
    <row r="101" spans="1:14" s="1" customFormat="1" x14ac:dyDescent="0.35">
      <c r="A101" s="1" t="s">
        <v>11760</v>
      </c>
      <c r="B101" s="1" t="s">
        <v>2368</v>
      </c>
      <c r="C101" s="1" t="s">
        <v>10449</v>
      </c>
      <c r="D101" s="1" t="s">
        <v>12406</v>
      </c>
      <c r="E101" s="1" t="str">
        <f>"8465"</f>
        <v>8465</v>
      </c>
      <c r="F101" s="1" t="str">
        <f>"016046325"</f>
        <v>016046325</v>
      </c>
      <c r="G101" s="1" t="s">
        <v>12405</v>
      </c>
      <c r="H101" s="1" t="s">
        <v>168</v>
      </c>
      <c r="I101" s="1" t="str">
        <f>"1"</f>
        <v>1</v>
      </c>
      <c r="J101" s="3">
        <v>11102.19</v>
      </c>
      <c r="K101" s="4">
        <v>46095</v>
      </c>
      <c r="L101" s="4">
        <v>46098</v>
      </c>
      <c r="N101" s="1" t="s">
        <v>12404</v>
      </c>
    </row>
    <row r="102" spans="1:14" s="1" customFormat="1" x14ac:dyDescent="0.35">
      <c r="A102" s="1" t="s">
        <v>11760</v>
      </c>
      <c r="B102" s="1" t="s">
        <v>4883</v>
      </c>
      <c r="C102" s="1" t="s">
        <v>10396</v>
      </c>
      <c r="D102" s="1" t="s">
        <v>12403</v>
      </c>
      <c r="E102" s="1" t="str">
        <f>"5855"</f>
        <v>5855</v>
      </c>
      <c r="F102" s="1" t="str">
        <f>"014778738"</f>
        <v>014778738</v>
      </c>
      <c r="G102" s="1" t="s">
        <v>614</v>
      </c>
      <c r="H102" s="1" t="s">
        <v>15</v>
      </c>
      <c r="I102" s="1" t="str">
        <f>"2"</f>
        <v>2</v>
      </c>
      <c r="J102" s="3" t="str">
        <f>"7481"</f>
        <v>7481</v>
      </c>
      <c r="K102" s="4">
        <v>46037</v>
      </c>
      <c r="L102" s="4">
        <v>46043</v>
      </c>
      <c r="M102" s="1" t="s">
        <v>11825</v>
      </c>
      <c r="N102" s="1" t="s">
        <v>12402</v>
      </c>
    </row>
    <row r="103" spans="1:14" s="1" customFormat="1" x14ac:dyDescent="0.35">
      <c r="A103" s="1" t="s">
        <v>11760</v>
      </c>
      <c r="B103" s="1" t="s">
        <v>1176</v>
      </c>
      <c r="C103" s="1" t="s">
        <v>1186</v>
      </c>
      <c r="D103" s="1" t="s">
        <v>12401</v>
      </c>
      <c r="E103" s="1" t="str">
        <f>"5855"</f>
        <v>5855</v>
      </c>
      <c r="F103" s="1" t="str">
        <f>"015847217"</f>
        <v>015847217</v>
      </c>
      <c r="G103" s="1" t="s">
        <v>614</v>
      </c>
      <c r="H103" s="1" t="s">
        <v>15</v>
      </c>
      <c r="I103" s="1" t="str">
        <f>"5"</f>
        <v>5</v>
      </c>
      <c r="J103" s="3" t="str">
        <f>"34084"</f>
        <v>34084</v>
      </c>
      <c r="K103" s="4">
        <v>46100</v>
      </c>
      <c r="L103" s="4">
        <v>46101</v>
      </c>
      <c r="N103" s="1" t="s">
        <v>12400</v>
      </c>
    </row>
    <row r="104" spans="1:14" s="1" customFormat="1" x14ac:dyDescent="0.35">
      <c r="A104" s="1" t="s">
        <v>11760</v>
      </c>
      <c r="B104" s="1" t="s">
        <v>319</v>
      </c>
      <c r="C104" s="1" t="s">
        <v>12399</v>
      </c>
      <c r="D104" s="1" t="s">
        <v>12398</v>
      </c>
      <c r="E104" s="1" t="str">
        <f>"2320"</f>
        <v>2320</v>
      </c>
      <c r="F104" s="1" t="str">
        <f>"016271386"</f>
        <v>016271386</v>
      </c>
      <c r="G104" s="1" t="s">
        <v>1860</v>
      </c>
      <c r="H104" s="1" t="s">
        <v>15</v>
      </c>
      <c r="I104" s="1" t="str">
        <f>"1"</f>
        <v>1</v>
      </c>
      <c r="J104" s="3" t="str">
        <f>"321959"</f>
        <v>321959</v>
      </c>
      <c r="K104" s="4">
        <v>46058</v>
      </c>
      <c r="L104" s="4">
        <v>46059</v>
      </c>
      <c r="M104" s="1" t="s">
        <v>12397</v>
      </c>
      <c r="N104" s="1" t="s">
        <v>12396</v>
      </c>
    </row>
    <row r="105" spans="1:14" s="1" customFormat="1" x14ac:dyDescent="0.35">
      <c r="A105" s="1" t="s">
        <v>11760</v>
      </c>
      <c r="B105" s="1" t="s">
        <v>4456</v>
      </c>
      <c r="C105" s="1" t="s">
        <v>4460</v>
      </c>
      <c r="D105" s="1" t="s">
        <v>12395</v>
      </c>
      <c r="E105" s="1" t="str">
        <f>"1005"</f>
        <v>1005</v>
      </c>
      <c r="F105" s="1" t="str">
        <f>"996715390"</f>
        <v>996715390</v>
      </c>
      <c r="G105" s="1" t="s">
        <v>4462</v>
      </c>
      <c r="H105" s="1" t="s">
        <v>168</v>
      </c>
      <c r="I105" s="1" t="str">
        <f>"3"</f>
        <v>3</v>
      </c>
      <c r="J105" s="3">
        <v>712.79</v>
      </c>
      <c r="K105" s="4">
        <v>46067</v>
      </c>
      <c r="L105" s="4">
        <v>46070</v>
      </c>
      <c r="M105" s="1" t="s">
        <v>12394</v>
      </c>
      <c r="N105" s="1" t="s">
        <v>12393</v>
      </c>
    </row>
    <row r="106" spans="1:14" s="1" customFormat="1" x14ac:dyDescent="0.35">
      <c r="A106" s="1" t="s">
        <v>11760</v>
      </c>
      <c r="B106" s="1" t="s">
        <v>4456</v>
      </c>
      <c r="C106" s="1" t="s">
        <v>4460</v>
      </c>
      <c r="D106" s="1" t="s">
        <v>12392</v>
      </c>
      <c r="E106" s="1" t="str">
        <f>"2310"</f>
        <v>2310</v>
      </c>
      <c r="F106" s="1" t="str">
        <f>"016544105"</f>
        <v>016544105</v>
      </c>
      <c r="G106" s="1" t="s">
        <v>232</v>
      </c>
      <c r="H106" s="1" t="s">
        <v>15</v>
      </c>
      <c r="I106" s="1" t="str">
        <f>"2"</f>
        <v>2</v>
      </c>
      <c r="J106" s="3">
        <v>31905.14</v>
      </c>
      <c r="K106" s="4">
        <v>46103</v>
      </c>
      <c r="L106" s="4">
        <v>46104</v>
      </c>
      <c r="M106" s="1" t="s">
        <v>12391</v>
      </c>
      <c r="N106" s="1" t="s">
        <v>12390</v>
      </c>
    </row>
    <row r="107" spans="1:14" s="1" customFormat="1" x14ac:dyDescent="0.35">
      <c r="A107" s="1" t="s">
        <v>11760</v>
      </c>
      <c r="B107" s="1" t="s">
        <v>692</v>
      </c>
      <c r="C107" s="1" t="s">
        <v>702</v>
      </c>
      <c r="D107" s="1" t="s">
        <v>12389</v>
      </c>
      <c r="E107" s="1" t="str">
        <f>"6130"</f>
        <v>6130</v>
      </c>
      <c r="F107" s="1" t="s">
        <v>12388</v>
      </c>
      <c r="G107" s="1" t="s">
        <v>12387</v>
      </c>
      <c r="H107" s="1" t="s">
        <v>15</v>
      </c>
      <c r="I107" s="1" t="str">
        <f>"3"</f>
        <v>3</v>
      </c>
      <c r="J107" s="3" t="str">
        <f>"545"</f>
        <v>545</v>
      </c>
      <c r="K107" s="4">
        <v>46031</v>
      </c>
      <c r="L107" s="4">
        <v>46031</v>
      </c>
      <c r="M107" s="1" t="s">
        <v>12386</v>
      </c>
      <c r="N107" s="1" t="s">
        <v>12385</v>
      </c>
    </row>
    <row r="108" spans="1:14" s="1" customFormat="1" x14ac:dyDescent="0.35">
      <c r="A108" s="1" t="s">
        <v>11760</v>
      </c>
      <c r="B108" s="1" t="s">
        <v>692</v>
      </c>
      <c r="C108" s="1" t="s">
        <v>702</v>
      </c>
      <c r="D108" s="1" t="s">
        <v>12384</v>
      </c>
      <c r="E108" s="1" t="str">
        <f>"3825"</f>
        <v>3825</v>
      </c>
      <c r="F108" s="1" t="s">
        <v>12353</v>
      </c>
      <c r="G108" s="1" t="s">
        <v>12352</v>
      </c>
      <c r="H108" s="1" t="s">
        <v>15</v>
      </c>
      <c r="I108" s="1" t="str">
        <f>"1"</f>
        <v>1</v>
      </c>
      <c r="J108" s="3" t="str">
        <f>"1200"</f>
        <v>1200</v>
      </c>
      <c r="K108" s="4">
        <v>46027</v>
      </c>
      <c r="L108" s="4">
        <v>46031</v>
      </c>
      <c r="M108" s="1" t="s">
        <v>12359</v>
      </c>
      <c r="N108" s="1" t="s">
        <v>12383</v>
      </c>
    </row>
    <row r="109" spans="1:14" s="1" customFormat="1" x14ac:dyDescent="0.35">
      <c r="A109" s="1" t="s">
        <v>11760</v>
      </c>
      <c r="B109" s="1" t="s">
        <v>692</v>
      </c>
      <c r="C109" s="1" t="s">
        <v>702</v>
      </c>
      <c r="D109" s="1" t="s">
        <v>12382</v>
      </c>
      <c r="E109" s="1" t="str">
        <f>"4910"</f>
        <v>4910</v>
      </c>
      <c r="F109" s="1" t="s">
        <v>145</v>
      </c>
      <c r="G109" s="1" t="s">
        <v>146</v>
      </c>
      <c r="H109" s="1" t="s">
        <v>15</v>
      </c>
      <c r="I109" s="1" t="str">
        <f>"1"</f>
        <v>1</v>
      </c>
      <c r="J109" s="3" t="str">
        <f>"4400"</f>
        <v>4400</v>
      </c>
      <c r="K109" s="4">
        <v>46031</v>
      </c>
      <c r="L109" s="4">
        <v>46031</v>
      </c>
      <c r="M109" s="1" t="s">
        <v>12357</v>
      </c>
      <c r="N109" s="1" t="s">
        <v>12381</v>
      </c>
    </row>
    <row r="110" spans="1:14" s="1" customFormat="1" x14ac:dyDescent="0.35">
      <c r="A110" s="1" t="s">
        <v>11760</v>
      </c>
      <c r="B110" s="1" t="s">
        <v>692</v>
      </c>
      <c r="C110" s="1" t="s">
        <v>702</v>
      </c>
      <c r="D110" s="1" t="s">
        <v>12380</v>
      </c>
      <c r="E110" s="1" t="str">
        <f>"4910"</f>
        <v>4910</v>
      </c>
      <c r="F110" s="1" t="s">
        <v>145</v>
      </c>
      <c r="G110" s="1" t="s">
        <v>146</v>
      </c>
      <c r="H110" s="1" t="s">
        <v>15</v>
      </c>
      <c r="I110" s="1" t="str">
        <f>"1"</f>
        <v>1</v>
      </c>
      <c r="J110" s="3">
        <v>2499.9899999999998</v>
      </c>
      <c r="K110" s="4">
        <v>46031</v>
      </c>
      <c r="L110" s="4">
        <v>46031</v>
      </c>
      <c r="M110" s="1" t="s">
        <v>12357</v>
      </c>
      <c r="N110" s="1" t="s">
        <v>12379</v>
      </c>
    </row>
    <row r="111" spans="1:14" s="1" customFormat="1" x14ac:dyDescent="0.35">
      <c r="A111" s="1" t="s">
        <v>11760</v>
      </c>
      <c r="B111" s="1" t="s">
        <v>692</v>
      </c>
      <c r="C111" s="1" t="s">
        <v>702</v>
      </c>
      <c r="D111" s="1" t="s">
        <v>12378</v>
      </c>
      <c r="E111" s="1" t="str">
        <f>"2940"</f>
        <v>2940</v>
      </c>
      <c r="F111" s="1" t="str">
        <f>"016273977"</f>
        <v>016273977</v>
      </c>
      <c r="G111" s="1" t="s">
        <v>12377</v>
      </c>
      <c r="H111" s="1" t="s">
        <v>15</v>
      </c>
      <c r="I111" s="1" t="str">
        <f>"1"</f>
        <v>1</v>
      </c>
      <c r="J111" s="3">
        <v>1220.1400000000001</v>
      </c>
      <c r="K111" s="4">
        <v>46031</v>
      </c>
      <c r="L111" s="4">
        <v>46031</v>
      </c>
      <c r="M111" s="1" t="s">
        <v>12376</v>
      </c>
      <c r="N111" s="1" t="s">
        <v>12375</v>
      </c>
    </row>
    <row r="112" spans="1:14" s="1" customFormat="1" x14ac:dyDescent="0.35">
      <c r="A112" s="1" t="s">
        <v>11760</v>
      </c>
      <c r="B112" s="1" t="s">
        <v>692</v>
      </c>
      <c r="C112" s="1" t="s">
        <v>702</v>
      </c>
      <c r="D112" s="1" t="s">
        <v>12374</v>
      </c>
      <c r="E112" s="1" t="str">
        <f>"8415"</f>
        <v>8415</v>
      </c>
      <c r="F112" s="1" t="str">
        <f>"015386680"</f>
        <v>015386680</v>
      </c>
      <c r="G112" s="1" t="s">
        <v>22</v>
      </c>
      <c r="H112" s="1" t="s">
        <v>15</v>
      </c>
      <c r="I112" s="1" t="str">
        <f>"3"</f>
        <v>3</v>
      </c>
      <c r="J112" s="3">
        <v>93.46</v>
      </c>
      <c r="K112" s="4">
        <v>46031</v>
      </c>
      <c r="L112" s="4">
        <v>46031</v>
      </c>
      <c r="M112" s="1" t="s">
        <v>12357</v>
      </c>
      <c r="N112" s="1" t="s">
        <v>12371</v>
      </c>
    </row>
    <row r="113" spans="1:14" s="1" customFormat="1" x14ac:dyDescent="0.35">
      <c r="A113" s="1" t="s">
        <v>11760</v>
      </c>
      <c r="B113" s="1" t="s">
        <v>692</v>
      </c>
      <c r="C113" s="1" t="s">
        <v>702</v>
      </c>
      <c r="D113" s="1" t="s">
        <v>12373</v>
      </c>
      <c r="E113" s="1" t="str">
        <f>"8415"</f>
        <v>8415</v>
      </c>
      <c r="F113" s="1" t="str">
        <f>"015386672"</f>
        <v>015386672</v>
      </c>
      <c r="G113" s="1" t="s">
        <v>22</v>
      </c>
      <c r="H113" s="1" t="s">
        <v>15</v>
      </c>
      <c r="I113" s="1" t="str">
        <f>"1"</f>
        <v>1</v>
      </c>
      <c r="J113" s="3">
        <v>96.1</v>
      </c>
      <c r="K113" s="4">
        <v>46031</v>
      </c>
      <c r="L113" s="4">
        <v>46031</v>
      </c>
      <c r="M113" s="1" t="s">
        <v>12359</v>
      </c>
      <c r="N113" s="1" t="s">
        <v>12371</v>
      </c>
    </row>
    <row r="114" spans="1:14" s="1" customFormat="1" x14ac:dyDescent="0.35">
      <c r="A114" s="1" t="s">
        <v>11760</v>
      </c>
      <c r="B114" s="1" t="s">
        <v>692</v>
      </c>
      <c r="C114" s="1" t="s">
        <v>702</v>
      </c>
      <c r="D114" s="1" t="s">
        <v>12372</v>
      </c>
      <c r="E114" s="1" t="str">
        <f>"8415"</f>
        <v>8415</v>
      </c>
      <c r="F114" s="1" t="str">
        <f>"015386672"</f>
        <v>015386672</v>
      </c>
      <c r="G114" s="1" t="s">
        <v>22</v>
      </c>
      <c r="H114" s="1" t="s">
        <v>15</v>
      </c>
      <c r="I114" s="1" t="str">
        <f>"1"</f>
        <v>1</v>
      </c>
      <c r="J114" s="3">
        <v>96.1</v>
      </c>
      <c r="K114" s="4">
        <v>46031</v>
      </c>
      <c r="L114" s="4">
        <v>46031</v>
      </c>
      <c r="M114" s="1" t="s">
        <v>12359</v>
      </c>
      <c r="N114" s="1" t="s">
        <v>12371</v>
      </c>
    </row>
    <row r="115" spans="1:14" s="1" customFormat="1" x14ac:dyDescent="0.35">
      <c r="A115" s="1" t="s">
        <v>11760</v>
      </c>
      <c r="B115" s="1" t="s">
        <v>692</v>
      </c>
      <c r="C115" s="1" t="s">
        <v>702</v>
      </c>
      <c r="D115" s="1" t="s">
        <v>12370</v>
      </c>
      <c r="E115" s="1" t="str">
        <f>"8405"</f>
        <v>8405</v>
      </c>
      <c r="F115" s="1" t="str">
        <f>"015472555"</f>
        <v>015472555</v>
      </c>
      <c r="G115" s="1" t="s">
        <v>5064</v>
      </c>
      <c r="H115" s="1" t="s">
        <v>15</v>
      </c>
      <c r="I115" s="1" t="str">
        <f>"2"</f>
        <v>2</v>
      </c>
      <c r="J115" s="3">
        <v>63.02</v>
      </c>
      <c r="K115" s="4">
        <v>46031</v>
      </c>
      <c r="L115" s="4">
        <v>46031</v>
      </c>
      <c r="M115" s="1" t="s">
        <v>12359</v>
      </c>
      <c r="N115" s="1" t="s">
        <v>12356</v>
      </c>
    </row>
    <row r="116" spans="1:14" s="1" customFormat="1" x14ac:dyDescent="0.35">
      <c r="A116" s="1" t="s">
        <v>11760</v>
      </c>
      <c r="B116" s="1" t="s">
        <v>692</v>
      </c>
      <c r="C116" s="1" t="s">
        <v>702</v>
      </c>
      <c r="D116" s="1" t="s">
        <v>12369</v>
      </c>
      <c r="E116" s="1" t="str">
        <f>"8415"</f>
        <v>8415</v>
      </c>
      <c r="F116" s="1" t="str">
        <f>"015274614"</f>
        <v>015274614</v>
      </c>
      <c r="G116" s="1" t="s">
        <v>42</v>
      </c>
      <c r="H116" s="1" t="s">
        <v>15</v>
      </c>
      <c r="I116" s="1" t="str">
        <f>"1"</f>
        <v>1</v>
      </c>
      <c r="J116" s="3" t="str">
        <f>"77"</f>
        <v>77</v>
      </c>
      <c r="K116" s="4">
        <v>46031</v>
      </c>
      <c r="L116" s="4">
        <v>46031</v>
      </c>
      <c r="M116" s="1" t="s">
        <v>12359</v>
      </c>
      <c r="N116" s="1" t="s">
        <v>12356</v>
      </c>
    </row>
    <row r="117" spans="1:14" s="1" customFormat="1" x14ac:dyDescent="0.35">
      <c r="A117" s="1" t="s">
        <v>11760</v>
      </c>
      <c r="B117" s="1" t="s">
        <v>692</v>
      </c>
      <c r="C117" s="1" t="s">
        <v>702</v>
      </c>
      <c r="D117" s="1" t="s">
        <v>12368</v>
      </c>
      <c r="E117" s="1" t="str">
        <f>"8415"</f>
        <v>8415</v>
      </c>
      <c r="F117" s="1" t="str">
        <f>"015274614"</f>
        <v>015274614</v>
      </c>
      <c r="G117" s="1" t="s">
        <v>42</v>
      </c>
      <c r="H117" s="1" t="s">
        <v>15</v>
      </c>
      <c r="I117" s="1" t="str">
        <f>"1"</f>
        <v>1</v>
      </c>
      <c r="J117" s="3" t="str">
        <f>"77"</f>
        <v>77</v>
      </c>
      <c r="K117" s="4">
        <v>46031</v>
      </c>
      <c r="L117" s="4">
        <v>46031</v>
      </c>
      <c r="M117" s="1" t="s">
        <v>12357</v>
      </c>
      <c r="N117" s="1" t="s">
        <v>12356</v>
      </c>
    </row>
    <row r="118" spans="1:14" s="1" customFormat="1" x14ac:dyDescent="0.35">
      <c r="A118" s="1" t="s">
        <v>11760</v>
      </c>
      <c r="B118" s="1" t="s">
        <v>692</v>
      </c>
      <c r="C118" s="1" t="s">
        <v>702</v>
      </c>
      <c r="D118" s="1" t="s">
        <v>12367</v>
      </c>
      <c r="E118" s="1" t="str">
        <f>"8415"</f>
        <v>8415</v>
      </c>
      <c r="F118" s="1" t="str">
        <f>"015386739"</f>
        <v>015386739</v>
      </c>
      <c r="G118" s="1" t="s">
        <v>761</v>
      </c>
      <c r="H118" s="1" t="s">
        <v>15</v>
      </c>
      <c r="I118" s="1" t="str">
        <f>"2"</f>
        <v>2</v>
      </c>
      <c r="J118" s="3">
        <v>70.05</v>
      </c>
      <c r="K118" s="4">
        <v>46031</v>
      </c>
      <c r="L118" s="4">
        <v>46031</v>
      </c>
      <c r="M118" s="1" t="s">
        <v>12357</v>
      </c>
      <c r="N118" s="1" t="s">
        <v>12356</v>
      </c>
    </row>
    <row r="119" spans="1:14" s="1" customFormat="1" x14ac:dyDescent="0.35">
      <c r="A119" s="1" t="s">
        <v>11760</v>
      </c>
      <c r="B119" s="1" t="s">
        <v>692</v>
      </c>
      <c r="C119" s="1" t="s">
        <v>702</v>
      </c>
      <c r="D119" s="1" t="s">
        <v>12366</v>
      </c>
      <c r="E119" s="1" t="str">
        <f>"8415"</f>
        <v>8415</v>
      </c>
      <c r="F119" s="1" t="str">
        <f>"015386680"</f>
        <v>015386680</v>
      </c>
      <c r="G119" s="1" t="s">
        <v>22</v>
      </c>
      <c r="H119" s="1" t="s">
        <v>15</v>
      </c>
      <c r="I119" s="1" t="str">
        <f>"2"</f>
        <v>2</v>
      </c>
      <c r="J119" s="3">
        <v>93.46</v>
      </c>
      <c r="K119" s="4">
        <v>46031</v>
      </c>
      <c r="L119" s="4">
        <v>46031</v>
      </c>
      <c r="M119" s="1" t="s">
        <v>12359</v>
      </c>
      <c r="N119" s="1" t="s">
        <v>12356</v>
      </c>
    </row>
    <row r="120" spans="1:14" s="1" customFormat="1" x14ac:dyDescent="0.35">
      <c r="A120" s="1" t="s">
        <v>11760</v>
      </c>
      <c r="B120" s="1" t="s">
        <v>692</v>
      </c>
      <c r="C120" s="1" t="s">
        <v>702</v>
      </c>
      <c r="D120" s="1" t="s">
        <v>12365</v>
      </c>
      <c r="E120" s="1" t="str">
        <f>"8415"</f>
        <v>8415</v>
      </c>
      <c r="F120" s="1" t="str">
        <f>"015386679"</f>
        <v>015386679</v>
      </c>
      <c r="G120" s="1" t="s">
        <v>22</v>
      </c>
      <c r="H120" s="1" t="s">
        <v>15</v>
      </c>
      <c r="I120" s="1" t="str">
        <f>"2"</f>
        <v>2</v>
      </c>
      <c r="J120" s="3">
        <v>93.46</v>
      </c>
      <c r="K120" s="4">
        <v>46031</v>
      </c>
      <c r="L120" s="4">
        <v>46031</v>
      </c>
      <c r="M120" s="1" t="s">
        <v>12359</v>
      </c>
      <c r="N120" s="1" t="s">
        <v>12356</v>
      </c>
    </row>
    <row r="121" spans="1:14" s="1" customFormat="1" x14ac:dyDescent="0.35">
      <c r="A121" s="1" t="s">
        <v>11760</v>
      </c>
      <c r="B121" s="1" t="s">
        <v>692</v>
      </c>
      <c r="C121" s="1" t="s">
        <v>702</v>
      </c>
      <c r="D121" s="1" t="s">
        <v>12364</v>
      </c>
      <c r="E121" s="1" t="str">
        <f>"8415"</f>
        <v>8415</v>
      </c>
      <c r="F121" s="1" t="str">
        <f>"015386680"</f>
        <v>015386680</v>
      </c>
      <c r="G121" s="1" t="s">
        <v>22</v>
      </c>
      <c r="H121" s="1" t="s">
        <v>15</v>
      </c>
      <c r="I121" s="1" t="str">
        <f>"3"</f>
        <v>3</v>
      </c>
      <c r="J121" s="3">
        <v>93.46</v>
      </c>
      <c r="K121" s="4">
        <v>46031</v>
      </c>
      <c r="L121" s="4">
        <v>46031</v>
      </c>
      <c r="M121" s="1" t="s">
        <v>12359</v>
      </c>
      <c r="N121" s="1" t="s">
        <v>12356</v>
      </c>
    </row>
    <row r="122" spans="1:14" s="1" customFormat="1" x14ac:dyDescent="0.35">
      <c r="A122" s="1" t="s">
        <v>11760</v>
      </c>
      <c r="B122" s="1" t="s">
        <v>692</v>
      </c>
      <c r="C122" s="1" t="s">
        <v>702</v>
      </c>
      <c r="D122" s="1" t="s">
        <v>12363</v>
      </c>
      <c r="E122" s="1" t="str">
        <f>"8415"</f>
        <v>8415</v>
      </c>
      <c r="F122" s="1" t="str">
        <f>"015387001"</f>
        <v>015387001</v>
      </c>
      <c r="G122" s="1" t="s">
        <v>18</v>
      </c>
      <c r="H122" s="1" t="s">
        <v>15</v>
      </c>
      <c r="I122" s="1" t="str">
        <f>"2"</f>
        <v>2</v>
      </c>
      <c r="J122" s="3">
        <v>111.26</v>
      </c>
      <c r="K122" s="4">
        <v>46031</v>
      </c>
      <c r="L122" s="4">
        <v>46031</v>
      </c>
      <c r="M122" s="1" t="s">
        <v>12357</v>
      </c>
      <c r="N122" s="1" t="s">
        <v>12356</v>
      </c>
    </row>
    <row r="123" spans="1:14" s="1" customFormat="1" x14ac:dyDescent="0.35">
      <c r="A123" s="1" t="s">
        <v>11760</v>
      </c>
      <c r="B123" s="1" t="s">
        <v>692</v>
      </c>
      <c r="C123" s="1" t="s">
        <v>702</v>
      </c>
      <c r="D123" s="1" t="s">
        <v>12362</v>
      </c>
      <c r="E123" s="1" t="str">
        <f>"8415"</f>
        <v>8415</v>
      </c>
      <c r="F123" s="1" t="str">
        <f>"015387012"</f>
        <v>015387012</v>
      </c>
      <c r="G123" s="1" t="s">
        <v>18</v>
      </c>
      <c r="H123" s="1" t="s">
        <v>15</v>
      </c>
      <c r="I123" s="1" t="str">
        <f>"2"</f>
        <v>2</v>
      </c>
      <c r="J123" s="3">
        <v>111.26</v>
      </c>
      <c r="K123" s="4">
        <v>46031</v>
      </c>
      <c r="L123" s="4">
        <v>46031</v>
      </c>
      <c r="M123" s="1" t="s">
        <v>12357</v>
      </c>
      <c r="N123" s="1" t="s">
        <v>12356</v>
      </c>
    </row>
    <row r="124" spans="1:14" s="1" customFormat="1" x14ac:dyDescent="0.35">
      <c r="A124" s="1" t="s">
        <v>11760</v>
      </c>
      <c r="B124" s="1" t="s">
        <v>692</v>
      </c>
      <c r="C124" s="1" t="s">
        <v>702</v>
      </c>
      <c r="D124" s="1" t="s">
        <v>12361</v>
      </c>
      <c r="E124" s="1" t="str">
        <f>"8415"</f>
        <v>8415</v>
      </c>
      <c r="F124" s="1" t="str">
        <f>"015387012"</f>
        <v>015387012</v>
      </c>
      <c r="G124" s="1" t="s">
        <v>18</v>
      </c>
      <c r="H124" s="1" t="s">
        <v>15</v>
      </c>
      <c r="I124" s="1" t="str">
        <f>"2"</f>
        <v>2</v>
      </c>
      <c r="J124" s="3">
        <v>111.26</v>
      </c>
      <c r="K124" s="4">
        <v>46031</v>
      </c>
      <c r="L124" s="4">
        <v>46031</v>
      </c>
      <c r="M124" s="1" t="s">
        <v>12359</v>
      </c>
      <c r="N124" s="1" t="s">
        <v>12356</v>
      </c>
    </row>
    <row r="125" spans="1:14" s="1" customFormat="1" x14ac:dyDescent="0.35">
      <c r="A125" s="1" t="s">
        <v>11760</v>
      </c>
      <c r="B125" s="1" t="s">
        <v>692</v>
      </c>
      <c r="C125" s="1" t="s">
        <v>702</v>
      </c>
      <c r="D125" s="1" t="s">
        <v>12360</v>
      </c>
      <c r="E125" s="1" t="str">
        <f>"8415"</f>
        <v>8415</v>
      </c>
      <c r="F125" s="1" t="str">
        <f>"015387012"</f>
        <v>015387012</v>
      </c>
      <c r="G125" s="1" t="s">
        <v>18</v>
      </c>
      <c r="H125" s="1" t="s">
        <v>15</v>
      </c>
      <c r="I125" s="1" t="str">
        <f>"1"</f>
        <v>1</v>
      </c>
      <c r="J125" s="3">
        <v>111.26</v>
      </c>
      <c r="K125" s="4">
        <v>46031</v>
      </c>
      <c r="L125" s="4">
        <v>46031</v>
      </c>
      <c r="M125" s="1" t="s">
        <v>12359</v>
      </c>
      <c r="N125" s="1" t="s">
        <v>12356</v>
      </c>
    </row>
    <row r="126" spans="1:14" s="1" customFormat="1" x14ac:dyDescent="0.35">
      <c r="A126" s="1" t="s">
        <v>11760</v>
      </c>
      <c r="B126" s="1" t="s">
        <v>692</v>
      </c>
      <c r="C126" s="1" t="s">
        <v>702</v>
      </c>
      <c r="D126" s="1" t="s">
        <v>12358</v>
      </c>
      <c r="E126" s="1" t="str">
        <f>"8415"</f>
        <v>8415</v>
      </c>
      <c r="F126" s="1" t="str">
        <f>"015387767"</f>
        <v>015387767</v>
      </c>
      <c r="G126" s="1" t="s">
        <v>18</v>
      </c>
      <c r="H126" s="1" t="s">
        <v>15</v>
      </c>
      <c r="I126" s="1" t="str">
        <f>"1"</f>
        <v>1</v>
      </c>
      <c r="J126" s="3">
        <v>111.26</v>
      </c>
      <c r="K126" s="4">
        <v>46031</v>
      </c>
      <c r="L126" s="4">
        <v>46031</v>
      </c>
      <c r="M126" s="1" t="s">
        <v>12357</v>
      </c>
      <c r="N126" s="1" t="s">
        <v>12356</v>
      </c>
    </row>
    <row r="127" spans="1:14" s="1" customFormat="1" x14ac:dyDescent="0.35">
      <c r="A127" s="1" t="s">
        <v>11760</v>
      </c>
      <c r="B127" s="1" t="s">
        <v>692</v>
      </c>
      <c r="C127" s="1" t="s">
        <v>702</v>
      </c>
      <c r="D127" s="1" t="s">
        <v>12355</v>
      </c>
      <c r="E127" s="1" t="str">
        <f>"4910"</f>
        <v>4910</v>
      </c>
      <c r="F127" s="1" t="s">
        <v>145</v>
      </c>
      <c r="G127" s="1" t="s">
        <v>146</v>
      </c>
      <c r="H127" s="1" t="s">
        <v>15</v>
      </c>
      <c r="I127" s="1" t="str">
        <f>"1"</f>
        <v>1</v>
      </c>
      <c r="J127" s="3" t="str">
        <f>"4400"</f>
        <v>4400</v>
      </c>
      <c r="K127" s="4">
        <v>46035</v>
      </c>
      <c r="L127" s="4">
        <v>46044</v>
      </c>
      <c r="M127" s="1" t="s">
        <v>12351</v>
      </c>
      <c r="N127" s="1" t="s">
        <v>10156</v>
      </c>
    </row>
    <row r="128" spans="1:14" s="1" customFormat="1" x14ac:dyDescent="0.35">
      <c r="A128" s="1" t="s">
        <v>11760</v>
      </c>
      <c r="B128" s="1" t="s">
        <v>692</v>
      </c>
      <c r="C128" s="1" t="s">
        <v>702</v>
      </c>
      <c r="D128" s="1" t="s">
        <v>12354</v>
      </c>
      <c r="E128" s="1" t="str">
        <f>"3825"</f>
        <v>3825</v>
      </c>
      <c r="F128" s="1" t="s">
        <v>12353</v>
      </c>
      <c r="G128" s="1" t="s">
        <v>12352</v>
      </c>
      <c r="H128" s="1" t="s">
        <v>15</v>
      </c>
      <c r="I128" s="1" t="str">
        <f>"1"</f>
        <v>1</v>
      </c>
      <c r="J128" s="3" t="str">
        <f>"1200"</f>
        <v>1200</v>
      </c>
      <c r="K128" s="4">
        <v>46035</v>
      </c>
      <c r="L128" s="4">
        <v>46044</v>
      </c>
      <c r="M128" s="1" t="s">
        <v>12351</v>
      </c>
      <c r="N128" s="1" t="s">
        <v>12350</v>
      </c>
    </row>
    <row r="129" spans="1:14" s="1" customFormat="1" x14ac:dyDescent="0.35">
      <c r="A129" s="1" t="s">
        <v>11760</v>
      </c>
      <c r="B129" s="1" t="s">
        <v>692</v>
      </c>
      <c r="C129" s="1" t="s">
        <v>702</v>
      </c>
      <c r="D129" s="1" t="s">
        <v>12349</v>
      </c>
      <c r="E129" s="1" t="str">
        <f>"2310"</f>
        <v>2310</v>
      </c>
      <c r="F129" s="1" t="str">
        <f>"010907741"</f>
        <v>010907741</v>
      </c>
      <c r="G129" s="1" t="s">
        <v>710</v>
      </c>
      <c r="H129" s="1" t="s">
        <v>15</v>
      </c>
      <c r="I129" s="1" t="str">
        <f>"1"</f>
        <v>1</v>
      </c>
      <c r="J129" s="3" t="str">
        <f>"30027"</f>
        <v>30027</v>
      </c>
      <c r="K129" s="4">
        <v>46071</v>
      </c>
      <c r="L129" s="4">
        <v>46072</v>
      </c>
      <c r="M129" s="1" t="s">
        <v>11789</v>
      </c>
      <c r="N129" s="1" t="s">
        <v>10122</v>
      </c>
    </row>
    <row r="130" spans="1:14" s="1" customFormat="1" x14ac:dyDescent="0.35">
      <c r="A130" s="1" t="s">
        <v>11760</v>
      </c>
      <c r="B130" s="1" t="s">
        <v>692</v>
      </c>
      <c r="C130" s="1" t="s">
        <v>702</v>
      </c>
      <c r="D130" s="1" t="s">
        <v>12348</v>
      </c>
      <c r="E130" s="1" t="str">
        <f>"4020"</f>
        <v>4020</v>
      </c>
      <c r="F130" s="1" t="str">
        <f>"001417152"</f>
        <v>001417152</v>
      </c>
      <c r="G130" s="1" t="s">
        <v>962</v>
      </c>
      <c r="H130" s="1" t="s">
        <v>12347</v>
      </c>
      <c r="I130" s="1" t="str">
        <f>"2"</f>
        <v>2</v>
      </c>
      <c r="J130" s="3">
        <v>733.7</v>
      </c>
      <c r="K130" s="4">
        <v>46065</v>
      </c>
      <c r="L130" s="4">
        <v>46072</v>
      </c>
      <c r="M130" s="1" t="s">
        <v>11789</v>
      </c>
      <c r="N130" s="1" t="s">
        <v>12346</v>
      </c>
    </row>
    <row r="131" spans="1:14" s="1" customFormat="1" x14ac:dyDescent="0.35">
      <c r="A131" s="1" t="s">
        <v>11760</v>
      </c>
      <c r="B131" s="1" t="s">
        <v>692</v>
      </c>
      <c r="C131" s="1" t="s">
        <v>702</v>
      </c>
      <c r="D131" s="1" t="s">
        <v>12345</v>
      </c>
      <c r="E131" s="1" t="str">
        <f>"5855"</f>
        <v>5855</v>
      </c>
      <c r="F131" s="1" t="str">
        <f>"013980007"</f>
        <v>013980007</v>
      </c>
      <c r="G131" s="1" t="s">
        <v>614</v>
      </c>
      <c r="H131" s="1" t="s">
        <v>15</v>
      </c>
      <c r="I131" s="1" t="str">
        <f>"8"</f>
        <v>8</v>
      </c>
      <c r="J131" s="3" t="str">
        <f>"4899"</f>
        <v>4899</v>
      </c>
      <c r="K131" s="4">
        <v>46063</v>
      </c>
      <c r="L131" s="4">
        <v>46072</v>
      </c>
      <c r="M131" s="1" t="s">
        <v>11825</v>
      </c>
      <c r="N131" s="1" t="s">
        <v>12344</v>
      </c>
    </row>
    <row r="132" spans="1:14" s="1" customFormat="1" x14ac:dyDescent="0.35">
      <c r="A132" s="1" t="s">
        <v>11760</v>
      </c>
      <c r="B132" s="1" t="s">
        <v>692</v>
      </c>
      <c r="C132" s="1" t="s">
        <v>702</v>
      </c>
      <c r="D132" s="1" t="s">
        <v>12343</v>
      </c>
      <c r="E132" s="1" t="str">
        <f>"5855"</f>
        <v>5855</v>
      </c>
      <c r="F132" s="1" t="str">
        <f>"013980007"</f>
        <v>013980007</v>
      </c>
      <c r="G132" s="1" t="s">
        <v>614</v>
      </c>
      <c r="H132" s="1" t="s">
        <v>15</v>
      </c>
      <c r="I132" s="1" t="str">
        <f>"8"</f>
        <v>8</v>
      </c>
      <c r="J132" s="3" t="str">
        <f>"4899"</f>
        <v>4899</v>
      </c>
      <c r="K132" s="4">
        <v>46065</v>
      </c>
      <c r="L132" s="4">
        <v>46072</v>
      </c>
      <c r="M132" s="1" t="s">
        <v>11825</v>
      </c>
      <c r="N132" s="1" t="s">
        <v>12342</v>
      </c>
    </row>
    <row r="133" spans="1:14" s="1" customFormat="1" x14ac:dyDescent="0.35">
      <c r="A133" s="1" t="s">
        <v>11760</v>
      </c>
      <c r="B133" s="1" t="s">
        <v>692</v>
      </c>
      <c r="C133" s="1" t="s">
        <v>702</v>
      </c>
      <c r="D133" s="1" t="s">
        <v>12341</v>
      </c>
      <c r="E133" s="1" t="str">
        <f>"4110"</f>
        <v>4110</v>
      </c>
      <c r="F133" s="1" t="str">
        <f>"014527317"</f>
        <v>014527317</v>
      </c>
      <c r="G133" s="1" t="s">
        <v>12340</v>
      </c>
      <c r="H133" s="1" t="s">
        <v>15</v>
      </c>
      <c r="I133" s="1" t="str">
        <f>"2"</f>
        <v>2</v>
      </c>
      <c r="J133" s="3">
        <v>604.66999999999996</v>
      </c>
      <c r="K133" s="4">
        <v>46087</v>
      </c>
      <c r="L133" s="4">
        <v>46092</v>
      </c>
      <c r="M133" s="1" t="s">
        <v>11789</v>
      </c>
      <c r="N133" s="1" t="s">
        <v>12339</v>
      </c>
    </row>
    <row r="134" spans="1:14" s="1" customFormat="1" x14ac:dyDescent="0.35">
      <c r="A134" s="1" t="s">
        <v>11760</v>
      </c>
      <c r="B134" s="1" t="s">
        <v>1989</v>
      </c>
      <c r="C134" s="1" t="s">
        <v>1990</v>
      </c>
      <c r="D134" s="1" t="s">
        <v>12338</v>
      </c>
      <c r="E134" s="1" t="str">
        <f>"7830"</f>
        <v>7830</v>
      </c>
      <c r="F134" s="1" t="s">
        <v>6319</v>
      </c>
      <c r="G134" s="1" t="s">
        <v>6318</v>
      </c>
      <c r="H134" s="1" t="s">
        <v>15</v>
      </c>
      <c r="I134" s="1" t="str">
        <f>"1"</f>
        <v>1</v>
      </c>
      <c r="J134" s="3" t="str">
        <f>"1000"</f>
        <v>1000</v>
      </c>
      <c r="K134" s="4">
        <v>46054</v>
      </c>
      <c r="L134" s="4">
        <v>46057</v>
      </c>
      <c r="M134" s="1" t="s">
        <v>11789</v>
      </c>
      <c r="N134" s="1" t="s">
        <v>2006</v>
      </c>
    </row>
    <row r="135" spans="1:14" s="1" customFormat="1" x14ac:dyDescent="0.35">
      <c r="A135" s="1" t="s">
        <v>11760</v>
      </c>
      <c r="B135" s="1" t="s">
        <v>1989</v>
      </c>
      <c r="C135" s="1" t="s">
        <v>1990</v>
      </c>
      <c r="D135" s="1" t="s">
        <v>12337</v>
      </c>
      <c r="E135" s="1" t="str">
        <f>"7110"</f>
        <v>7110</v>
      </c>
      <c r="F135" s="1" t="s">
        <v>1066</v>
      </c>
      <c r="G135" s="1" t="s">
        <v>1067</v>
      </c>
      <c r="H135" s="1" t="s">
        <v>15</v>
      </c>
      <c r="I135" s="1" t="str">
        <f>"2"</f>
        <v>2</v>
      </c>
      <c r="J135" s="3" t="str">
        <f>"436"</f>
        <v>436</v>
      </c>
      <c r="K135" s="4">
        <v>46054</v>
      </c>
      <c r="L135" s="4">
        <v>46057</v>
      </c>
      <c r="M135" s="1" t="s">
        <v>11789</v>
      </c>
      <c r="N135" s="1" t="s">
        <v>12336</v>
      </c>
    </row>
    <row r="136" spans="1:14" s="1" customFormat="1" x14ac:dyDescent="0.35">
      <c r="A136" s="1" t="s">
        <v>11760</v>
      </c>
      <c r="B136" s="1" t="s">
        <v>1176</v>
      </c>
      <c r="C136" s="1" t="s">
        <v>1190</v>
      </c>
      <c r="D136" s="1" t="s">
        <v>12335</v>
      </c>
      <c r="E136" s="1" t="str">
        <f>"5855"</f>
        <v>5855</v>
      </c>
      <c r="F136" s="1" t="str">
        <f>"015485687"</f>
        <v>015485687</v>
      </c>
      <c r="G136" s="1" t="s">
        <v>798</v>
      </c>
      <c r="H136" s="1" t="s">
        <v>15</v>
      </c>
      <c r="I136" s="1" t="str">
        <f>"12"</f>
        <v>12</v>
      </c>
      <c r="J136" s="3" t="str">
        <f>"10402"</f>
        <v>10402</v>
      </c>
      <c r="K136" s="4">
        <v>46075</v>
      </c>
      <c r="L136" s="4">
        <v>46076</v>
      </c>
      <c r="M136" s="1" t="s">
        <v>11800</v>
      </c>
      <c r="N136" s="1" t="s">
        <v>12331</v>
      </c>
    </row>
    <row r="137" spans="1:14" s="1" customFormat="1" x14ac:dyDescent="0.35">
      <c r="A137" s="1" t="s">
        <v>11760</v>
      </c>
      <c r="B137" s="1" t="s">
        <v>1176</v>
      </c>
      <c r="C137" s="1" t="s">
        <v>1190</v>
      </c>
      <c r="D137" s="1" t="s">
        <v>12334</v>
      </c>
      <c r="E137" s="1" t="str">
        <f>"5855"</f>
        <v>5855</v>
      </c>
      <c r="F137" s="1" t="str">
        <f>"015137561"</f>
        <v>015137561</v>
      </c>
      <c r="G137" s="1" t="s">
        <v>4264</v>
      </c>
      <c r="H137" s="1" t="s">
        <v>15</v>
      </c>
      <c r="I137" s="1" t="str">
        <f>"1"</f>
        <v>1</v>
      </c>
      <c r="J137" s="3">
        <v>3309.75</v>
      </c>
      <c r="K137" s="4">
        <v>46075</v>
      </c>
      <c r="L137" s="4">
        <v>46076</v>
      </c>
      <c r="M137" s="1" t="s">
        <v>11800</v>
      </c>
      <c r="N137" s="1" t="s">
        <v>12331</v>
      </c>
    </row>
    <row r="138" spans="1:14" s="1" customFormat="1" x14ac:dyDescent="0.35">
      <c r="A138" s="1" t="s">
        <v>11760</v>
      </c>
      <c r="B138" s="1" t="s">
        <v>1176</v>
      </c>
      <c r="C138" s="1" t="s">
        <v>1190</v>
      </c>
      <c r="D138" s="1" t="s">
        <v>12333</v>
      </c>
      <c r="E138" s="1" t="str">
        <f>"5855"</f>
        <v>5855</v>
      </c>
      <c r="F138" s="1" t="str">
        <f>"015137561"</f>
        <v>015137561</v>
      </c>
      <c r="G138" s="1" t="s">
        <v>4264</v>
      </c>
      <c r="H138" s="1" t="s">
        <v>15</v>
      </c>
      <c r="I138" s="1" t="str">
        <f>"1"</f>
        <v>1</v>
      </c>
      <c r="J138" s="3">
        <v>3309.75</v>
      </c>
      <c r="K138" s="4">
        <v>46075</v>
      </c>
      <c r="L138" s="4">
        <v>46076</v>
      </c>
      <c r="M138" s="1" t="s">
        <v>11800</v>
      </c>
      <c r="N138" s="1" t="s">
        <v>12331</v>
      </c>
    </row>
    <row r="139" spans="1:14" s="1" customFormat="1" x14ac:dyDescent="0.35">
      <c r="A139" s="1" t="s">
        <v>11760</v>
      </c>
      <c r="B139" s="1" t="s">
        <v>1176</v>
      </c>
      <c r="C139" s="1" t="s">
        <v>1190</v>
      </c>
      <c r="D139" s="1" t="s">
        <v>12332</v>
      </c>
      <c r="E139" s="1" t="str">
        <f>"5855"</f>
        <v>5855</v>
      </c>
      <c r="F139" s="1" t="str">
        <f>"015137561"</f>
        <v>015137561</v>
      </c>
      <c r="G139" s="1" t="s">
        <v>4264</v>
      </c>
      <c r="H139" s="1" t="s">
        <v>15</v>
      </c>
      <c r="I139" s="1" t="str">
        <f>"1"</f>
        <v>1</v>
      </c>
      <c r="J139" s="3">
        <v>3309.75</v>
      </c>
      <c r="K139" s="4">
        <v>46075</v>
      </c>
      <c r="L139" s="4">
        <v>46076</v>
      </c>
      <c r="M139" s="1" t="s">
        <v>11800</v>
      </c>
      <c r="N139" s="1" t="s">
        <v>12331</v>
      </c>
    </row>
    <row r="140" spans="1:14" s="1" customFormat="1" x14ac:dyDescent="0.35">
      <c r="A140" s="1" t="s">
        <v>11760</v>
      </c>
      <c r="B140" s="1" t="s">
        <v>861</v>
      </c>
      <c r="C140" s="1" t="s">
        <v>873</v>
      </c>
      <c r="D140" s="1" t="s">
        <v>12330</v>
      </c>
      <c r="E140" s="1" t="str">
        <f>"8465"</f>
        <v>8465</v>
      </c>
      <c r="F140" s="1" t="str">
        <f>"016334305"</f>
        <v>016334305</v>
      </c>
      <c r="G140" s="1" t="s">
        <v>12329</v>
      </c>
      <c r="H140" s="1" t="s">
        <v>15</v>
      </c>
      <c r="I140" s="1" t="str">
        <f>"1"</f>
        <v>1</v>
      </c>
      <c r="J140" s="3">
        <v>19.739999999999998</v>
      </c>
      <c r="K140" s="4">
        <v>46044</v>
      </c>
      <c r="L140" s="4">
        <v>46045</v>
      </c>
      <c r="M140" s="1" t="s">
        <v>11789</v>
      </c>
      <c r="N140" s="1" t="s">
        <v>876</v>
      </c>
    </row>
    <row r="141" spans="1:14" s="1" customFormat="1" x14ac:dyDescent="0.35">
      <c r="A141" s="1" t="s">
        <v>11760</v>
      </c>
      <c r="B141" s="1" t="s">
        <v>861</v>
      </c>
      <c r="C141" s="1" t="s">
        <v>873</v>
      </c>
      <c r="D141" s="1" t="s">
        <v>12328</v>
      </c>
      <c r="E141" s="1" t="str">
        <f>"4730"</f>
        <v>4730</v>
      </c>
      <c r="F141" s="1" t="str">
        <f>"015197432"</f>
        <v>015197432</v>
      </c>
      <c r="G141" s="1" t="s">
        <v>12327</v>
      </c>
      <c r="H141" s="1" t="s">
        <v>15</v>
      </c>
      <c r="I141" s="1" t="str">
        <f>"1"</f>
        <v>1</v>
      </c>
      <c r="J141" s="3">
        <v>180.69</v>
      </c>
      <c r="K141" s="4">
        <v>46044</v>
      </c>
      <c r="L141" s="4">
        <v>46045</v>
      </c>
      <c r="M141" s="1" t="s">
        <v>11789</v>
      </c>
      <c r="N141" s="1" t="s">
        <v>876</v>
      </c>
    </row>
    <row r="142" spans="1:14" s="1" customFormat="1" x14ac:dyDescent="0.35">
      <c r="A142" s="1" t="s">
        <v>11760</v>
      </c>
      <c r="B142" s="1" t="s">
        <v>861</v>
      </c>
      <c r="C142" s="1" t="s">
        <v>873</v>
      </c>
      <c r="D142" s="1" t="s">
        <v>12326</v>
      </c>
      <c r="E142" s="1" t="str">
        <f>"7025"</f>
        <v>7025</v>
      </c>
      <c r="F142" s="1" t="s">
        <v>3461</v>
      </c>
      <c r="G142" s="1" t="s">
        <v>3462</v>
      </c>
      <c r="H142" s="1" t="s">
        <v>15</v>
      </c>
      <c r="I142" s="1" t="str">
        <f>"25"</f>
        <v>25</v>
      </c>
      <c r="J142" s="3" t="str">
        <f>"25"</f>
        <v>25</v>
      </c>
      <c r="K142" s="4">
        <v>46050</v>
      </c>
      <c r="L142" s="4">
        <v>46057</v>
      </c>
      <c r="M142" s="1" t="s">
        <v>11789</v>
      </c>
      <c r="N142" s="1" t="s">
        <v>885</v>
      </c>
    </row>
    <row r="143" spans="1:14" s="1" customFormat="1" x14ac:dyDescent="0.35">
      <c r="A143" s="1" t="s">
        <v>11760</v>
      </c>
      <c r="B143" s="1" t="s">
        <v>861</v>
      </c>
      <c r="C143" s="1" t="s">
        <v>873</v>
      </c>
      <c r="D143" s="1" t="s">
        <v>12325</v>
      </c>
      <c r="E143" s="1" t="str">
        <f>"7025"</f>
        <v>7025</v>
      </c>
      <c r="F143" s="1" t="s">
        <v>3461</v>
      </c>
      <c r="G143" s="1" t="s">
        <v>3462</v>
      </c>
      <c r="H143" s="1" t="s">
        <v>15</v>
      </c>
      <c r="I143" s="1" t="str">
        <f>"11"</f>
        <v>11</v>
      </c>
      <c r="J143" s="3" t="str">
        <f>"25"</f>
        <v>25</v>
      </c>
      <c r="K143" s="4">
        <v>46050</v>
      </c>
      <c r="L143" s="4">
        <v>46057</v>
      </c>
      <c r="M143" s="1" t="s">
        <v>11789</v>
      </c>
      <c r="N143" s="1" t="s">
        <v>885</v>
      </c>
    </row>
    <row r="144" spans="1:14" s="1" customFormat="1" x14ac:dyDescent="0.35">
      <c r="A144" s="1" t="s">
        <v>11760</v>
      </c>
      <c r="B144" s="1" t="s">
        <v>861</v>
      </c>
      <c r="C144" s="1" t="s">
        <v>873</v>
      </c>
      <c r="D144" s="1" t="s">
        <v>12324</v>
      </c>
      <c r="E144" s="1" t="str">
        <f>"5855"</f>
        <v>5855</v>
      </c>
      <c r="F144" s="1" t="str">
        <f>"015137561"</f>
        <v>015137561</v>
      </c>
      <c r="G144" s="1" t="s">
        <v>4264</v>
      </c>
      <c r="H144" s="1" t="s">
        <v>15</v>
      </c>
      <c r="I144" s="1" t="str">
        <f>"1"</f>
        <v>1</v>
      </c>
      <c r="J144" s="3">
        <v>3309.75</v>
      </c>
      <c r="K144" s="4">
        <v>46057</v>
      </c>
      <c r="L144" s="4">
        <v>46058</v>
      </c>
      <c r="M144" s="1" t="s">
        <v>11800</v>
      </c>
      <c r="N144" s="1" t="s">
        <v>12322</v>
      </c>
    </row>
    <row r="145" spans="1:14" s="1" customFormat="1" x14ac:dyDescent="0.35">
      <c r="A145" s="1" t="s">
        <v>11760</v>
      </c>
      <c r="B145" s="1" t="s">
        <v>861</v>
      </c>
      <c r="C145" s="1" t="s">
        <v>873</v>
      </c>
      <c r="D145" s="1" t="s">
        <v>12323</v>
      </c>
      <c r="E145" s="1" t="str">
        <f>"5855"</f>
        <v>5855</v>
      </c>
      <c r="F145" s="1" t="str">
        <f>"015137561"</f>
        <v>015137561</v>
      </c>
      <c r="G145" s="1" t="s">
        <v>4264</v>
      </c>
      <c r="H145" s="1" t="s">
        <v>15</v>
      </c>
      <c r="I145" s="1" t="str">
        <f>"1"</f>
        <v>1</v>
      </c>
      <c r="J145" s="3">
        <v>3309.75</v>
      </c>
      <c r="K145" s="4">
        <v>46057</v>
      </c>
      <c r="L145" s="4">
        <v>46058</v>
      </c>
      <c r="M145" s="1" t="s">
        <v>11800</v>
      </c>
      <c r="N145" s="1" t="s">
        <v>12322</v>
      </c>
    </row>
    <row r="146" spans="1:14" s="1" customFormat="1" x14ac:dyDescent="0.35">
      <c r="A146" s="1" t="s">
        <v>11760</v>
      </c>
      <c r="B146" s="1" t="s">
        <v>4456</v>
      </c>
      <c r="C146" s="1" t="s">
        <v>4474</v>
      </c>
      <c r="D146" s="1" t="s">
        <v>12321</v>
      </c>
      <c r="E146" s="1" t="str">
        <f>"5855"</f>
        <v>5855</v>
      </c>
      <c r="F146" s="1" t="str">
        <f>"015777174"</f>
        <v>015777174</v>
      </c>
      <c r="G146" s="1" t="s">
        <v>952</v>
      </c>
      <c r="H146" s="1" t="s">
        <v>15</v>
      </c>
      <c r="I146" s="1" t="str">
        <f>"15"</f>
        <v>15</v>
      </c>
      <c r="J146" s="3" t="str">
        <f>"1791"</f>
        <v>1791</v>
      </c>
      <c r="K146" s="4">
        <v>46028</v>
      </c>
      <c r="L146" s="4">
        <v>46031</v>
      </c>
      <c r="M146" s="1" t="s">
        <v>11825</v>
      </c>
      <c r="N146" s="1" t="s">
        <v>12320</v>
      </c>
    </row>
    <row r="147" spans="1:14" s="1" customFormat="1" x14ac:dyDescent="0.35">
      <c r="A147" s="1" t="s">
        <v>11760</v>
      </c>
      <c r="B147" s="1" t="s">
        <v>2368</v>
      </c>
      <c r="C147" s="1" t="s">
        <v>2420</v>
      </c>
      <c r="D147" s="1" t="s">
        <v>12319</v>
      </c>
      <c r="E147" s="1" t="str">
        <f>"8465"</f>
        <v>8465</v>
      </c>
      <c r="F147" s="1" t="str">
        <f>"016416353"</f>
        <v>016416353</v>
      </c>
      <c r="G147" s="1" t="s">
        <v>2518</v>
      </c>
      <c r="H147" s="1" t="s">
        <v>257</v>
      </c>
      <c r="I147" s="1" t="str">
        <f>"1"</f>
        <v>1</v>
      </c>
      <c r="J147" s="3">
        <v>236.32</v>
      </c>
      <c r="K147" s="4">
        <v>46027</v>
      </c>
      <c r="L147" s="4">
        <v>46048</v>
      </c>
      <c r="M147" s="1" t="s">
        <v>11789</v>
      </c>
      <c r="N147" s="1" t="s">
        <v>12318</v>
      </c>
    </row>
    <row r="148" spans="1:14" s="1" customFormat="1" x14ac:dyDescent="0.35">
      <c r="A148" s="1" t="s">
        <v>11760</v>
      </c>
      <c r="B148" s="1" t="s">
        <v>2368</v>
      </c>
      <c r="C148" s="1" t="s">
        <v>2420</v>
      </c>
      <c r="D148" s="1" t="s">
        <v>12317</v>
      </c>
      <c r="E148" s="1" t="str">
        <f>"8415"</f>
        <v>8415</v>
      </c>
      <c r="F148" s="1" t="str">
        <f>"015272767"</f>
        <v>015272767</v>
      </c>
      <c r="G148" s="1" t="s">
        <v>1983</v>
      </c>
      <c r="H148" s="1" t="s">
        <v>47</v>
      </c>
      <c r="I148" s="1" t="str">
        <f>"2"</f>
        <v>2</v>
      </c>
      <c r="J148" s="3">
        <v>41.07</v>
      </c>
      <c r="K148" s="4">
        <v>46027</v>
      </c>
      <c r="L148" s="4">
        <v>46048</v>
      </c>
      <c r="M148" s="1" t="s">
        <v>11789</v>
      </c>
      <c r="N148" s="1" t="s">
        <v>12316</v>
      </c>
    </row>
    <row r="149" spans="1:14" s="1" customFormat="1" x14ac:dyDescent="0.35">
      <c r="A149" s="1" t="s">
        <v>11760</v>
      </c>
      <c r="B149" s="1" t="s">
        <v>2368</v>
      </c>
      <c r="C149" s="1" t="s">
        <v>2420</v>
      </c>
      <c r="D149" s="1" t="s">
        <v>12315</v>
      </c>
      <c r="E149" s="1" t="str">
        <f>"8415"</f>
        <v>8415</v>
      </c>
      <c r="F149" s="1" t="str">
        <f>"015272767"</f>
        <v>015272767</v>
      </c>
      <c r="G149" s="1" t="s">
        <v>1983</v>
      </c>
      <c r="H149" s="1" t="s">
        <v>47</v>
      </c>
      <c r="I149" s="1" t="str">
        <f>"1"</f>
        <v>1</v>
      </c>
      <c r="J149" s="3">
        <v>41.07</v>
      </c>
      <c r="K149" s="4">
        <v>46027</v>
      </c>
      <c r="L149" s="4">
        <v>46048</v>
      </c>
      <c r="M149" s="1" t="s">
        <v>11789</v>
      </c>
      <c r="N149" s="1" t="s">
        <v>12314</v>
      </c>
    </row>
    <row r="150" spans="1:14" s="1" customFormat="1" x14ac:dyDescent="0.35">
      <c r="A150" s="1" t="s">
        <v>11760</v>
      </c>
      <c r="B150" s="1" t="s">
        <v>2368</v>
      </c>
      <c r="C150" s="1" t="s">
        <v>2420</v>
      </c>
      <c r="D150" s="1" t="s">
        <v>12313</v>
      </c>
      <c r="E150" s="1" t="str">
        <f>"8465"</f>
        <v>8465</v>
      </c>
      <c r="F150" s="1" t="str">
        <f>"016046541"</f>
        <v>016046541</v>
      </c>
      <c r="G150" s="1" t="s">
        <v>52</v>
      </c>
      <c r="H150" s="1" t="s">
        <v>15</v>
      </c>
      <c r="I150" s="1" t="str">
        <f>"3"</f>
        <v>3</v>
      </c>
      <c r="J150" s="3">
        <v>40.270000000000003</v>
      </c>
      <c r="K150" s="4">
        <v>46027</v>
      </c>
      <c r="L150" s="4">
        <v>46048</v>
      </c>
      <c r="M150" s="1" t="s">
        <v>11789</v>
      </c>
      <c r="N150" s="1" t="s">
        <v>12312</v>
      </c>
    </row>
    <row r="151" spans="1:14" s="1" customFormat="1" x14ac:dyDescent="0.35">
      <c r="A151" s="1" t="s">
        <v>11760</v>
      </c>
      <c r="B151" s="1" t="s">
        <v>2368</v>
      </c>
      <c r="C151" s="1" t="s">
        <v>2420</v>
      </c>
      <c r="D151" s="1" t="s">
        <v>12311</v>
      </c>
      <c r="E151" s="1" t="str">
        <f>"6230"</f>
        <v>6230</v>
      </c>
      <c r="F151" s="1" t="str">
        <f>"002648261"</f>
        <v>002648261</v>
      </c>
      <c r="G151" s="1" t="s">
        <v>4051</v>
      </c>
      <c r="H151" s="1" t="s">
        <v>15</v>
      </c>
      <c r="I151" s="1" t="str">
        <f>"20"</f>
        <v>20</v>
      </c>
      <c r="J151" s="3">
        <v>15.78</v>
      </c>
      <c r="K151" s="4">
        <v>46027</v>
      </c>
      <c r="L151" s="4">
        <v>46048</v>
      </c>
      <c r="M151" s="1" t="s">
        <v>11789</v>
      </c>
      <c r="N151" s="1" t="s">
        <v>12310</v>
      </c>
    </row>
    <row r="152" spans="1:14" s="1" customFormat="1" x14ac:dyDescent="0.35">
      <c r="A152" s="1" t="s">
        <v>11760</v>
      </c>
      <c r="B152" s="1" t="s">
        <v>2368</v>
      </c>
      <c r="C152" s="1" t="s">
        <v>2420</v>
      </c>
      <c r="D152" s="1" t="s">
        <v>12309</v>
      </c>
      <c r="E152" s="1" t="str">
        <f>"8415"</f>
        <v>8415</v>
      </c>
      <c r="F152" s="1" t="str">
        <f>"015272767"</f>
        <v>015272767</v>
      </c>
      <c r="G152" s="1" t="s">
        <v>1983</v>
      </c>
      <c r="H152" s="1" t="s">
        <v>47</v>
      </c>
      <c r="I152" s="1" t="str">
        <f>"1"</f>
        <v>1</v>
      </c>
      <c r="J152" s="3">
        <v>41.07</v>
      </c>
      <c r="K152" s="4">
        <v>46027</v>
      </c>
      <c r="L152" s="4">
        <v>46048</v>
      </c>
      <c r="M152" s="1" t="s">
        <v>11789</v>
      </c>
      <c r="N152" s="1" t="s">
        <v>12308</v>
      </c>
    </row>
    <row r="153" spans="1:14" s="1" customFormat="1" x14ac:dyDescent="0.35">
      <c r="A153" s="1" t="s">
        <v>11760</v>
      </c>
      <c r="B153" s="1" t="s">
        <v>2368</v>
      </c>
      <c r="C153" s="1" t="s">
        <v>2420</v>
      </c>
      <c r="D153" s="1" t="s">
        <v>12307</v>
      </c>
      <c r="E153" s="1" t="str">
        <f>"8415"</f>
        <v>8415</v>
      </c>
      <c r="F153" s="1" t="str">
        <f>"015272721"</f>
        <v>015272721</v>
      </c>
      <c r="G153" s="1" t="s">
        <v>1983</v>
      </c>
      <c r="H153" s="1" t="s">
        <v>47</v>
      </c>
      <c r="I153" s="1" t="str">
        <f>"1"</f>
        <v>1</v>
      </c>
      <c r="J153" s="3">
        <v>41.07</v>
      </c>
      <c r="K153" s="4">
        <v>46027</v>
      </c>
      <c r="L153" s="4">
        <v>46048</v>
      </c>
      <c r="M153" s="1" t="s">
        <v>11789</v>
      </c>
      <c r="N153" s="1" t="s">
        <v>12306</v>
      </c>
    </row>
    <row r="154" spans="1:14" s="1" customFormat="1" x14ac:dyDescent="0.35">
      <c r="A154" s="1" t="s">
        <v>11760</v>
      </c>
      <c r="B154" s="1" t="s">
        <v>2368</v>
      </c>
      <c r="C154" s="1" t="s">
        <v>2420</v>
      </c>
      <c r="D154" s="1" t="s">
        <v>12305</v>
      </c>
      <c r="E154" s="1" t="str">
        <f>"8415"</f>
        <v>8415</v>
      </c>
      <c r="F154" s="1" t="str">
        <f>"002237628"</f>
        <v>002237628</v>
      </c>
      <c r="G154" s="1" t="s">
        <v>12304</v>
      </c>
      <c r="H154" s="1" t="s">
        <v>15</v>
      </c>
      <c r="I154" s="1" t="str">
        <f>"1"</f>
        <v>1</v>
      </c>
      <c r="J154" s="3">
        <v>56.83</v>
      </c>
      <c r="K154" s="4">
        <v>46027</v>
      </c>
      <c r="L154" s="4">
        <v>46048</v>
      </c>
      <c r="M154" s="1" t="s">
        <v>11789</v>
      </c>
      <c r="N154" s="1" t="s">
        <v>12303</v>
      </c>
    </row>
    <row r="155" spans="1:14" s="1" customFormat="1" x14ac:dyDescent="0.35">
      <c r="A155" s="1" t="s">
        <v>11760</v>
      </c>
      <c r="B155" s="1" t="s">
        <v>2368</v>
      </c>
      <c r="C155" s="1" t="s">
        <v>2420</v>
      </c>
      <c r="D155" s="1" t="s">
        <v>12302</v>
      </c>
      <c r="E155" s="1" t="str">
        <f>"8415"</f>
        <v>8415</v>
      </c>
      <c r="F155" s="1" t="str">
        <f>"015801341"</f>
        <v>015801341</v>
      </c>
      <c r="G155" s="1" t="s">
        <v>761</v>
      </c>
      <c r="H155" s="1" t="s">
        <v>15</v>
      </c>
      <c r="I155" s="1" t="str">
        <f>"5"</f>
        <v>5</v>
      </c>
      <c r="J155" s="3">
        <v>80.94</v>
      </c>
      <c r="K155" s="4">
        <v>46049</v>
      </c>
      <c r="L155" s="4">
        <v>46070</v>
      </c>
      <c r="M155" s="1" t="s">
        <v>12280</v>
      </c>
      <c r="N155" s="1" t="s">
        <v>12301</v>
      </c>
    </row>
    <row r="156" spans="1:14" s="1" customFormat="1" x14ac:dyDescent="0.35">
      <c r="A156" s="1" t="s">
        <v>11760</v>
      </c>
      <c r="B156" s="1" t="s">
        <v>2368</v>
      </c>
      <c r="C156" s="1" t="s">
        <v>2420</v>
      </c>
      <c r="D156" s="1" t="s">
        <v>12300</v>
      </c>
      <c r="E156" s="1" t="str">
        <f>"8465"</f>
        <v>8465</v>
      </c>
      <c r="F156" s="1" t="str">
        <f>"015851512"</f>
        <v>015851512</v>
      </c>
      <c r="G156" s="1" t="s">
        <v>1645</v>
      </c>
      <c r="H156" s="1" t="s">
        <v>257</v>
      </c>
      <c r="I156" s="1" t="str">
        <f>"3"</f>
        <v>3</v>
      </c>
      <c r="J156" s="3">
        <v>115.92</v>
      </c>
      <c r="K156" s="4">
        <v>46049</v>
      </c>
      <c r="L156" s="4">
        <v>46070</v>
      </c>
      <c r="M156" s="1" t="s">
        <v>12280</v>
      </c>
      <c r="N156" s="1" t="s">
        <v>12299</v>
      </c>
    </row>
    <row r="157" spans="1:14" s="1" customFormat="1" x14ac:dyDescent="0.35">
      <c r="A157" s="1" t="s">
        <v>11760</v>
      </c>
      <c r="B157" s="1" t="s">
        <v>2368</v>
      </c>
      <c r="C157" s="1" t="s">
        <v>2420</v>
      </c>
      <c r="D157" s="1" t="s">
        <v>12298</v>
      </c>
      <c r="E157" s="1" t="str">
        <f>"8465"</f>
        <v>8465</v>
      </c>
      <c r="F157" s="1" t="str">
        <f>"011178699"</f>
        <v>011178699</v>
      </c>
      <c r="G157" s="1" t="s">
        <v>52</v>
      </c>
      <c r="H157" s="1" t="s">
        <v>15</v>
      </c>
      <c r="I157" s="1" t="str">
        <f>"10"</f>
        <v>10</v>
      </c>
      <c r="J157" s="3">
        <v>26.49</v>
      </c>
      <c r="K157" s="4">
        <v>46049</v>
      </c>
      <c r="L157" s="4">
        <v>46070</v>
      </c>
      <c r="M157" s="1" t="s">
        <v>12280</v>
      </c>
      <c r="N157" s="1" t="s">
        <v>12297</v>
      </c>
    </row>
    <row r="158" spans="1:14" s="1" customFormat="1" x14ac:dyDescent="0.35">
      <c r="A158" s="1" t="s">
        <v>11760</v>
      </c>
      <c r="B158" s="1" t="s">
        <v>2368</v>
      </c>
      <c r="C158" s="1" t="s">
        <v>2420</v>
      </c>
      <c r="D158" s="1" t="s">
        <v>12296</v>
      </c>
      <c r="E158" s="1" t="str">
        <f>"8415"</f>
        <v>8415</v>
      </c>
      <c r="F158" s="1" t="str">
        <f>"010290111"</f>
        <v>010290111</v>
      </c>
      <c r="G158" s="1" t="s">
        <v>9583</v>
      </c>
      <c r="H158" s="1" t="s">
        <v>47</v>
      </c>
      <c r="I158" s="1" t="str">
        <f>"15"</f>
        <v>15</v>
      </c>
      <c r="J158" s="3">
        <v>40.369999999999997</v>
      </c>
      <c r="K158" s="4">
        <v>46049</v>
      </c>
      <c r="L158" s="4">
        <v>46070</v>
      </c>
      <c r="M158" s="1" t="s">
        <v>12280</v>
      </c>
      <c r="N158" s="1" t="s">
        <v>12295</v>
      </c>
    </row>
    <row r="159" spans="1:14" s="1" customFormat="1" x14ac:dyDescent="0.35">
      <c r="A159" s="1" t="s">
        <v>11760</v>
      </c>
      <c r="B159" s="1" t="s">
        <v>2368</v>
      </c>
      <c r="C159" s="1" t="s">
        <v>2420</v>
      </c>
      <c r="D159" s="1" t="s">
        <v>12294</v>
      </c>
      <c r="E159" s="1" t="str">
        <f>"8465"</f>
        <v>8465</v>
      </c>
      <c r="F159" s="1" t="str">
        <f>"016416358"</f>
        <v>016416358</v>
      </c>
      <c r="G159" s="1" t="s">
        <v>856</v>
      </c>
      <c r="H159" s="1" t="s">
        <v>15</v>
      </c>
      <c r="I159" s="1" t="str">
        <f>"20"</f>
        <v>20</v>
      </c>
      <c r="J159" s="3">
        <v>116.7</v>
      </c>
      <c r="K159" s="4">
        <v>46058</v>
      </c>
      <c r="L159" s="4">
        <v>46070</v>
      </c>
      <c r="M159" s="1" t="s">
        <v>12280</v>
      </c>
      <c r="N159" s="1" t="s">
        <v>12293</v>
      </c>
    </row>
    <row r="160" spans="1:14" s="1" customFormat="1" x14ac:dyDescent="0.35">
      <c r="A160" s="1" t="s">
        <v>11760</v>
      </c>
      <c r="B160" s="1" t="s">
        <v>2368</v>
      </c>
      <c r="C160" s="1" t="s">
        <v>2420</v>
      </c>
      <c r="D160" s="1" t="s">
        <v>12292</v>
      </c>
      <c r="E160" s="1" t="str">
        <f>"5855"</f>
        <v>5855</v>
      </c>
      <c r="F160" s="1" t="str">
        <f>"015666748"</f>
        <v>015666748</v>
      </c>
      <c r="G160" s="1" t="s">
        <v>1184</v>
      </c>
      <c r="H160" s="1" t="s">
        <v>15</v>
      </c>
      <c r="I160" s="1" t="str">
        <f>"20"</f>
        <v>20</v>
      </c>
      <c r="J160" s="3">
        <v>128.41999999999999</v>
      </c>
      <c r="K160" s="4">
        <v>46058</v>
      </c>
      <c r="L160" s="4">
        <v>46070</v>
      </c>
      <c r="M160" s="1" t="s">
        <v>12280</v>
      </c>
      <c r="N160" s="1" t="s">
        <v>12291</v>
      </c>
    </row>
    <row r="161" spans="1:14" s="1" customFormat="1" x14ac:dyDescent="0.35">
      <c r="A161" s="1" t="s">
        <v>11760</v>
      </c>
      <c r="B161" s="1" t="s">
        <v>2368</v>
      </c>
      <c r="C161" s="1" t="s">
        <v>2420</v>
      </c>
      <c r="D161" s="1" t="s">
        <v>12290</v>
      </c>
      <c r="E161" s="1" t="str">
        <f>"8415"</f>
        <v>8415</v>
      </c>
      <c r="F161" s="1" t="s">
        <v>1944</v>
      </c>
      <c r="G161" s="1" t="s">
        <v>1945</v>
      </c>
      <c r="H161" s="1" t="s">
        <v>15</v>
      </c>
      <c r="I161" s="1" t="str">
        <f>"30"</f>
        <v>30</v>
      </c>
      <c r="J161" s="3">
        <v>51.4</v>
      </c>
      <c r="K161" s="4">
        <v>46058</v>
      </c>
      <c r="L161" s="4">
        <v>46070</v>
      </c>
      <c r="M161" s="1" t="s">
        <v>12280</v>
      </c>
      <c r="N161" s="1" t="s">
        <v>12289</v>
      </c>
    </row>
    <row r="162" spans="1:14" s="1" customFormat="1" x14ac:dyDescent="0.35">
      <c r="A162" s="1" t="s">
        <v>11760</v>
      </c>
      <c r="B162" s="1" t="s">
        <v>2368</v>
      </c>
      <c r="C162" s="1" t="s">
        <v>2420</v>
      </c>
      <c r="D162" s="1" t="s">
        <v>12288</v>
      </c>
      <c r="E162" s="1" t="str">
        <f>"8415"</f>
        <v>8415</v>
      </c>
      <c r="F162" s="1" t="str">
        <f>"015269181"</f>
        <v>015269181</v>
      </c>
      <c r="G162" s="1" t="s">
        <v>781</v>
      </c>
      <c r="H162" s="1" t="s">
        <v>15</v>
      </c>
      <c r="I162" s="1" t="str">
        <f>"1"</f>
        <v>1</v>
      </c>
      <c r="J162" s="3">
        <v>171.72</v>
      </c>
      <c r="K162" s="4">
        <v>46058</v>
      </c>
      <c r="L162" s="4">
        <v>46070</v>
      </c>
      <c r="M162" s="1" t="s">
        <v>12280</v>
      </c>
      <c r="N162" s="1" t="s">
        <v>12285</v>
      </c>
    </row>
    <row r="163" spans="1:14" s="1" customFormat="1" x14ac:dyDescent="0.35">
      <c r="A163" s="1" t="s">
        <v>11760</v>
      </c>
      <c r="B163" s="1" t="s">
        <v>2368</v>
      </c>
      <c r="C163" s="1" t="s">
        <v>2420</v>
      </c>
      <c r="D163" s="1" t="s">
        <v>12287</v>
      </c>
      <c r="E163" s="1" t="str">
        <f>"8415"</f>
        <v>8415</v>
      </c>
      <c r="F163" s="1" t="str">
        <f>"015269180"</f>
        <v>015269180</v>
      </c>
      <c r="G163" s="1" t="s">
        <v>781</v>
      </c>
      <c r="H163" s="1" t="s">
        <v>15</v>
      </c>
      <c r="I163" s="1" t="str">
        <f>"1"</f>
        <v>1</v>
      </c>
      <c r="J163" s="3">
        <v>171.72</v>
      </c>
      <c r="K163" s="4">
        <v>46058</v>
      </c>
      <c r="L163" s="4">
        <v>46070</v>
      </c>
      <c r="M163" s="1" t="s">
        <v>12280</v>
      </c>
      <c r="N163" s="1" t="s">
        <v>12285</v>
      </c>
    </row>
    <row r="164" spans="1:14" s="1" customFormat="1" x14ac:dyDescent="0.35">
      <c r="A164" s="1" t="s">
        <v>11760</v>
      </c>
      <c r="B164" s="1" t="s">
        <v>2368</v>
      </c>
      <c r="C164" s="1" t="s">
        <v>2420</v>
      </c>
      <c r="D164" s="1" t="s">
        <v>12286</v>
      </c>
      <c r="E164" s="1" t="str">
        <f>"8415"</f>
        <v>8415</v>
      </c>
      <c r="F164" s="1" t="str">
        <f>"012281319"</f>
        <v>012281319</v>
      </c>
      <c r="G164" s="1" t="s">
        <v>781</v>
      </c>
      <c r="H164" s="1" t="s">
        <v>15</v>
      </c>
      <c r="I164" s="1" t="str">
        <f>"1"</f>
        <v>1</v>
      </c>
      <c r="J164" s="3">
        <v>155.33000000000001</v>
      </c>
      <c r="K164" s="4">
        <v>46058</v>
      </c>
      <c r="L164" s="4">
        <v>46070</v>
      </c>
      <c r="M164" s="1" t="s">
        <v>12280</v>
      </c>
      <c r="N164" s="1" t="s">
        <v>12285</v>
      </c>
    </row>
    <row r="165" spans="1:14" s="1" customFormat="1" x14ac:dyDescent="0.35">
      <c r="A165" s="1" t="s">
        <v>11760</v>
      </c>
      <c r="B165" s="1" t="s">
        <v>2368</v>
      </c>
      <c r="C165" s="1" t="s">
        <v>2420</v>
      </c>
      <c r="D165" s="1" t="s">
        <v>12284</v>
      </c>
      <c r="E165" s="1" t="str">
        <f>"5965"</f>
        <v>5965</v>
      </c>
      <c r="F165" s="1" t="str">
        <f>"016318299"</f>
        <v>016318299</v>
      </c>
      <c r="G165" s="1" t="s">
        <v>12283</v>
      </c>
      <c r="H165" s="1" t="s">
        <v>15</v>
      </c>
      <c r="I165" s="1" t="str">
        <f>"55"</f>
        <v>55</v>
      </c>
      <c r="J165" s="3" t="str">
        <f>"465"</f>
        <v>465</v>
      </c>
      <c r="K165" s="4">
        <v>46058</v>
      </c>
      <c r="L165" s="4">
        <v>46070</v>
      </c>
      <c r="M165" s="1" t="s">
        <v>12280</v>
      </c>
      <c r="N165" s="1" t="s">
        <v>12282</v>
      </c>
    </row>
    <row r="166" spans="1:14" s="1" customFormat="1" x14ac:dyDescent="0.35">
      <c r="A166" s="1" t="s">
        <v>11760</v>
      </c>
      <c r="B166" s="1" t="s">
        <v>1989</v>
      </c>
      <c r="C166" s="1" t="s">
        <v>2010</v>
      </c>
      <c r="D166" s="1" t="s">
        <v>12281</v>
      </c>
      <c r="E166" s="1" t="str">
        <f>"8415"</f>
        <v>8415</v>
      </c>
      <c r="F166" s="1" t="str">
        <f>"015386289"</f>
        <v>015386289</v>
      </c>
      <c r="G166" s="1" t="s">
        <v>2097</v>
      </c>
      <c r="H166" s="1" t="s">
        <v>15</v>
      </c>
      <c r="I166" s="1" t="str">
        <f>"10"</f>
        <v>10</v>
      </c>
      <c r="J166" s="3">
        <v>137.97999999999999</v>
      </c>
      <c r="K166" s="4">
        <v>46066</v>
      </c>
      <c r="L166" s="4">
        <v>46070</v>
      </c>
      <c r="M166" s="1" t="s">
        <v>12280</v>
      </c>
      <c r="N166" s="1" t="s">
        <v>12279</v>
      </c>
    </row>
    <row r="167" spans="1:14" s="1" customFormat="1" x14ac:dyDescent="0.35">
      <c r="A167" s="1" t="s">
        <v>11760</v>
      </c>
      <c r="B167" s="1" t="s">
        <v>9675</v>
      </c>
      <c r="C167" s="1" t="s">
        <v>9674</v>
      </c>
      <c r="D167" s="1" t="s">
        <v>12278</v>
      </c>
      <c r="E167" s="1" t="str">
        <f>"8415"</f>
        <v>8415</v>
      </c>
      <c r="F167" s="1" t="str">
        <f>"015802854"</f>
        <v>015802854</v>
      </c>
      <c r="G167" s="1" t="s">
        <v>18</v>
      </c>
      <c r="H167" s="1" t="s">
        <v>15</v>
      </c>
      <c r="I167" s="1" t="str">
        <f>"2"</f>
        <v>2</v>
      </c>
      <c r="J167" s="3">
        <v>146.83000000000001</v>
      </c>
      <c r="K167" s="4">
        <v>46087</v>
      </c>
      <c r="L167" s="4">
        <v>46092</v>
      </c>
      <c r="M167" s="1" t="s">
        <v>11789</v>
      </c>
      <c r="N167" s="1" t="s">
        <v>12277</v>
      </c>
    </row>
    <row r="168" spans="1:14" s="1" customFormat="1" x14ac:dyDescent="0.35">
      <c r="A168" s="1" t="s">
        <v>11760</v>
      </c>
      <c r="B168" s="1" t="s">
        <v>9675</v>
      </c>
      <c r="C168" s="1" t="s">
        <v>9674</v>
      </c>
      <c r="D168" s="1" t="s">
        <v>12276</v>
      </c>
      <c r="E168" s="1" t="str">
        <f>"8415"</f>
        <v>8415</v>
      </c>
      <c r="F168" s="1" t="str">
        <f>"015802854"</f>
        <v>015802854</v>
      </c>
      <c r="G168" s="1" t="s">
        <v>18</v>
      </c>
      <c r="H168" s="1" t="s">
        <v>15</v>
      </c>
      <c r="I168" s="1" t="str">
        <f>"2"</f>
        <v>2</v>
      </c>
      <c r="J168" s="3">
        <v>146.83000000000001</v>
      </c>
      <c r="K168" s="4">
        <v>46087</v>
      </c>
      <c r="L168" s="4">
        <v>46092</v>
      </c>
      <c r="M168" s="1" t="s">
        <v>11789</v>
      </c>
      <c r="N168" s="1" t="s">
        <v>12273</v>
      </c>
    </row>
    <row r="169" spans="1:14" s="1" customFormat="1" x14ac:dyDescent="0.35">
      <c r="A169" s="1" t="s">
        <v>11760</v>
      </c>
      <c r="B169" s="1" t="s">
        <v>9675</v>
      </c>
      <c r="C169" s="1" t="s">
        <v>9674</v>
      </c>
      <c r="D169" s="1" t="s">
        <v>12275</v>
      </c>
      <c r="E169" s="1" t="str">
        <f>"8415"</f>
        <v>8415</v>
      </c>
      <c r="F169" s="1" t="str">
        <f>"015802856"</f>
        <v>015802856</v>
      </c>
      <c r="G169" s="1" t="s">
        <v>18</v>
      </c>
      <c r="H169" s="1" t="s">
        <v>15</v>
      </c>
      <c r="I169" s="1" t="str">
        <f>"3"</f>
        <v>3</v>
      </c>
      <c r="J169" s="3">
        <v>146.16</v>
      </c>
      <c r="K169" s="4">
        <v>46087</v>
      </c>
      <c r="L169" s="4">
        <v>46092</v>
      </c>
      <c r="M169" s="1" t="s">
        <v>11789</v>
      </c>
      <c r="N169" s="1" t="s">
        <v>12273</v>
      </c>
    </row>
    <row r="170" spans="1:14" s="1" customFormat="1" x14ac:dyDescent="0.35">
      <c r="A170" s="1" t="s">
        <v>11760</v>
      </c>
      <c r="B170" s="1" t="s">
        <v>9675</v>
      </c>
      <c r="C170" s="1" t="s">
        <v>9674</v>
      </c>
      <c r="D170" s="1" t="s">
        <v>12274</v>
      </c>
      <c r="E170" s="1" t="str">
        <f>"8415"</f>
        <v>8415</v>
      </c>
      <c r="F170" s="1" t="str">
        <f>"015802782"</f>
        <v>015802782</v>
      </c>
      <c r="G170" s="1" t="s">
        <v>18</v>
      </c>
      <c r="H170" s="1" t="s">
        <v>15</v>
      </c>
      <c r="I170" s="1" t="str">
        <f>"7"</f>
        <v>7</v>
      </c>
      <c r="J170" s="3">
        <v>146.81</v>
      </c>
      <c r="K170" s="4">
        <v>46087</v>
      </c>
      <c r="L170" s="4">
        <v>46092</v>
      </c>
      <c r="M170" s="1" t="s">
        <v>11789</v>
      </c>
      <c r="N170" s="1" t="s">
        <v>12273</v>
      </c>
    </row>
    <row r="171" spans="1:14" s="1" customFormat="1" x14ac:dyDescent="0.35">
      <c r="A171" s="1" t="s">
        <v>11760</v>
      </c>
      <c r="B171" s="1" t="s">
        <v>1284</v>
      </c>
      <c r="C171" s="1" t="s">
        <v>9534</v>
      </c>
      <c r="D171" s="1" t="s">
        <v>12272</v>
      </c>
      <c r="E171" s="1" t="str">
        <f>"1240"</f>
        <v>1240</v>
      </c>
      <c r="F171" s="1" t="str">
        <f>"015403690"</f>
        <v>015403690</v>
      </c>
      <c r="G171" s="1" t="s">
        <v>71</v>
      </c>
      <c r="H171" s="1" t="s">
        <v>15</v>
      </c>
      <c r="I171" s="1" t="str">
        <f>"5"</f>
        <v>5</v>
      </c>
      <c r="J171" s="3" t="str">
        <f>"340"</f>
        <v>340</v>
      </c>
      <c r="K171" s="4">
        <v>46073</v>
      </c>
      <c r="L171" s="4">
        <v>46076</v>
      </c>
      <c r="M171" s="1" t="s">
        <v>11771</v>
      </c>
      <c r="N171" s="1" t="s">
        <v>12271</v>
      </c>
    </row>
    <row r="172" spans="1:14" s="1" customFormat="1" x14ac:dyDescent="0.35">
      <c r="A172" s="1" t="s">
        <v>11760</v>
      </c>
      <c r="B172" s="1" t="s">
        <v>1284</v>
      </c>
      <c r="C172" s="1" t="s">
        <v>9534</v>
      </c>
      <c r="D172" s="1" t="s">
        <v>12270</v>
      </c>
      <c r="E172" s="1" t="str">
        <f>"7110"</f>
        <v>7110</v>
      </c>
      <c r="F172" s="1" t="str">
        <f>"015599642"</f>
        <v>015599642</v>
      </c>
      <c r="G172" s="1" t="s">
        <v>1838</v>
      </c>
      <c r="H172" s="1" t="s">
        <v>15</v>
      </c>
      <c r="I172" s="1" t="str">
        <f>"1"</f>
        <v>1</v>
      </c>
      <c r="J172" s="3">
        <v>1388.72</v>
      </c>
      <c r="K172" s="4">
        <v>46076</v>
      </c>
      <c r="L172" s="4">
        <v>46078</v>
      </c>
      <c r="M172" s="1" t="s">
        <v>11789</v>
      </c>
      <c r="N172" s="1" t="s">
        <v>12269</v>
      </c>
    </row>
    <row r="173" spans="1:14" s="1" customFormat="1" x14ac:dyDescent="0.35">
      <c r="A173" s="1" t="s">
        <v>11760</v>
      </c>
      <c r="B173" s="1" t="s">
        <v>1284</v>
      </c>
      <c r="C173" s="1" t="s">
        <v>9534</v>
      </c>
      <c r="D173" s="1" t="s">
        <v>12268</v>
      </c>
      <c r="E173" s="1" t="str">
        <f>"1240"</f>
        <v>1240</v>
      </c>
      <c r="F173" s="1" t="str">
        <f>"014559413"</f>
        <v>014559413</v>
      </c>
      <c r="G173" s="1" t="s">
        <v>4579</v>
      </c>
      <c r="H173" s="1" t="s">
        <v>15</v>
      </c>
      <c r="I173" s="1" t="str">
        <f>"1"</f>
        <v>1</v>
      </c>
      <c r="J173" s="3" t="str">
        <f>"7500"</f>
        <v>7500</v>
      </c>
      <c r="K173" s="4">
        <v>46111</v>
      </c>
      <c r="L173" s="4">
        <v>46111</v>
      </c>
      <c r="M173" s="1" t="s">
        <v>11771</v>
      </c>
      <c r="N173" s="1" t="s">
        <v>12267</v>
      </c>
    </row>
    <row r="174" spans="1:14" s="1" customFormat="1" x14ac:dyDescent="0.35">
      <c r="A174" s="1" t="s">
        <v>11760</v>
      </c>
      <c r="B174" s="1" t="s">
        <v>2368</v>
      </c>
      <c r="C174" s="1" t="s">
        <v>9496</v>
      </c>
      <c r="D174" s="1" t="s">
        <v>12266</v>
      </c>
      <c r="E174" s="1" t="str">
        <f>"5855"</f>
        <v>5855</v>
      </c>
      <c r="F174" s="1" t="str">
        <f>"015485687"</f>
        <v>015485687</v>
      </c>
      <c r="G174" s="1" t="s">
        <v>798</v>
      </c>
      <c r="H174" s="1" t="s">
        <v>15</v>
      </c>
      <c r="I174" s="1" t="str">
        <f>"25"</f>
        <v>25</v>
      </c>
      <c r="J174" s="3" t="str">
        <f>"10402"</f>
        <v>10402</v>
      </c>
      <c r="K174" s="4">
        <v>46085</v>
      </c>
      <c r="L174" s="4">
        <v>46085</v>
      </c>
      <c r="M174" s="1" t="s">
        <v>11800</v>
      </c>
      <c r="N174" s="1" t="s">
        <v>12265</v>
      </c>
    </row>
    <row r="175" spans="1:14" s="1" customFormat="1" x14ac:dyDescent="0.35">
      <c r="A175" s="1" t="s">
        <v>11760</v>
      </c>
      <c r="B175" s="1" t="s">
        <v>4883</v>
      </c>
      <c r="C175" s="1" t="s">
        <v>12264</v>
      </c>
      <c r="D175" s="1" t="s">
        <v>12263</v>
      </c>
      <c r="E175" s="1" t="str">
        <f>"2355"</f>
        <v>2355</v>
      </c>
      <c r="F175" s="1" t="str">
        <f>"015590791"</f>
        <v>015590791</v>
      </c>
      <c r="G175" s="1" t="s">
        <v>11092</v>
      </c>
      <c r="H175" s="1" t="s">
        <v>15</v>
      </c>
      <c r="I175" s="1" t="str">
        <f>"1"</f>
        <v>1</v>
      </c>
      <c r="J175" s="3" t="str">
        <f>"700000"</f>
        <v>700000</v>
      </c>
      <c r="K175" s="4">
        <v>46087</v>
      </c>
      <c r="L175" s="4">
        <v>46091</v>
      </c>
      <c r="M175" s="1" t="s">
        <v>12262</v>
      </c>
      <c r="N175" s="1" t="s">
        <v>12261</v>
      </c>
    </row>
    <row r="176" spans="1:14" s="1" customFormat="1" x14ac:dyDescent="0.35">
      <c r="A176" s="1" t="s">
        <v>11760</v>
      </c>
      <c r="B176" s="1" t="s">
        <v>2368</v>
      </c>
      <c r="C176" s="1" t="s">
        <v>2442</v>
      </c>
      <c r="D176" s="1" t="s">
        <v>12260</v>
      </c>
      <c r="E176" s="1" t="str">
        <f>"4910"</f>
        <v>4910</v>
      </c>
      <c r="F176" s="1" t="str">
        <f>"002897233"</f>
        <v>002897233</v>
      </c>
      <c r="G176" s="1" t="s">
        <v>2554</v>
      </c>
      <c r="H176" s="1" t="s">
        <v>15</v>
      </c>
      <c r="I176" s="1" t="str">
        <f>"2"</f>
        <v>2</v>
      </c>
      <c r="J176" s="3" t="str">
        <f>"4759"</f>
        <v>4759</v>
      </c>
      <c r="K176" s="4">
        <v>46072</v>
      </c>
      <c r="L176" s="4">
        <v>46076</v>
      </c>
      <c r="M176" s="1" t="s">
        <v>12259</v>
      </c>
      <c r="N176" s="1" t="s">
        <v>12258</v>
      </c>
    </row>
    <row r="177" spans="1:14" s="1" customFormat="1" x14ac:dyDescent="0.35">
      <c r="A177" s="1" t="s">
        <v>11760</v>
      </c>
      <c r="B177" s="1" t="s">
        <v>3822</v>
      </c>
      <c r="C177" s="1" t="s">
        <v>9453</v>
      </c>
      <c r="D177" s="1" t="s">
        <v>12257</v>
      </c>
      <c r="E177" s="1" t="str">
        <f>"1550"</f>
        <v>1550</v>
      </c>
      <c r="F177" s="1" t="str">
        <f>"016515315"</f>
        <v>016515315</v>
      </c>
      <c r="G177" s="1" t="s">
        <v>1789</v>
      </c>
      <c r="H177" s="1" t="s">
        <v>168</v>
      </c>
      <c r="I177" s="1" t="str">
        <f>"2"</f>
        <v>2</v>
      </c>
      <c r="J177" s="3" t="str">
        <f>"6700"</f>
        <v>6700</v>
      </c>
      <c r="K177" s="4">
        <v>46099</v>
      </c>
      <c r="L177" s="4">
        <v>46100</v>
      </c>
      <c r="M177" s="1" t="s">
        <v>12256</v>
      </c>
      <c r="N177" s="1" t="s">
        <v>12255</v>
      </c>
    </row>
    <row r="178" spans="1:14" s="1" customFormat="1" x14ac:dyDescent="0.35">
      <c r="A178" s="1" t="s">
        <v>11760</v>
      </c>
      <c r="B178" s="1" t="s">
        <v>3822</v>
      </c>
      <c r="C178" s="1" t="s">
        <v>4066</v>
      </c>
      <c r="D178" s="1" t="s">
        <v>12254</v>
      </c>
      <c r="E178" s="1" t="str">
        <f>"5855"</f>
        <v>5855</v>
      </c>
      <c r="F178" s="1" t="str">
        <f>"015345931"</f>
        <v>015345931</v>
      </c>
      <c r="G178" s="1" t="s">
        <v>742</v>
      </c>
      <c r="H178" s="1" t="s">
        <v>15</v>
      </c>
      <c r="I178" s="1" t="str">
        <f>"1"</f>
        <v>1</v>
      </c>
      <c r="J178" s="3" t="str">
        <f>"970"</f>
        <v>970</v>
      </c>
      <c r="K178" s="4">
        <v>46031</v>
      </c>
      <c r="L178" s="4">
        <v>46031</v>
      </c>
      <c r="M178" s="1" t="s">
        <v>11825</v>
      </c>
      <c r="N178" s="1" t="s">
        <v>12253</v>
      </c>
    </row>
    <row r="179" spans="1:14" s="1" customFormat="1" x14ac:dyDescent="0.35">
      <c r="A179" s="1" t="s">
        <v>11760</v>
      </c>
      <c r="B179" s="1" t="s">
        <v>2368</v>
      </c>
      <c r="C179" s="1" t="s">
        <v>9414</v>
      </c>
      <c r="D179" s="1" t="s">
        <v>12252</v>
      </c>
      <c r="E179" s="1" t="str">
        <f>"2310"</f>
        <v>2310</v>
      </c>
      <c r="F179" s="1" t="str">
        <f>"010907741"</f>
        <v>010907741</v>
      </c>
      <c r="G179" s="1" t="s">
        <v>710</v>
      </c>
      <c r="H179" s="1" t="s">
        <v>15</v>
      </c>
      <c r="I179" s="1" t="str">
        <f>"1"</f>
        <v>1</v>
      </c>
      <c r="J179" s="3" t="str">
        <f>"30027"</f>
        <v>30027</v>
      </c>
      <c r="K179" s="4">
        <v>46039</v>
      </c>
      <c r="L179" s="4">
        <v>46042</v>
      </c>
      <c r="M179" s="1" t="s">
        <v>12249</v>
      </c>
      <c r="N179" s="1" t="s">
        <v>9418</v>
      </c>
    </row>
    <row r="180" spans="1:14" s="1" customFormat="1" x14ac:dyDescent="0.35">
      <c r="A180" s="1" t="s">
        <v>11760</v>
      </c>
      <c r="B180" s="1" t="s">
        <v>2368</v>
      </c>
      <c r="C180" s="1" t="s">
        <v>9414</v>
      </c>
      <c r="D180" s="1" t="s">
        <v>12251</v>
      </c>
      <c r="E180" s="1" t="str">
        <f>"2310"</f>
        <v>2310</v>
      </c>
      <c r="F180" s="1" t="str">
        <f>"010907741"</f>
        <v>010907741</v>
      </c>
      <c r="G180" s="1" t="s">
        <v>710</v>
      </c>
      <c r="H180" s="1" t="s">
        <v>15</v>
      </c>
      <c r="I180" s="1" t="str">
        <f>"1"</f>
        <v>1</v>
      </c>
      <c r="J180" s="3" t="str">
        <f>"30027"</f>
        <v>30027</v>
      </c>
      <c r="K180" s="4">
        <v>46039</v>
      </c>
      <c r="L180" s="4">
        <v>46042</v>
      </c>
      <c r="M180" s="1" t="s">
        <v>12249</v>
      </c>
      <c r="N180" s="1" t="s">
        <v>9418</v>
      </c>
    </row>
    <row r="181" spans="1:14" s="1" customFormat="1" x14ac:dyDescent="0.35">
      <c r="A181" s="1" t="s">
        <v>11760</v>
      </c>
      <c r="B181" s="1" t="s">
        <v>2368</v>
      </c>
      <c r="C181" s="1" t="s">
        <v>9414</v>
      </c>
      <c r="D181" s="1" t="s">
        <v>12250</v>
      </c>
      <c r="E181" s="1" t="str">
        <f>"2310"</f>
        <v>2310</v>
      </c>
      <c r="F181" s="1" t="str">
        <f>"010907741"</f>
        <v>010907741</v>
      </c>
      <c r="G181" s="1" t="s">
        <v>710</v>
      </c>
      <c r="H181" s="1" t="s">
        <v>15</v>
      </c>
      <c r="I181" s="1" t="str">
        <f>"1"</f>
        <v>1</v>
      </c>
      <c r="J181" s="3" t="str">
        <f>"30027"</f>
        <v>30027</v>
      </c>
      <c r="K181" s="4">
        <v>46039</v>
      </c>
      <c r="L181" s="4">
        <v>46042</v>
      </c>
      <c r="M181" s="1" t="s">
        <v>12249</v>
      </c>
      <c r="N181" s="1" t="s">
        <v>9418</v>
      </c>
    </row>
    <row r="182" spans="1:14" s="1" customFormat="1" x14ac:dyDescent="0.35">
      <c r="A182" s="1" t="s">
        <v>11760</v>
      </c>
      <c r="B182" s="1" t="s">
        <v>2368</v>
      </c>
      <c r="C182" s="1" t="s">
        <v>9414</v>
      </c>
      <c r="D182" s="1" t="s">
        <v>12248</v>
      </c>
      <c r="E182" s="1" t="str">
        <f>"1095"</f>
        <v>1095</v>
      </c>
      <c r="F182" s="1" t="str">
        <f>"015432189"</f>
        <v>015432189</v>
      </c>
      <c r="G182" s="1" t="s">
        <v>704</v>
      </c>
      <c r="H182" s="1" t="s">
        <v>15</v>
      </c>
      <c r="I182" s="1" t="str">
        <f>"13"</f>
        <v>13</v>
      </c>
      <c r="J182" s="3" t="str">
        <f>"959"</f>
        <v>959</v>
      </c>
      <c r="K182" s="4">
        <v>46041</v>
      </c>
      <c r="L182" s="4">
        <v>46042</v>
      </c>
      <c r="M182" s="1" t="s">
        <v>12246</v>
      </c>
      <c r="N182" s="1" t="s">
        <v>9415</v>
      </c>
    </row>
    <row r="183" spans="1:14" s="1" customFormat="1" x14ac:dyDescent="0.35">
      <c r="A183" s="1" t="s">
        <v>11760</v>
      </c>
      <c r="B183" s="1" t="s">
        <v>2368</v>
      </c>
      <c r="C183" s="1" t="s">
        <v>9414</v>
      </c>
      <c r="D183" s="1" t="s">
        <v>12247</v>
      </c>
      <c r="E183" s="1" t="str">
        <f>"1095"</f>
        <v>1095</v>
      </c>
      <c r="F183" s="1" t="str">
        <f>"015432189"</f>
        <v>015432189</v>
      </c>
      <c r="G183" s="1" t="s">
        <v>704</v>
      </c>
      <c r="H183" s="1" t="s">
        <v>15</v>
      </c>
      <c r="I183" s="1" t="str">
        <f>"10"</f>
        <v>10</v>
      </c>
      <c r="J183" s="3" t="str">
        <f>"959"</f>
        <v>959</v>
      </c>
      <c r="K183" s="4">
        <v>46041</v>
      </c>
      <c r="L183" s="4">
        <v>46042</v>
      </c>
      <c r="M183" s="1" t="s">
        <v>12246</v>
      </c>
      <c r="N183" s="1" t="s">
        <v>9415</v>
      </c>
    </row>
    <row r="184" spans="1:14" s="1" customFormat="1" x14ac:dyDescent="0.35">
      <c r="A184" s="1" t="s">
        <v>11760</v>
      </c>
      <c r="B184" s="1" t="s">
        <v>9407</v>
      </c>
      <c r="C184" s="1" t="s">
        <v>9406</v>
      </c>
      <c r="D184" s="1" t="s">
        <v>12245</v>
      </c>
      <c r="E184" s="1" t="str">
        <f>"5965"</f>
        <v>5965</v>
      </c>
      <c r="F184" s="1" t="s">
        <v>2843</v>
      </c>
      <c r="G184" s="1" t="s">
        <v>2844</v>
      </c>
      <c r="H184" s="1" t="s">
        <v>15</v>
      </c>
      <c r="I184" s="1" t="str">
        <f>"2"</f>
        <v>2</v>
      </c>
      <c r="J184" s="3" t="str">
        <f>"1000"</f>
        <v>1000</v>
      </c>
      <c r="K184" s="4">
        <v>46061</v>
      </c>
      <c r="L184" s="4">
        <v>46070</v>
      </c>
      <c r="M184" s="1" t="s">
        <v>11828</v>
      </c>
      <c r="N184" s="1" t="s">
        <v>12244</v>
      </c>
    </row>
    <row r="185" spans="1:14" s="1" customFormat="1" x14ac:dyDescent="0.35">
      <c r="A185" s="1" t="s">
        <v>11760</v>
      </c>
      <c r="B185" s="1" t="s">
        <v>1303</v>
      </c>
      <c r="C185" s="1" t="s">
        <v>9398</v>
      </c>
      <c r="D185" s="1" t="s">
        <v>12243</v>
      </c>
      <c r="E185" s="1" t="str">
        <f>"1240"</f>
        <v>1240</v>
      </c>
      <c r="F185" s="1" t="str">
        <f>"014111265"</f>
        <v>014111265</v>
      </c>
      <c r="G185" s="1" t="s">
        <v>71</v>
      </c>
      <c r="H185" s="1" t="s">
        <v>15</v>
      </c>
      <c r="I185" s="1" t="str">
        <f>"3"</f>
        <v>3</v>
      </c>
      <c r="J185" s="3" t="str">
        <f>"339"</f>
        <v>339</v>
      </c>
      <c r="K185" s="4">
        <v>46050</v>
      </c>
      <c r="L185" s="4">
        <v>46051</v>
      </c>
      <c r="N185" s="1" t="s">
        <v>12242</v>
      </c>
    </row>
    <row r="186" spans="1:14" s="1" customFormat="1" x14ac:dyDescent="0.35">
      <c r="A186" s="1" t="s">
        <v>11760</v>
      </c>
      <c r="B186" s="1" t="s">
        <v>1293</v>
      </c>
      <c r="C186" s="1" t="s">
        <v>12212</v>
      </c>
      <c r="D186" s="1" t="s">
        <v>12241</v>
      </c>
      <c r="E186" s="1" t="str">
        <f>"6650"</f>
        <v>6650</v>
      </c>
      <c r="F186" s="1" t="s">
        <v>1576</v>
      </c>
      <c r="G186" s="1" t="s">
        <v>1577</v>
      </c>
      <c r="H186" s="1" t="s">
        <v>15</v>
      </c>
      <c r="I186" s="1" t="str">
        <f>"1"</f>
        <v>1</v>
      </c>
      <c r="J186" s="3" t="str">
        <f>"150"</f>
        <v>150</v>
      </c>
      <c r="K186" s="4">
        <v>46092</v>
      </c>
      <c r="L186" s="4">
        <v>46104</v>
      </c>
      <c r="M186" s="1" t="s">
        <v>11810</v>
      </c>
      <c r="N186" s="1" t="s">
        <v>12240</v>
      </c>
    </row>
    <row r="187" spans="1:14" s="1" customFormat="1" x14ac:dyDescent="0.35">
      <c r="A187" s="1" t="s">
        <v>11760</v>
      </c>
      <c r="B187" s="1" t="s">
        <v>1293</v>
      </c>
      <c r="C187" s="1" t="s">
        <v>12212</v>
      </c>
      <c r="D187" s="1" t="s">
        <v>12239</v>
      </c>
      <c r="E187" s="1" t="str">
        <f>"8415"</f>
        <v>8415</v>
      </c>
      <c r="F187" s="1" t="str">
        <f>"015802854"</f>
        <v>015802854</v>
      </c>
      <c r="G187" s="1" t="s">
        <v>18</v>
      </c>
      <c r="H187" s="1" t="s">
        <v>15</v>
      </c>
      <c r="I187" s="1" t="str">
        <f>"1"</f>
        <v>1</v>
      </c>
      <c r="J187" s="3">
        <v>146.83000000000001</v>
      </c>
      <c r="K187" s="4">
        <v>46092</v>
      </c>
      <c r="L187" s="4">
        <v>46104</v>
      </c>
      <c r="M187" s="1" t="s">
        <v>11810</v>
      </c>
      <c r="N187" s="1" t="s">
        <v>12216</v>
      </c>
    </row>
    <row r="188" spans="1:14" s="1" customFormat="1" x14ac:dyDescent="0.35">
      <c r="A188" s="1" t="s">
        <v>11760</v>
      </c>
      <c r="B188" s="1" t="s">
        <v>1293</v>
      </c>
      <c r="C188" s="1" t="s">
        <v>12212</v>
      </c>
      <c r="D188" s="1" t="s">
        <v>12238</v>
      </c>
      <c r="E188" s="1" t="str">
        <f>"8415"</f>
        <v>8415</v>
      </c>
      <c r="F188" s="1" t="str">
        <f>"015387012"</f>
        <v>015387012</v>
      </c>
      <c r="G188" s="1" t="s">
        <v>18</v>
      </c>
      <c r="H188" s="1" t="s">
        <v>15</v>
      </c>
      <c r="I188" s="1" t="str">
        <f>"8"</f>
        <v>8</v>
      </c>
      <c r="J188" s="3">
        <v>111.26</v>
      </c>
      <c r="K188" s="4">
        <v>46092</v>
      </c>
      <c r="L188" s="4">
        <v>46104</v>
      </c>
      <c r="M188" s="1" t="s">
        <v>11810</v>
      </c>
      <c r="N188" s="1" t="s">
        <v>12216</v>
      </c>
    </row>
    <row r="189" spans="1:14" s="1" customFormat="1" x14ac:dyDescent="0.35">
      <c r="A189" s="1" t="s">
        <v>11760</v>
      </c>
      <c r="B189" s="1" t="s">
        <v>1293</v>
      </c>
      <c r="C189" s="1" t="s">
        <v>12212</v>
      </c>
      <c r="D189" s="1" t="s">
        <v>12237</v>
      </c>
      <c r="E189" s="1" t="str">
        <f>"8415"</f>
        <v>8415</v>
      </c>
      <c r="F189" s="1" t="str">
        <f>"015473513"</f>
        <v>015473513</v>
      </c>
      <c r="G189" s="1" t="s">
        <v>895</v>
      </c>
      <c r="H189" s="1" t="s">
        <v>15</v>
      </c>
      <c r="I189" s="1" t="str">
        <f>"1"</f>
        <v>1</v>
      </c>
      <c r="J189" s="3">
        <v>182.66</v>
      </c>
      <c r="K189" s="4">
        <v>46092</v>
      </c>
      <c r="L189" s="4">
        <v>46104</v>
      </c>
      <c r="M189" s="1" t="s">
        <v>11810</v>
      </c>
      <c r="N189" s="1" t="s">
        <v>12233</v>
      </c>
    </row>
    <row r="190" spans="1:14" s="1" customFormat="1" x14ac:dyDescent="0.35">
      <c r="A190" s="1" t="s">
        <v>11760</v>
      </c>
      <c r="B190" s="1" t="s">
        <v>1293</v>
      </c>
      <c r="C190" s="1" t="s">
        <v>12212</v>
      </c>
      <c r="D190" s="1" t="s">
        <v>12236</v>
      </c>
      <c r="E190" s="1" t="str">
        <f>"8415"</f>
        <v>8415</v>
      </c>
      <c r="F190" s="1" t="str">
        <f>"015269182"</f>
        <v>015269182</v>
      </c>
      <c r="G190" s="1" t="s">
        <v>781</v>
      </c>
      <c r="H190" s="1" t="s">
        <v>15</v>
      </c>
      <c r="I190" s="1" t="str">
        <f>"2"</f>
        <v>2</v>
      </c>
      <c r="J190" s="3">
        <v>171.72</v>
      </c>
      <c r="K190" s="4">
        <v>46092</v>
      </c>
      <c r="L190" s="4">
        <v>46104</v>
      </c>
      <c r="M190" s="1" t="s">
        <v>11810</v>
      </c>
      <c r="N190" s="1" t="s">
        <v>12233</v>
      </c>
    </row>
    <row r="191" spans="1:14" s="1" customFormat="1" x14ac:dyDescent="0.35">
      <c r="A191" s="1" t="s">
        <v>11760</v>
      </c>
      <c r="B191" s="1" t="s">
        <v>1293</v>
      </c>
      <c r="C191" s="1" t="s">
        <v>12212</v>
      </c>
      <c r="D191" s="1" t="s">
        <v>12235</v>
      </c>
      <c r="E191" s="1" t="str">
        <f>"8415"</f>
        <v>8415</v>
      </c>
      <c r="F191" s="1" t="str">
        <f>"015386289"</f>
        <v>015386289</v>
      </c>
      <c r="G191" s="1" t="s">
        <v>2097</v>
      </c>
      <c r="H191" s="1" t="s">
        <v>15</v>
      </c>
      <c r="I191" s="1" t="str">
        <f>"1"</f>
        <v>1</v>
      </c>
      <c r="J191" s="3">
        <v>137.97999999999999</v>
      </c>
      <c r="K191" s="4">
        <v>46092</v>
      </c>
      <c r="L191" s="4">
        <v>46104</v>
      </c>
      <c r="M191" s="1" t="s">
        <v>11810</v>
      </c>
      <c r="N191" s="1" t="s">
        <v>12233</v>
      </c>
    </row>
    <row r="192" spans="1:14" s="1" customFormat="1" x14ac:dyDescent="0.35">
      <c r="A192" s="1" t="s">
        <v>11760</v>
      </c>
      <c r="B192" s="1" t="s">
        <v>1293</v>
      </c>
      <c r="C192" s="1" t="s">
        <v>12212</v>
      </c>
      <c r="D192" s="1" t="s">
        <v>12234</v>
      </c>
      <c r="E192" s="1" t="str">
        <f>"8415"</f>
        <v>8415</v>
      </c>
      <c r="F192" s="1" t="str">
        <f>"015386289"</f>
        <v>015386289</v>
      </c>
      <c r="G192" s="1" t="s">
        <v>2097</v>
      </c>
      <c r="H192" s="1" t="s">
        <v>15</v>
      </c>
      <c r="I192" s="1" t="str">
        <f>"7"</f>
        <v>7</v>
      </c>
      <c r="J192" s="3">
        <v>137.97999999999999</v>
      </c>
      <c r="K192" s="4">
        <v>46092</v>
      </c>
      <c r="L192" s="4">
        <v>46104</v>
      </c>
      <c r="M192" s="1" t="s">
        <v>11810</v>
      </c>
      <c r="N192" s="1" t="s">
        <v>12233</v>
      </c>
    </row>
    <row r="193" spans="1:14" s="1" customFormat="1" x14ac:dyDescent="0.35">
      <c r="A193" s="1" t="s">
        <v>11760</v>
      </c>
      <c r="B193" s="1" t="s">
        <v>1293</v>
      </c>
      <c r="C193" s="1" t="s">
        <v>12212</v>
      </c>
      <c r="D193" s="1" t="s">
        <v>12232</v>
      </c>
      <c r="E193" s="1" t="str">
        <f>"8465"</f>
        <v>8465</v>
      </c>
      <c r="F193" s="1" t="str">
        <f>"015851512"</f>
        <v>015851512</v>
      </c>
      <c r="G193" s="1" t="s">
        <v>1645</v>
      </c>
      <c r="H193" s="1" t="s">
        <v>257</v>
      </c>
      <c r="I193" s="1" t="str">
        <f>"1"</f>
        <v>1</v>
      </c>
      <c r="J193" s="3">
        <v>115.92</v>
      </c>
      <c r="K193" s="4">
        <v>46092</v>
      </c>
      <c r="L193" s="4">
        <v>46104</v>
      </c>
      <c r="M193" s="1" t="s">
        <v>11810</v>
      </c>
      <c r="N193" s="1" t="s">
        <v>12230</v>
      </c>
    </row>
    <row r="194" spans="1:14" s="1" customFormat="1" x14ac:dyDescent="0.35">
      <c r="A194" s="1" t="s">
        <v>11760</v>
      </c>
      <c r="B194" s="1" t="s">
        <v>1293</v>
      </c>
      <c r="C194" s="1" t="s">
        <v>12212</v>
      </c>
      <c r="D194" s="1" t="s">
        <v>12231</v>
      </c>
      <c r="E194" s="1" t="str">
        <f>"8465"</f>
        <v>8465</v>
      </c>
      <c r="F194" s="1" t="str">
        <f>"015851512"</f>
        <v>015851512</v>
      </c>
      <c r="G194" s="1" t="s">
        <v>1645</v>
      </c>
      <c r="H194" s="1" t="s">
        <v>257</v>
      </c>
      <c r="I194" s="1" t="str">
        <f>"1"</f>
        <v>1</v>
      </c>
      <c r="J194" s="3">
        <v>115.92</v>
      </c>
      <c r="K194" s="4">
        <v>46092</v>
      </c>
      <c r="L194" s="4">
        <v>46104</v>
      </c>
      <c r="M194" s="1" t="s">
        <v>11810</v>
      </c>
      <c r="N194" s="1" t="s">
        <v>12230</v>
      </c>
    </row>
    <row r="195" spans="1:14" s="1" customFormat="1" x14ac:dyDescent="0.35">
      <c r="A195" s="1" t="s">
        <v>11760</v>
      </c>
      <c r="B195" s="1" t="s">
        <v>1293</v>
      </c>
      <c r="C195" s="1" t="s">
        <v>12212</v>
      </c>
      <c r="D195" s="1" t="s">
        <v>12229</v>
      </c>
      <c r="E195" s="1" t="str">
        <f>"8415"</f>
        <v>8415</v>
      </c>
      <c r="F195" s="1" t="str">
        <f>"016411799"</f>
        <v>016411799</v>
      </c>
      <c r="G195" s="1" t="s">
        <v>771</v>
      </c>
      <c r="H195" s="1" t="s">
        <v>47</v>
      </c>
      <c r="I195" s="1" t="str">
        <f>"1"</f>
        <v>1</v>
      </c>
      <c r="J195" s="3">
        <v>108.96</v>
      </c>
      <c r="K195" s="4">
        <v>46092</v>
      </c>
      <c r="L195" s="4">
        <v>46104</v>
      </c>
      <c r="M195" s="1" t="s">
        <v>11810</v>
      </c>
      <c r="N195" s="1" t="s">
        <v>12227</v>
      </c>
    </row>
    <row r="196" spans="1:14" s="1" customFormat="1" x14ac:dyDescent="0.35">
      <c r="A196" s="1" t="s">
        <v>11760</v>
      </c>
      <c r="B196" s="1" t="s">
        <v>1293</v>
      </c>
      <c r="C196" s="1" t="s">
        <v>12212</v>
      </c>
      <c r="D196" s="1" t="s">
        <v>12228</v>
      </c>
      <c r="E196" s="1" t="str">
        <f>"8415"</f>
        <v>8415</v>
      </c>
      <c r="F196" s="1" t="str">
        <f>"016424765"</f>
        <v>016424765</v>
      </c>
      <c r="G196" s="1" t="s">
        <v>771</v>
      </c>
      <c r="H196" s="1" t="s">
        <v>47</v>
      </c>
      <c r="I196" s="1" t="str">
        <f>"1"</f>
        <v>1</v>
      </c>
      <c r="J196" s="3">
        <v>474.79</v>
      </c>
      <c r="K196" s="4">
        <v>46092</v>
      </c>
      <c r="L196" s="4">
        <v>46104</v>
      </c>
      <c r="M196" s="1" t="s">
        <v>11810</v>
      </c>
      <c r="N196" s="1" t="s">
        <v>12227</v>
      </c>
    </row>
    <row r="197" spans="1:14" s="1" customFormat="1" x14ac:dyDescent="0.35">
      <c r="A197" s="1" t="s">
        <v>11760</v>
      </c>
      <c r="B197" s="1" t="s">
        <v>1293</v>
      </c>
      <c r="C197" s="1" t="s">
        <v>12212</v>
      </c>
      <c r="D197" s="1" t="s">
        <v>12226</v>
      </c>
      <c r="E197" s="1" t="str">
        <f>"6650"</f>
        <v>6650</v>
      </c>
      <c r="F197" s="1" t="s">
        <v>1576</v>
      </c>
      <c r="G197" s="1" t="s">
        <v>1577</v>
      </c>
      <c r="H197" s="1" t="s">
        <v>15</v>
      </c>
      <c r="I197" s="1" t="str">
        <f>"1"</f>
        <v>1</v>
      </c>
      <c r="J197" s="3" t="str">
        <f>"150"</f>
        <v>150</v>
      </c>
      <c r="K197" s="4">
        <v>46092</v>
      </c>
      <c r="L197" s="4">
        <v>46104</v>
      </c>
      <c r="M197" s="1" t="s">
        <v>11810</v>
      </c>
      <c r="N197" s="1" t="s">
        <v>12225</v>
      </c>
    </row>
    <row r="198" spans="1:14" s="1" customFormat="1" x14ac:dyDescent="0.35">
      <c r="A198" s="1" t="s">
        <v>11760</v>
      </c>
      <c r="B198" s="1" t="s">
        <v>1293</v>
      </c>
      <c r="C198" s="1" t="s">
        <v>12212</v>
      </c>
      <c r="D198" s="1" t="s">
        <v>12224</v>
      </c>
      <c r="E198" s="1" t="str">
        <f>"8415"</f>
        <v>8415</v>
      </c>
      <c r="F198" s="1" t="str">
        <f>"015771963"</f>
        <v>015771963</v>
      </c>
      <c r="G198" s="1" t="s">
        <v>1477</v>
      </c>
      <c r="H198" s="1" t="s">
        <v>15</v>
      </c>
      <c r="I198" s="1" t="str">
        <f>"1"</f>
        <v>1</v>
      </c>
      <c r="J198" s="3">
        <v>239.13</v>
      </c>
      <c r="K198" s="4">
        <v>46092</v>
      </c>
      <c r="L198" s="4">
        <v>46104</v>
      </c>
      <c r="M198" s="1" t="s">
        <v>11810</v>
      </c>
      <c r="N198" s="1" t="s">
        <v>12222</v>
      </c>
    </row>
    <row r="199" spans="1:14" s="1" customFormat="1" x14ac:dyDescent="0.35">
      <c r="A199" s="1" t="s">
        <v>11760</v>
      </c>
      <c r="B199" s="1" t="s">
        <v>1293</v>
      </c>
      <c r="C199" s="1" t="s">
        <v>12212</v>
      </c>
      <c r="D199" s="1" t="s">
        <v>12223</v>
      </c>
      <c r="E199" s="1" t="str">
        <f>"8415"</f>
        <v>8415</v>
      </c>
      <c r="F199" s="1" t="str">
        <f>"015386289"</f>
        <v>015386289</v>
      </c>
      <c r="G199" s="1" t="s">
        <v>2097</v>
      </c>
      <c r="H199" s="1" t="s">
        <v>15</v>
      </c>
      <c r="I199" s="1" t="str">
        <f>"1"</f>
        <v>1</v>
      </c>
      <c r="J199" s="3">
        <v>137.97999999999999</v>
      </c>
      <c r="K199" s="4">
        <v>46092</v>
      </c>
      <c r="L199" s="4">
        <v>46104</v>
      </c>
      <c r="M199" s="1" t="s">
        <v>11810</v>
      </c>
      <c r="N199" s="1" t="s">
        <v>12222</v>
      </c>
    </row>
    <row r="200" spans="1:14" s="1" customFormat="1" x14ac:dyDescent="0.35">
      <c r="A200" s="1" t="s">
        <v>11760</v>
      </c>
      <c r="B200" s="1" t="s">
        <v>1293</v>
      </c>
      <c r="C200" s="1" t="s">
        <v>12212</v>
      </c>
      <c r="D200" s="1" t="s">
        <v>12221</v>
      </c>
      <c r="E200" s="1" t="str">
        <f>"8465"</f>
        <v>8465</v>
      </c>
      <c r="F200" s="1" t="str">
        <f>"014456274"</f>
        <v>014456274</v>
      </c>
      <c r="G200" s="1" t="s">
        <v>3536</v>
      </c>
      <c r="H200" s="1" t="s">
        <v>15</v>
      </c>
      <c r="I200" s="1" t="str">
        <f>"1"</f>
        <v>1</v>
      </c>
      <c r="J200" s="3">
        <v>255.6</v>
      </c>
      <c r="K200" s="4">
        <v>46092</v>
      </c>
      <c r="L200" s="4">
        <v>46104</v>
      </c>
      <c r="M200" s="1" t="s">
        <v>11810</v>
      </c>
      <c r="N200" s="1" t="s">
        <v>12219</v>
      </c>
    </row>
    <row r="201" spans="1:14" s="1" customFormat="1" x14ac:dyDescent="0.35">
      <c r="A201" s="1" t="s">
        <v>11760</v>
      </c>
      <c r="B201" s="1" t="s">
        <v>1293</v>
      </c>
      <c r="C201" s="1" t="s">
        <v>12212</v>
      </c>
      <c r="D201" s="1" t="s">
        <v>12220</v>
      </c>
      <c r="E201" s="1" t="str">
        <f>"8465"</f>
        <v>8465</v>
      </c>
      <c r="F201" s="1" t="str">
        <f>"014456274"</f>
        <v>014456274</v>
      </c>
      <c r="G201" s="1" t="s">
        <v>3536</v>
      </c>
      <c r="H201" s="1" t="s">
        <v>15</v>
      </c>
      <c r="I201" s="1" t="str">
        <f>"1"</f>
        <v>1</v>
      </c>
      <c r="J201" s="3">
        <v>255.6</v>
      </c>
      <c r="K201" s="4">
        <v>46092</v>
      </c>
      <c r="L201" s="4">
        <v>46104</v>
      </c>
      <c r="M201" s="1" t="s">
        <v>11810</v>
      </c>
      <c r="N201" s="1" t="s">
        <v>12219</v>
      </c>
    </row>
    <row r="202" spans="1:14" s="1" customFormat="1" x14ac:dyDescent="0.35">
      <c r="A202" s="1" t="s">
        <v>11760</v>
      </c>
      <c r="B202" s="1" t="s">
        <v>1293</v>
      </c>
      <c r="C202" s="1" t="s">
        <v>12212</v>
      </c>
      <c r="D202" s="1" t="s">
        <v>12218</v>
      </c>
      <c r="E202" s="1" t="str">
        <f>"8415"</f>
        <v>8415</v>
      </c>
      <c r="F202" s="1" t="str">
        <f>"015802782"</f>
        <v>015802782</v>
      </c>
      <c r="G202" s="1" t="s">
        <v>18</v>
      </c>
      <c r="H202" s="1" t="s">
        <v>15</v>
      </c>
      <c r="I202" s="1" t="str">
        <f>"2"</f>
        <v>2</v>
      </c>
      <c r="J202" s="3">
        <v>146.81</v>
      </c>
      <c r="K202" s="4">
        <v>46092</v>
      </c>
      <c r="L202" s="4">
        <v>46104</v>
      </c>
      <c r="M202" s="1" t="s">
        <v>11810</v>
      </c>
      <c r="N202" s="1" t="s">
        <v>12216</v>
      </c>
    </row>
    <row r="203" spans="1:14" s="1" customFormat="1" x14ac:dyDescent="0.35">
      <c r="A203" s="1" t="s">
        <v>11760</v>
      </c>
      <c r="B203" s="1" t="s">
        <v>1293</v>
      </c>
      <c r="C203" s="1" t="s">
        <v>12212</v>
      </c>
      <c r="D203" s="1" t="s">
        <v>12217</v>
      </c>
      <c r="E203" s="1" t="str">
        <f>"8415"</f>
        <v>8415</v>
      </c>
      <c r="F203" s="1" t="str">
        <f>"015802788"</f>
        <v>015802788</v>
      </c>
      <c r="G203" s="1" t="s">
        <v>18</v>
      </c>
      <c r="H203" s="1" t="s">
        <v>15</v>
      </c>
      <c r="I203" s="1" t="str">
        <f>"1"</f>
        <v>1</v>
      </c>
      <c r="J203" s="3">
        <v>146.81</v>
      </c>
      <c r="K203" s="4">
        <v>46092</v>
      </c>
      <c r="L203" s="4">
        <v>46104</v>
      </c>
      <c r="M203" s="1" t="s">
        <v>11810</v>
      </c>
      <c r="N203" s="1" t="s">
        <v>12216</v>
      </c>
    </row>
    <row r="204" spans="1:14" s="1" customFormat="1" x14ac:dyDescent="0.35">
      <c r="A204" s="1" t="s">
        <v>11760</v>
      </c>
      <c r="B204" s="1" t="s">
        <v>1293</v>
      </c>
      <c r="C204" s="1" t="s">
        <v>12212</v>
      </c>
      <c r="D204" s="1" t="s">
        <v>12215</v>
      </c>
      <c r="E204" s="1" t="str">
        <f>"8415"</f>
        <v>8415</v>
      </c>
      <c r="F204" s="1" t="str">
        <f>"016418263"</f>
        <v>016418263</v>
      </c>
      <c r="G204" s="1" t="s">
        <v>12214</v>
      </c>
      <c r="H204" s="1" t="s">
        <v>15</v>
      </c>
      <c r="I204" s="1" t="str">
        <f>"13"</f>
        <v>13</v>
      </c>
      <c r="J204" s="3">
        <v>9.2200000000000006</v>
      </c>
      <c r="K204" s="4">
        <v>46092</v>
      </c>
      <c r="L204" s="4">
        <v>46104</v>
      </c>
      <c r="M204" s="1" t="s">
        <v>11810</v>
      </c>
      <c r="N204" s="1" t="s">
        <v>12213</v>
      </c>
    </row>
    <row r="205" spans="1:14" s="1" customFormat="1" x14ac:dyDescent="0.35">
      <c r="A205" s="1" t="s">
        <v>11760</v>
      </c>
      <c r="B205" s="1" t="s">
        <v>1293</v>
      </c>
      <c r="C205" s="1" t="s">
        <v>12212</v>
      </c>
      <c r="D205" s="1" t="s">
        <v>12211</v>
      </c>
      <c r="E205" s="1" t="str">
        <f>"8340"</f>
        <v>8340</v>
      </c>
      <c r="F205" s="1" t="str">
        <f>"016288855"</f>
        <v>016288855</v>
      </c>
      <c r="G205" s="1" t="s">
        <v>2955</v>
      </c>
      <c r="H205" s="1" t="s">
        <v>15</v>
      </c>
      <c r="I205" s="1" t="str">
        <f>"30"</f>
        <v>30</v>
      </c>
      <c r="J205" s="3">
        <v>396.38</v>
      </c>
      <c r="K205" s="4">
        <v>46092</v>
      </c>
      <c r="L205" s="4">
        <v>46104</v>
      </c>
      <c r="M205" s="1" t="s">
        <v>11810</v>
      </c>
      <c r="N205" s="1" t="s">
        <v>12210</v>
      </c>
    </row>
    <row r="206" spans="1:14" s="1" customFormat="1" x14ac:dyDescent="0.35">
      <c r="A206" s="1" t="s">
        <v>11760</v>
      </c>
      <c r="B206" s="1" t="s">
        <v>4247</v>
      </c>
      <c r="C206" s="1" t="s">
        <v>4251</v>
      </c>
      <c r="D206" s="1" t="s">
        <v>12209</v>
      </c>
      <c r="E206" s="1" t="str">
        <f>"1240"</f>
        <v>1240</v>
      </c>
      <c r="F206" s="1" t="str">
        <f>"014111265"</f>
        <v>014111265</v>
      </c>
      <c r="G206" s="1" t="s">
        <v>71</v>
      </c>
      <c r="H206" s="1" t="s">
        <v>15</v>
      </c>
      <c r="I206" s="1" t="str">
        <f>"7"</f>
        <v>7</v>
      </c>
      <c r="J206" s="3" t="str">
        <f>"339"</f>
        <v>339</v>
      </c>
      <c r="K206" s="4">
        <v>46043</v>
      </c>
      <c r="L206" s="4">
        <v>46045</v>
      </c>
      <c r="M206" s="1" t="s">
        <v>11825</v>
      </c>
      <c r="N206" s="1" t="s">
        <v>4253</v>
      </c>
    </row>
    <row r="207" spans="1:14" s="1" customFormat="1" x14ac:dyDescent="0.35">
      <c r="A207" s="1" t="s">
        <v>11760</v>
      </c>
      <c r="B207" s="1" t="s">
        <v>4247</v>
      </c>
      <c r="C207" s="1" t="s">
        <v>4251</v>
      </c>
      <c r="D207" s="1" t="s">
        <v>12208</v>
      </c>
      <c r="E207" s="1" t="str">
        <f>"1240"</f>
        <v>1240</v>
      </c>
      <c r="F207" s="1" t="str">
        <f>"014111265"</f>
        <v>014111265</v>
      </c>
      <c r="G207" s="1" t="s">
        <v>71</v>
      </c>
      <c r="H207" s="1" t="s">
        <v>15</v>
      </c>
      <c r="I207" s="1" t="str">
        <f>"2"</f>
        <v>2</v>
      </c>
      <c r="J207" s="3" t="str">
        <f>"339"</f>
        <v>339</v>
      </c>
      <c r="K207" s="4">
        <v>46043</v>
      </c>
      <c r="L207" s="4">
        <v>46045</v>
      </c>
      <c r="M207" s="1" t="s">
        <v>11825</v>
      </c>
      <c r="N207" s="1" t="s">
        <v>4253</v>
      </c>
    </row>
    <row r="208" spans="1:14" s="1" customFormat="1" x14ac:dyDescent="0.35">
      <c r="A208" s="1" t="s">
        <v>11760</v>
      </c>
      <c r="B208" s="1" t="s">
        <v>1453</v>
      </c>
      <c r="C208" s="1" t="s">
        <v>9302</v>
      </c>
      <c r="D208" s="1" t="s">
        <v>12207</v>
      </c>
      <c r="E208" s="1" t="str">
        <f>"6510"</f>
        <v>6510</v>
      </c>
      <c r="F208" s="1" t="str">
        <f>"015623325"</f>
        <v>015623325</v>
      </c>
      <c r="G208" s="1" t="s">
        <v>3719</v>
      </c>
      <c r="H208" s="1" t="s">
        <v>15</v>
      </c>
      <c r="I208" s="1" t="str">
        <f>"9"</f>
        <v>9</v>
      </c>
      <c r="J208" s="3">
        <v>45.32</v>
      </c>
      <c r="K208" s="4">
        <v>46005</v>
      </c>
      <c r="L208" s="4">
        <v>46027</v>
      </c>
      <c r="M208" s="1" t="s">
        <v>11789</v>
      </c>
      <c r="N208" s="1" t="s">
        <v>12206</v>
      </c>
    </row>
    <row r="209" spans="1:14" s="1" customFormat="1" x14ac:dyDescent="0.35">
      <c r="A209" s="1" t="s">
        <v>11760</v>
      </c>
      <c r="B209" s="1" t="s">
        <v>1453</v>
      </c>
      <c r="C209" s="1" t="s">
        <v>9302</v>
      </c>
      <c r="D209" s="1" t="s">
        <v>12205</v>
      </c>
      <c r="E209" s="1" t="str">
        <f>"6545"</f>
        <v>6545</v>
      </c>
      <c r="F209" s="1" t="str">
        <f>"015324962"</f>
        <v>015324962</v>
      </c>
      <c r="G209" s="1" t="s">
        <v>1849</v>
      </c>
      <c r="H209" s="1" t="s">
        <v>168</v>
      </c>
      <c r="I209" s="1" t="str">
        <f>"1"</f>
        <v>1</v>
      </c>
      <c r="J209" s="3">
        <v>1868.26</v>
      </c>
      <c r="K209" s="4">
        <v>46014</v>
      </c>
      <c r="L209" s="4">
        <v>46027</v>
      </c>
      <c r="M209" s="1" t="s">
        <v>11789</v>
      </c>
      <c r="N209" s="1" t="s">
        <v>9303</v>
      </c>
    </row>
    <row r="210" spans="1:14" s="1" customFormat="1" x14ac:dyDescent="0.35">
      <c r="A210" s="1" t="s">
        <v>11760</v>
      </c>
      <c r="B210" s="1" t="s">
        <v>1453</v>
      </c>
      <c r="C210" s="1" t="s">
        <v>9302</v>
      </c>
      <c r="D210" s="1" t="s">
        <v>12204</v>
      </c>
      <c r="E210" s="1" t="str">
        <f>"6515"</f>
        <v>6515</v>
      </c>
      <c r="F210" s="1" t="str">
        <f>"016613370"</f>
        <v>016613370</v>
      </c>
      <c r="G210" s="1" t="s">
        <v>12203</v>
      </c>
      <c r="H210" s="1" t="s">
        <v>15</v>
      </c>
      <c r="I210" s="1" t="str">
        <f>"3"</f>
        <v>3</v>
      </c>
      <c r="J210" s="3">
        <v>241.03</v>
      </c>
      <c r="K210" s="4">
        <v>46015</v>
      </c>
      <c r="L210" s="4">
        <v>46027</v>
      </c>
      <c r="M210" s="1" t="s">
        <v>11789</v>
      </c>
      <c r="N210" s="1" t="s">
        <v>12200</v>
      </c>
    </row>
    <row r="211" spans="1:14" s="1" customFormat="1" x14ac:dyDescent="0.35">
      <c r="A211" s="1" t="s">
        <v>11760</v>
      </c>
      <c r="B211" s="1" t="s">
        <v>1453</v>
      </c>
      <c r="C211" s="1" t="s">
        <v>9302</v>
      </c>
      <c r="D211" s="1" t="s">
        <v>12202</v>
      </c>
      <c r="E211" s="1" t="str">
        <f>"6515"</f>
        <v>6515</v>
      </c>
      <c r="F211" s="1" t="str">
        <f>"016827355"</f>
        <v>016827355</v>
      </c>
      <c r="G211" s="1" t="s">
        <v>12201</v>
      </c>
      <c r="H211" s="1" t="s">
        <v>15</v>
      </c>
      <c r="I211" s="1" t="str">
        <f>"2"</f>
        <v>2</v>
      </c>
      <c r="J211" s="3">
        <v>557.57000000000005</v>
      </c>
      <c r="K211" s="4">
        <v>46015</v>
      </c>
      <c r="L211" s="4">
        <v>46027</v>
      </c>
      <c r="M211" s="1" t="s">
        <v>11789</v>
      </c>
      <c r="N211" s="1" t="s">
        <v>12200</v>
      </c>
    </row>
    <row r="212" spans="1:14" s="1" customFormat="1" x14ac:dyDescent="0.35">
      <c r="A212" s="1" t="s">
        <v>11760</v>
      </c>
      <c r="B212" s="1" t="s">
        <v>1453</v>
      </c>
      <c r="C212" s="1" t="s">
        <v>9302</v>
      </c>
      <c r="D212" s="1" t="s">
        <v>12199</v>
      </c>
      <c r="E212" s="1" t="str">
        <f>"6515"</f>
        <v>6515</v>
      </c>
      <c r="F212" s="1" t="str">
        <f>"016163470"</f>
        <v>016163470</v>
      </c>
      <c r="G212" s="1" t="s">
        <v>12198</v>
      </c>
      <c r="H212" s="1" t="s">
        <v>15</v>
      </c>
      <c r="I212" s="1" t="str">
        <f>"1"</f>
        <v>1</v>
      </c>
      <c r="J212" s="3">
        <v>962.2</v>
      </c>
      <c r="K212" s="4">
        <v>46048</v>
      </c>
      <c r="L212" s="4">
        <v>46052</v>
      </c>
      <c r="M212" s="1" t="s">
        <v>11915</v>
      </c>
      <c r="N212" s="1" t="s">
        <v>9303</v>
      </c>
    </row>
    <row r="213" spans="1:14" s="1" customFormat="1" x14ac:dyDescent="0.35">
      <c r="A213" s="1" t="s">
        <v>11760</v>
      </c>
      <c r="B213" s="1" t="s">
        <v>1453</v>
      </c>
      <c r="C213" s="1" t="s">
        <v>9302</v>
      </c>
      <c r="D213" s="1" t="s">
        <v>12197</v>
      </c>
      <c r="E213" s="1" t="str">
        <f>"6545"</f>
        <v>6545</v>
      </c>
      <c r="F213" s="1" t="str">
        <f>"016092699"</f>
        <v>016092699</v>
      </c>
      <c r="G213" s="1" t="s">
        <v>1350</v>
      </c>
      <c r="H213" s="1" t="s">
        <v>257</v>
      </c>
      <c r="I213" s="1" t="str">
        <f>"1"</f>
        <v>1</v>
      </c>
      <c r="J213" s="3">
        <v>8495.23</v>
      </c>
      <c r="K213" s="4">
        <v>46068</v>
      </c>
      <c r="L213" s="4">
        <v>46072</v>
      </c>
      <c r="M213" s="1" t="s">
        <v>11941</v>
      </c>
      <c r="N213" s="1" t="s">
        <v>9303</v>
      </c>
    </row>
    <row r="214" spans="1:14" s="1" customFormat="1" x14ac:dyDescent="0.35">
      <c r="A214" s="1" t="s">
        <v>11760</v>
      </c>
      <c r="B214" s="1" t="s">
        <v>2368</v>
      </c>
      <c r="C214" s="1" t="s">
        <v>9285</v>
      </c>
      <c r="D214" s="1" t="s">
        <v>12196</v>
      </c>
      <c r="E214" s="1" t="str">
        <f>"3805"</f>
        <v>3805</v>
      </c>
      <c r="F214" s="1" t="s">
        <v>1020</v>
      </c>
      <c r="G214" s="1" t="s">
        <v>1021</v>
      </c>
      <c r="H214" s="1" t="s">
        <v>15</v>
      </c>
      <c r="I214" s="1" t="str">
        <f>"1"</f>
        <v>1</v>
      </c>
      <c r="J214" s="3">
        <v>102143.01</v>
      </c>
      <c r="K214" s="4">
        <v>46103</v>
      </c>
      <c r="L214" s="4">
        <v>46104</v>
      </c>
      <c r="M214" s="1" t="s">
        <v>11758</v>
      </c>
      <c r="N214" s="1" t="s">
        <v>12195</v>
      </c>
    </row>
    <row r="215" spans="1:14" s="1" customFormat="1" x14ac:dyDescent="0.35">
      <c r="A215" s="1" t="s">
        <v>11760</v>
      </c>
      <c r="B215" s="1" t="s">
        <v>2368</v>
      </c>
      <c r="C215" s="1" t="s">
        <v>9285</v>
      </c>
      <c r="D215" s="1" t="s">
        <v>12194</v>
      </c>
      <c r="E215" s="1" t="str">
        <f>"2420"</f>
        <v>2420</v>
      </c>
      <c r="F215" s="1" t="s">
        <v>110</v>
      </c>
      <c r="G215" s="1" t="s">
        <v>111</v>
      </c>
      <c r="H215" s="1" t="s">
        <v>15</v>
      </c>
      <c r="I215" s="1" t="str">
        <f>"1"</f>
        <v>1</v>
      </c>
      <c r="J215" s="3" t="str">
        <f>"15000"</f>
        <v>15000</v>
      </c>
      <c r="K215" s="4">
        <v>46103</v>
      </c>
      <c r="L215" s="4">
        <v>46104</v>
      </c>
      <c r="M215" s="1" t="s">
        <v>12193</v>
      </c>
      <c r="N215" s="1" t="s">
        <v>12192</v>
      </c>
    </row>
    <row r="216" spans="1:14" s="1" customFormat="1" x14ac:dyDescent="0.35">
      <c r="A216" s="1" t="s">
        <v>11760</v>
      </c>
      <c r="B216" s="1" t="s">
        <v>2368</v>
      </c>
      <c r="C216" s="1" t="s">
        <v>2465</v>
      </c>
      <c r="D216" s="1" t="s">
        <v>12191</v>
      </c>
      <c r="E216" s="1" t="str">
        <f>"6115"</f>
        <v>6115</v>
      </c>
      <c r="F216" s="1" t="str">
        <f>"012853012"</f>
        <v>012853012</v>
      </c>
      <c r="G216" s="1" t="s">
        <v>383</v>
      </c>
      <c r="H216" s="1" t="s">
        <v>15</v>
      </c>
      <c r="I216" s="1" t="str">
        <f>"1"</f>
        <v>1</v>
      </c>
      <c r="J216" s="3" t="str">
        <f>"44258"</f>
        <v>44258</v>
      </c>
      <c r="K216" s="4">
        <v>46056</v>
      </c>
      <c r="L216" s="4">
        <v>46057</v>
      </c>
      <c r="M216" s="1" t="s">
        <v>11828</v>
      </c>
      <c r="N216" s="1" t="s">
        <v>12188</v>
      </c>
    </row>
    <row r="217" spans="1:14" s="1" customFormat="1" x14ac:dyDescent="0.35">
      <c r="A217" s="1" t="s">
        <v>11760</v>
      </c>
      <c r="B217" s="1" t="s">
        <v>2368</v>
      </c>
      <c r="C217" s="1" t="s">
        <v>2465</v>
      </c>
      <c r="D217" s="1" t="s">
        <v>12190</v>
      </c>
      <c r="E217" s="1" t="str">
        <f>"6115"</f>
        <v>6115</v>
      </c>
      <c r="F217" s="1" t="str">
        <f>"012747387"</f>
        <v>012747387</v>
      </c>
      <c r="G217" s="1" t="s">
        <v>383</v>
      </c>
      <c r="H217" s="1" t="s">
        <v>15</v>
      </c>
      <c r="I217" s="1" t="str">
        <f>"1"</f>
        <v>1</v>
      </c>
      <c r="J217" s="3">
        <v>12797.7</v>
      </c>
      <c r="K217" s="4">
        <v>46056</v>
      </c>
      <c r="L217" s="4">
        <v>46057</v>
      </c>
      <c r="M217" s="1" t="s">
        <v>12189</v>
      </c>
      <c r="N217" s="1" t="s">
        <v>12188</v>
      </c>
    </row>
    <row r="218" spans="1:14" s="1" customFormat="1" x14ac:dyDescent="0.35">
      <c r="A218" s="1" t="s">
        <v>11760</v>
      </c>
      <c r="B218" s="1" t="s">
        <v>2368</v>
      </c>
      <c r="C218" s="1" t="s">
        <v>2465</v>
      </c>
      <c r="D218" s="1" t="s">
        <v>12187</v>
      </c>
      <c r="E218" s="1" t="str">
        <f>"5180"</f>
        <v>5180</v>
      </c>
      <c r="F218" s="1" t="str">
        <f>"002932873"</f>
        <v>002932873</v>
      </c>
      <c r="G218" s="1" t="s">
        <v>266</v>
      </c>
      <c r="H218" s="1" t="s">
        <v>168</v>
      </c>
      <c r="I218" s="1" t="str">
        <f>"1"</f>
        <v>1</v>
      </c>
      <c r="J218" s="3" t="str">
        <f>"1452"</f>
        <v>1452</v>
      </c>
      <c r="K218" s="4">
        <v>46059</v>
      </c>
      <c r="L218" s="4">
        <v>46062</v>
      </c>
      <c r="N218" s="1" t="s">
        <v>9259</v>
      </c>
    </row>
    <row r="219" spans="1:14" s="1" customFormat="1" x14ac:dyDescent="0.35">
      <c r="A219" s="1" t="s">
        <v>11760</v>
      </c>
      <c r="B219" s="1" t="s">
        <v>1303</v>
      </c>
      <c r="C219" s="1" t="s">
        <v>1335</v>
      </c>
      <c r="D219" s="1" t="s">
        <v>12186</v>
      </c>
      <c r="E219" s="1" t="str">
        <f>"6515"</f>
        <v>6515</v>
      </c>
      <c r="F219" s="1" t="str">
        <f>"014615798"</f>
        <v>014615798</v>
      </c>
      <c r="G219" s="1" t="s">
        <v>12185</v>
      </c>
      <c r="H219" s="1" t="s">
        <v>15</v>
      </c>
      <c r="I219" s="1" t="str">
        <f>"273"</f>
        <v>273</v>
      </c>
      <c r="J219" s="3">
        <v>0.48</v>
      </c>
      <c r="K219" s="4">
        <v>46024</v>
      </c>
      <c r="L219" s="4">
        <v>46027</v>
      </c>
      <c r="M219" s="1" t="s">
        <v>11789</v>
      </c>
      <c r="N219" s="1" t="s">
        <v>12184</v>
      </c>
    </row>
    <row r="220" spans="1:14" s="1" customFormat="1" x14ac:dyDescent="0.35">
      <c r="A220" s="1" t="s">
        <v>11760</v>
      </c>
      <c r="B220" s="1" t="s">
        <v>1303</v>
      </c>
      <c r="C220" s="1" t="s">
        <v>1338</v>
      </c>
      <c r="D220" s="1" t="s">
        <v>12183</v>
      </c>
      <c r="E220" s="1" t="str">
        <f>"5855"</f>
        <v>5855</v>
      </c>
      <c r="F220" s="1" t="str">
        <f>"015751268"</f>
        <v>015751268</v>
      </c>
      <c r="G220" s="1" t="s">
        <v>7415</v>
      </c>
      <c r="H220" s="1" t="s">
        <v>15</v>
      </c>
      <c r="I220" s="1" t="str">
        <f>"2"</f>
        <v>2</v>
      </c>
      <c r="J220" s="3" t="str">
        <f>"37281"</f>
        <v>37281</v>
      </c>
      <c r="K220" s="4">
        <v>46041</v>
      </c>
      <c r="L220" s="4">
        <v>46042</v>
      </c>
      <c r="M220" s="1" t="s">
        <v>11771</v>
      </c>
      <c r="N220" s="1" t="s">
        <v>12182</v>
      </c>
    </row>
    <row r="221" spans="1:14" s="1" customFormat="1" x14ac:dyDescent="0.35">
      <c r="A221" s="1" t="s">
        <v>11760</v>
      </c>
      <c r="B221" s="1" t="s">
        <v>1516</v>
      </c>
      <c r="C221" s="1" t="s">
        <v>9054</v>
      </c>
      <c r="D221" s="1" t="s">
        <v>12181</v>
      </c>
      <c r="E221" s="1" t="str">
        <f>"5855"</f>
        <v>5855</v>
      </c>
      <c r="F221" s="1" t="str">
        <f>"016108704"</f>
        <v>016108704</v>
      </c>
      <c r="G221" s="1" t="s">
        <v>3314</v>
      </c>
      <c r="H221" s="1" t="s">
        <v>15</v>
      </c>
      <c r="I221" s="1" t="str">
        <f>"15"</f>
        <v>15</v>
      </c>
      <c r="J221" s="3" t="str">
        <f>"183"</f>
        <v>183</v>
      </c>
      <c r="K221" s="4">
        <v>46057</v>
      </c>
      <c r="L221" s="4">
        <v>46058</v>
      </c>
      <c r="M221" s="1" t="s">
        <v>12180</v>
      </c>
      <c r="N221" s="1" t="s">
        <v>12179</v>
      </c>
    </row>
    <row r="222" spans="1:14" s="1" customFormat="1" x14ac:dyDescent="0.35">
      <c r="A222" s="1" t="s">
        <v>11760</v>
      </c>
      <c r="B222" s="1" t="s">
        <v>3356</v>
      </c>
      <c r="C222" s="1" t="s">
        <v>9047</v>
      </c>
      <c r="D222" s="1" t="s">
        <v>12178</v>
      </c>
      <c r="E222" s="1" t="str">
        <f>"2420"</f>
        <v>2420</v>
      </c>
      <c r="F222" s="1" t="str">
        <f>"010630254"</f>
        <v>010630254</v>
      </c>
      <c r="G222" s="1" t="s">
        <v>183</v>
      </c>
      <c r="H222" s="1" t="s">
        <v>15</v>
      </c>
      <c r="I222" s="1" t="str">
        <f>"1"</f>
        <v>1</v>
      </c>
      <c r="J222" s="3" t="str">
        <f>"140000"</f>
        <v>140000</v>
      </c>
      <c r="K222" s="4">
        <v>46111</v>
      </c>
      <c r="L222" s="4">
        <v>46111</v>
      </c>
      <c r="M222" s="1" t="s">
        <v>12177</v>
      </c>
      <c r="N222" s="1" t="s">
        <v>12176</v>
      </c>
    </row>
    <row r="223" spans="1:14" s="1" customFormat="1" x14ac:dyDescent="0.35">
      <c r="A223" s="1" t="s">
        <v>11760</v>
      </c>
      <c r="B223" s="1" t="s">
        <v>692</v>
      </c>
      <c r="C223" s="1" t="s">
        <v>8960</v>
      </c>
      <c r="D223" s="1" t="s">
        <v>12175</v>
      </c>
      <c r="E223" s="1" t="str">
        <f>"6115"</f>
        <v>6115</v>
      </c>
      <c r="F223" s="1" t="str">
        <f>"012755061"</f>
        <v>012755061</v>
      </c>
      <c r="G223" s="1" t="s">
        <v>383</v>
      </c>
      <c r="H223" s="1" t="s">
        <v>15</v>
      </c>
      <c r="I223" s="1" t="str">
        <f>"1"</f>
        <v>1</v>
      </c>
      <c r="J223" s="3" t="str">
        <f>"10700"</f>
        <v>10700</v>
      </c>
      <c r="K223" s="4">
        <v>46077</v>
      </c>
      <c r="L223" s="4">
        <v>46083</v>
      </c>
      <c r="M223" s="1" t="s">
        <v>11789</v>
      </c>
      <c r="N223" s="1" t="s">
        <v>12174</v>
      </c>
    </row>
    <row r="224" spans="1:14" s="1" customFormat="1" x14ac:dyDescent="0.35">
      <c r="A224" s="1" t="s">
        <v>11760</v>
      </c>
      <c r="B224" s="1" t="s">
        <v>692</v>
      </c>
      <c r="C224" s="1" t="s">
        <v>8960</v>
      </c>
      <c r="D224" s="1" t="s">
        <v>12173</v>
      </c>
      <c r="E224" s="1" t="str">
        <f>"1095"</f>
        <v>1095</v>
      </c>
      <c r="F224" s="1" t="str">
        <f>"015652809"</f>
        <v>015652809</v>
      </c>
      <c r="G224" s="1" t="s">
        <v>1102</v>
      </c>
      <c r="H224" s="1" t="s">
        <v>15</v>
      </c>
      <c r="I224" s="1" t="str">
        <f>"1"</f>
        <v>1</v>
      </c>
      <c r="J224" s="3">
        <v>971.5</v>
      </c>
      <c r="K224" s="4">
        <v>46079</v>
      </c>
      <c r="L224" s="4">
        <v>46083</v>
      </c>
      <c r="M224" s="1" t="s">
        <v>11797</v>
      </c>
      <c r="N224" s="1" t="s">
        <v>9675</v>
      </c>
    </row>
    <row r="225" spans="1:14" s="1" customFormat="1" x14ac:dyDescent="0.35">
      <c r="A225" s="1" t="s">
        <v>11760</v>
      </c>
      <c r="B225" s="1" t="s">
        <v>1975</v>
      </c>
      <c r="C225" s="1" t="s">
        <v>1976</v>
      </c>
      <c r="D225" s="1" t="s">
        <v>12172</v>
      </c>
      <c r="E225" s="1" t="str">
        <f>"1240"</f>
        <v>1240</v>
      </c>
      <c r="F225" s="1" t="str">
        <f>"016813209"</f>
        <v>016813209</v>
      </c>
      <c r="G225" s="1" t="s">
        <v>6044</v>
      </c>
      <c r="H225" s="1" t="s">
        <v>15</v>
      </c>
      <c r="I225" s="1" t="str">
        <f>"10"</f>
        <v>10</v>
      </c>
      <c r="J225" s="3" t="str">
        <f>"3269"</f>
        <v>3269</v>
      </c>
      <c r="K225" s="4">
        <v>46082</v>
      </c>
      <c r="L225" s="4">
        <v>46083</v>
      </c>
      <c r="M225" s="1" t="s">
        <v>11771</v>
      </c>
      <c r="N225" s="1" t="s">
        <v>12171</v>
      </c>
    </row>
    <row r="226" spans="1:14" s="1" customFormat="1" x14ac:dyDescent="0.35">
      <c r="A226" s="1" t="s">
        <v>11760</v>
      </c>
      <c r="B226" s="1" t="s">
        <v>1975</v>
      </c>
      <c r="C226" s="1" t="s">
        <v>1976</v>
      </c>
      <c r="D226" s="1" t="s">
        <v>12170</v>
      </c>
      <c r="E226" s="1" t="str">
        <f>"5855"</f>
        <v>5855</v>
      </c>
      <c r="F226" s="1" t="str">
        <f>"015330940"</f>
        <v>015330940</v>
      </c>
      <c r="G226" s="1" t="s">
        <v>1188</v>
      </c>
      <c r="H226" s="1" t="s">
        <v>15</v>
      </c>
      <c r="I226" s="1" t="str">
        <f>"3"</f>
        <v>3</v>
      </c>
      <c r="J226" s="3" t="str">
        <f>"5000"</f>
        <v>5000</v>
      </c>
      <c r="K226" s="4">
        <v>46082</v>
      </c>
      <c r="L226" s="4">
        <v>46083</v>
      </c>
      <c r="M226" s="1" t="s">
        <v>11771</v>
      </c>
      <c r="N226" s="1" t="s">
        <v>12169</v>
      </c>
    </row>
    <row r="227" spans="1:14" s="1" customFormat="1" x14ac:dyDescent="0.35">
      <c r="A227" s="1" t="s">
        <v>11760</v>
      </c>
      <c r="B227" s="1" t="s">
        <v>1516</v>
      </c>
      <c r="C227" s="1" t="s">
        <v>1520</v>
      </c>
      <c r="D227" s="1" t="s">
        <v>12168</v>
      </c>
      <c r="E227" s="1" t="str">
        <f>"3805"</f>
        <v>3805</v>
      </c>
      <c r="F227" s="1" t="s">
        <v>1020</v>
      </c>
      <c r="G227" s="1" t="s">
        <v>1021</v>
      </c>
      <c r="H227" s="1" t="s">
        <v>15</v>
      </c>
      <c r="I227" s="1" t="str">
        <f>"1"</f>
        <v>1</v>
      </c>
      <c r="J227" s="3" t="str">
        <f>"75000"</f>
        <v>75000</v>
      </c>
      <c r="K227" s="4">
        <v>46063</v>
      </c>
      <c r="L227" s="4">
        <v>46064</v>
      </c>
      <c r="M227" s="1" t="s">
        <v>12167</v>
      </c>
      <c r="N227" s="1" t="s">
        <v>12166</v>
      </c>
    </row>
    <row r="228" spans="1:14" s="1" customFormat="1" x14ac:dyDescent="0.35">
      <c r="A228" s="1" t="s">
        <v>11760</v>
      </c>
      <c r="B228" s="1" t="s">
        <v>1516</v>
      </c>
      <c r="C228" s="1" t="s">
        <v>1520</v>
      </c>
      <c r="D228" s="1" t="s">
        <v>12165</v>
      </c>
      <c r="E228" s="1" t="str">
        <f>"5180"</f>
        <v>5180</v>
      </c>
      <c r="F228" s="1" t="str">
        <f>"015595981"</f>
        <v>015595981</v>
      </c>
      <c r="G228" s="1" t="s">
        <v>2584</v>
      </c>
      <c r="H228" s="1" t="s">
        <v>168</v>
      </c>
      <c r="I228" s="1" t="str">
        <f>"2"</f>
        <v>2</v>
      </c>
      <c r="J228" s="3" t="str">
        <f>"1774"</f>
        <v>1774</v>
      </c>
      <c r="K228" s="4">
        <v>46071</v>
      </c>
      <c r="L228" s="4">
        <v>46072</v>
      </c>
      <c r="M228" s="1" t="s">
        <v>11789</v>
      </c>
      <c r="N228" s="1" t="s">
        <v>12164</v>
      </c>
    </row>
    <row r="229" spans="1:14" s="1" customFormat="1" x14ac:dyDescent="0.35">
      <c r="A229" s="1" t="s">
        <v>11760</v>
      </c>
      <c r="B229" s="1" t="s">
        <v>1516</v>
      </c>
      <c r="C229" s="1" t="s">
        <v>1520</v>
      </c>
      <c r="D229" s="1" t="s">
        <v>12163</v>
      </c>
      <c r="E229" s="1" t="str">
        <f>"5180"</f>
        <v>5180</v>
      </c>
      <c r="F229" s="1" t="str">
        <f>"014993546"</f>
        <v>014993546</v>
      </c>
      <c r="G229" s="1" t="s">
        <v>2134</v>
      </c>
      <c r="H229" s="1" t="s">
        <v>168</v>
      </c>
      <c r="I229" s="1" t="str">
        <f>"2"</f>
        <v>2</v>
      </c>
      <c r="J229" s="3" t="str">
        <f>"4918"</f>
        <v>4918</v>
      </c>
      <c r="K229" s="4">
        <v>46071</v>
      </c>
      <c r="L229" s="4">
        <v>46072</v>
      </c>
      <c r="M229" s="1" t="s">
        <v>12162</v>
      </c>
      <c r="N229" s="1" t="s">
        <v>12161</v>
      </c>
    </row>
    <row r="230" spans="1:14" s="1" customFormat="1" x14ac:dyDescent="0.35">
      <c r="A230" s="1" t="s">
        <v>11760</v>
      </c>
      <c r="B230" s="1" t="s">
        <v>1516</v>
      </c>
      <c r="C230" s="1" t="s">
        <v>1520</v>
      </c>
      <c r="D230" s="1" t="s">
        <v>12160</v>
      </c>
      <c r="E230" s="1" t="str">
        <f>"1005"</f>
        <v>1005</v>
      </c>
      <c r="F230" s="1" t="str">
        <f>"015344361"</f>
        <v>015344361</v>
      </c>
      <c r="G230" s="1" t="s">
        <v>8331</v>
      </c>
      <c r="H230" s="1" t="s">
        <v>15</v>
      </c>
      <c r="I230" s="1" t="str">
        <f>"50"</f>
        <v>50</v>
      </c>
      <c r="J230" s="3" t="str">
        <f>"37"</f>
        <v>37</v>
      </c>
      <c r="K230" s="4">
        <v>46093</v>
      </c>
      <c r="L230" s="4">
        <v>46093</v>
      </c>
      <c r="M230" s="1" t="s">
        <v>11789</v>
      </c>
      <c r="N230" s="1" t="s">
        <v>12159</v>
      </c>
    </row>
    <row r="231" spans="1:14" s="1" customFormat="1" x14ac:dyDescent="0.35">
      <c r="A231" s="1" t="s">
        <v>11760</v>
      </c>
      <c r="B231" s="1" t="s">
        <v>1516</v>
      </c>
      <c r="C231" s="1" t="s">
        <v>1520</v>
      </c>
      <c r="D231" s="1" t="s">
        <v>12158</v>
      </c>
      <c r="E231" s="1" t="str">
        <f>"5855"</f>
        <v>5855</v>
      </c>
      <c r="F231" s="1" t="str">
        <f>"015485687"</f>
        <v>015485687</v>
      </c>
      <c r="G231" s="1" t="s">
        <v>798</v>
      </c>
      <c r="H231" s="1" t="s">
        <v>15</v>
      </c>
      <c r="I231" s="1" t="str">
        <f>"10"</f>
        <v>10</v>
      </c>
      <c r="J231" s="3" t="str">
        <f>"10402"</f>
        <v>10402</v>
      </c>
      <c r="K231" s="4">
        <v>46083</v>
      </c>
      <c r="L231" s="4">
        <v>46083</v>
      </c>
      <c r="M231" s="1" t="s">
        <v>11771</v>
      </c>
      <c r="N231" s="1" t="s">
        <v>12157</v>
      </c>
    </row>
    <row r="232" spans="1:14" s="1" customFormat="1" x14ac:dyDescent="0.35">
      <c r="A232" s="1" t="s">
        <v>11760</v>
      </c>
      <c r="B232" s="1" t="s">
        <v>1516</v>
      </c>
      <c r="C232" s="1" t="s">
        <v>1520</v>
      </c>
      <c r="D232" s="1" t="s">
        <v>12156</v>
      </c>
      <c r="E232" s="1" t="str">
        <f>"5855"</f>
        <v>5855</v>
      </c>
      <c r="F232" s="1" t="str">
        <f>"015485687"</f>
        <v>015485687</v>
      </c>
      <c r="G232" s="1" t="s">
        <v>798</v>
      </c>
      <c r="H232" s="1" t="s">
        <v>15</v>
      </c>
      <c r="I232" s="1" t="str">
        <f>"10"</f>
        <v>10</v>
      </c>
      <c r="J232" s="3" t="str">
        <f>"10402"</f>
        <v>10402</v>
      </c>
      <c r="K232" s="4">
        <v>46083</v>
      </c>
      <c r="L232" s="4">
        <v>46083</v>
      </c>
      <c r="M232" s="1" t="s">
        <v>11902</v>
      </c>
      <c r="N232" s="1" t="s">
        <v>12155</v>
      </c>
    </row>
    <row r="233" spans="1:14" s="1" customFormat="1" x14ac:dyDescent="0.35">
      <c r="A233" s="1" t="s">
        <v>11760</v>
      </c>
      <c r="B233" s="1" t="s">
        <v>1516</v>
      </c>
      <c r="C233" s="1" t="s">
        <v>1520</v>
      </c>
      <c r="D233" s="1" t="s">
        <v>12154</v>
      </c>
      <c r="E233" s="1" t="str">
        <f>"5855"</f>
        <v>5855</v>
      </c>
      <c r="F233" s="1" t="str">
        <f>"015909103"</f>
        <v>015909103</v>
      </c>
      <c r="G233" s="1" t="s">
        <v>810</v>
      </c>
      <c r="H233" s="1" t="s">
        <v>15</v>
      </c>
      <c r="I233" s="1" t="str">
        <f>"2"</f>
        <v>2</v>
      </c>
      <c r="J233" s="3" t="str">
        <f>"10793"</f>
        <v>10793</v>
      </c>
      <c r="K233" s="4">
        <v>46091</v>
      </c>
      <c r="L233" s="4">
        <v>46091</v>
      </c>
      <c r="M233" s="1" t="s">
        <v>11771</v>
      </c>
      <c r="N233" s="1" t="s">
        <v>12153</v>
      </c>
    </row>
    <row r="234" spans="1:14" s="1" customFormat="1" x14ac:dyDescent="0.35">
      <c r="A234" s="1" t="s">
        <v>11760</v>
      </c>
      <c r="B234" s="1" t="s">
        <v>1516</v>
      </c>
      <c r="C234" s="1" t="s">
        <v>1520</v>
      </c>
      <c r="D234" s="1" t="s">
        <v>12152</v>
      </c>
      <c r="E234" s="1" t="str">
        <f>"8105"</f>
        <v>8105</v>
      </c>
      <c r="F234" s="1" t="s">
        <v>12151</v>
      </c>
      <c r="G234" s="1" t="s">
        <v>12150</v>
      </c>
      <c r="H234" s="1" t="s">
        <v>15</v>
      </c>
      <c r="I234" s="1" t="str">
        <f>"28"</f>
        <v>28</v>
      </c>
      <c r="J234" s="3" t="str">
        <f>"75"</f>
        <v>75</v>
      </c>
      <c r="K234" s="4">
        <v>46100</v>
      </c>
      <c r="L234" s="4">
        <v>46104</v>
      </c>
      <c r="M234" s="1" t="s">
        <v>11810</v>
      </c>
      <c r="N234" s="1" t="s">
        <v>12149</v>
      </c>
    </row>
    <row r="235" spans="1:14" s="1" customFormat="1" x14ac:dyDescent="0.35">
      <c r="A235" s="1" t="s">
        <v>11760</v>
      </c>
      <c r="B235" s="1" t="s">
        <v>1516</v>
      </c>
      <c r="C235" s="1" t="s">
        <v>1520</v>
      </c>
      <c r="D235" s="1" t="s">
        <v>12148</v>
      </c>
      <c r="E235" s="1" t="str">
        <f>"2310"</f>
        <v>2310</v>
      </c>
      <c r="F235" s="1" t="s">
        <v>4332</v>
      </c>
      <c r="G235" s="1" t="s">
        <v>4333</v>
      </c>
      <c r="H235" s="1" t="s">
        <v>15</v>
      </c>
      <c r="I235" s="1" t="str">
        <f>"1"</f>
        <v>1</v>
      </c>
      <c r="J235" s="3" t="str">
        <f>"38900"</f>
        <v>38900</v>
      </c>
      <c r="K235" s="4">
        <v>46103</v>
      </c>
      <c r="L235" s="4">
        <v>46104</v>
      </c>
      <c r="N235" s="1" t="s">
        <v>12146</v>
      </c>
    </row>
    <row r="236" spans="1:14" s="1" customFormat="1" x14ac:dyDescent="0.35">
      <c r="A236" s="1" t="s">
        <v>11760</v>
      </c>
      <c r="B236" s="1" t="s">
        <v>1516</v>
      </c>
      <c r="C236" s="1" t="s">
        <v>1520</v>
      </c>
      <c r="D236" s="1" t="s">
        <v>12147</v>
      </c>
      <c r="E236" s="1" t="str">
        <f>"2310"</f>
        <v>2310</v>
      </c>
      <c r="F236" s="1" t="s">
        <v>4332</v>
      </c>
      <c r="G236" s="1" t="s">
        <v>4333</v>
      </c>
      <c r="H236" s="1" t="s">
        <v>15</v>
      </c>
      <c r="I236" s="1" t="str">
        <f>"1"</f>
        <v>1</v>
      </c>
      <c r="J236" s="3" t="str">
        <f>"24000"</f>
        <v>24000</v>
      </c>
      <c r="K236" s="4">
        <v>46103</v>
      </c>
      <c r="L236" s="4">
        <v>46104</v>
      </c>
      <c r="M236" s="1" t="s">
        <v>11758</v>
      </c>
      <c r="N236" s="1" t="s">
        <v>12146</v>
      </c>
    </row>
    <row r="237" spans="1:14" s="1" customFormat="1" x14ac:dyDescent="0.35">
      <c r="A237" s="1" t="s">
        <v>11760</v>
      </c>
      <c r="B237" s="1" t="s">
        <v>2368</v>
      </c>
      <c r="C237" s="1" t="s">
        <v>8715</v>
      </c>
      <c r="D237" s="1" t="s">
        <v>12145</v>
      </c>
      <c r="E237" s="1" t="str">
        <f>"6515"</f>
        <v>6515</v>
      </c>
      <c r="F237" s="1" t="s">
        <v>333</v>
      </c>
      <c r="G237" s="1" t="s">
        <v>334</v>
      </c>
      <c r="H237" s="1" t="s">
        <v>15</v>
      </c>
      <c r="I237" s="1" t="str">
        <f>"1"</f>
        <v>1</v>
      </c>
      <c r="J237" s="3">
        <v>1399.1</v>
      </c>
      <c r="K237" s="4">
        <v>46037</v>
      </c>
      <c r="L237" s="4">
        <v>46042</v>
      </c>
      <c r="M237" s="1" t="s">
        <v>11789</v>
      </c>
      <c r="N237" s="1" t="s">
        <v>12144</v>
      </c>
    </row>
    <row r="238" spans="1:14" s="1" customFormat="1" x14ac:dyDescent="0.35">
      <c r="A238" s="1" t="s">
        <v>11760</v>
      </c>
      <c r="B238" s="1" t="s">
        <v>3356</v>
      </c>
      <c r="C238" s="1" t="s">
        <v>3518</v>
      </c>
      <c r="D238" s="1" t="s">
        <v>12143</v>
      </c>
      <c r="E238" s="1" t="str">
        <f>"2320"</f>
        <v>2320</v>
      </c>
      <c r="F238" s="1" t="str">
        <f>"014133739"</f>
        <v>014133739</v>
      </c>
      <c r="G238" s="1" t="s">
        <v>1860</v>
      </c>
      <c r="H238" s="1" t="s">
        <v>15</v>
      </c>
      <c r="I238" s="1" t="str">
        <f>"1"</f>
        <v>1</v>
      </c>
      <c r="J238" s="3" t="str">
        <f>"192513"</f>
        <v>192513</v>
      </c>
      <c r="K238" s="4">
        <v>46050</v>
      </c>
      <c r="L238" s="4">
        <v>46051</v>
      </c>
      <c r="M238" s="1" t="s">
        <v>12142</v>
      </c>
      <c r="N238" s="1" t="s">
        <v>12141</v>
      </c>
    </row>
    <row r="239" spans="1:14" s="1" customFormat="1" x14ac:dyDescent="0.35">
      <c r="A239" s="1" t="s">
        <v>11760</v>
      </c>
      <c r="B239" s="1" t="s">
        <v>3356</v>
      </c>
      <c r="C239" s="1" t="s">
        <v>3518</v>
      </c>
      <c r="D239" s="1" t="s">
        <v>12140</v>
      </c>
      <c r="E239" s="1" t="str">
        <f>"2320"</f>
        <v>2320</v>
      </c>
      <c r="F239" s="1" t="str">
        <f>"013469317"</f>
        <v>013469317</v>
      </c>
      <c r="G239" s="1" t="s">
        <v>1860</v>
      </c>
      <c r="H239" s="1" t="s">
        <v>15</v>
      </c>
      <c r="I239" s="1" t="str">
        <f>"1"</f>
        <v>1</v>
      </c>
      <c r="J239" s="3" t="str">
        <f>"94171"</f>
        <v>94171</v>
      </c>
      <c r="K239" s="4">
        <v>46055</v>
      </c>
      <c r="L239" s="4">
        <v>46057</v>
      </c>
      <c r="M239" s="1" t="s">
        <v>4556</v>
      </c>
      <c r="N239" s="1" t="s">
        <v>12139</v>
      </c>
    </row>
    <row r="240" spans="1:14" s="1" customFormat="1" x14ac:dyDescent="0.35">
      <c r="A240" s="1" t="s">
        <v>11760</v>
      </c>
      <c r="B240" s="1" t="s">
        <v>3356</v>
      </c>
      <c r="C240" s="1" t="s">
        <v>3518</v>
      </c>
      <c r="D240" s="1" t="s">
        <v>12138</v>
      </c>
      <c r="E240" s="1" t="str">
        <f>"8465"</f>
        <v>8465</v>
      </c>
      <c r="F240" s="1" t="str">
        <f>"015472694"</f>
        <v>015472694</v>
      </c>
      <c r="G240" s="1" t="s">
        <v>1961</v>
      </c>
      <c r="H240" s="1" t="s">
        <v>15</v>
      </c>
      <c r="I240" s="1" t="str">
        <f>"25"</f>
        <v>25</v>
      </c>
      <c r="J240" s="3">
        <v>96.33</v>
      </c>
      <c r="K240" s="4">
        <v>46061</v>
      </c>
      <c r="L240" s="4">
        <v>46063</v>
      </c>
      <c r="M240" s="1" t="s">
        <v>12137</v>
      </c>
      <c r="N240" s="1" t="s">
        <v>8691</v>
      </c>
    </row>
    <row r="241" spans="1:14" s="1" customFormat="1" x14ac:dyDescent="0.35">
      <c r="A241" s="1" t="s">
        <v>11760</v>
      </c>
      <c r="B241" s="1" t="s">
        <v>3356</v>
      </c>
      <c r="C241" s="1" t="s">
        <v>3518</v>
      </c>
      <c r="D241" s="1" t="s">
        <v>12136</v>
      </c>
      <c r="E241" s="1" t="str">
        <f>"2320"</f>
        <v>2320</v>
      </c>
      <c r="F241" s="1" t="str">
        <f>"015402038"</f>
        <v>015402038</v>
      </c>
      <c r="G241" s="1" t="s">
        <v>1860</v>
      </c>
      <c r="H241" s="1" t="s">
        <v>15</v>
      </c>
      <c r="I241" s="1" t="str">
        <f>"1"</f>
        <v>1</v>
      </c>
      <c r="J241" s="3" t="str">
        <f>"225121"</f>
        <v>225121</v>
      </c>
      <c r="K241" s="4">
        <v>46091</v>
      </c>
      <c r="L241" s="4">
        <v>46092</v>
      </c>
      <c r="M241" s="1" t="s">
        <v>12135</v>
      </c>
      <c r="N241" s="1" t="s">
        <v>8704</v>
      </c>
    </row>
    <row r="242" spans="1:14" s="1" customFormat="1" x14ac:dyDescent="0.35">
      <c r="A242" s="1" t="s">
        <v>11760</v>
      </c>
      <c r="B242" s="1" t="s">
        <v>3356</v>
      </c>
      <c r="C242" s="1" t="s">
        <v>3518</v>
      </c>
      <c r="D242" s="1" t="s">
        <v>12134</v>
      </c>
      <c r="E242" s="1" t="str">
        <f>"2320"</f>
        <v>2320</v>
      </c>
      <c r="F242" s="1" t="str">
        <f>"015498611"</f>
        <v>015498611</v>
      </c>
      <c r="G242" s="1" t="s">
        <v>930</v>
      </c>
      <c r="H242" s="1" t="s">
        <v>15</v>
      </c>
      <c r="I242" s="1" t="str">
        <f>"1"</f>
        <v>1</v>
      </c>
      <c r="J242" s="3" t="str">
        <f>"200000"</f>
        <v>200000</v>
      </c>
      <c r="K242" s="4">
        <v>46097</v>
      </c>
      <c r="L242" s="4">
        <v>46098</v>
      </c>
      <c r="M242" s="1" t="s">
        <v>12133</v>
      </c>
      <c r="N242" s="1" t="s">
        <v>3522</v>
      </c>
    </row>
    <row r="243" spans="1:14" s="1" customFormat="1" x14ac:dyDescent="0.35">
      <c r="A243" s="1" t="s">
        <v>11760</v>
      </c>
      <c r="B243" s="1" t="s">
        <v>1453</v>
      </c>
      <c r="C243" s="1" t="s">
        <v>8625</v>
      </c>
      <c r="D243" s="1" t="s">
        <v>12132</v>
      </c>
      <c r="E243" s="1" t="str">
        <f>"2340"</f>
        <v>2340</v>
      </c>
      <c r="F243" s="1" t="s">
        <v>12130</v>
      </c>
      <c r="G243" s="1" t="s">
        <v>12129</v>
      </c>
      <c r="H243" s="1" t="s">
        <v>15</v>
      </c>
      <c r="I243" s="1" t="str">
        <f>"2"</f>
        <v>2</v>
      </c>
      <c r="J243" s="3" t="str">
        <f>"4678"</f>
        <v>4678</v>
      </c>
      <c r="K243" s="4">
        <v>46057</v>
      </c>
      <c r="L243" s="4">
        <v>46072</v>
      </c>
      <c r="M243" s="1" t="s">
        <v>11789</v>
      </c>
      <c r="N243" s="1" t="s">
        <v>12128</v>
      </c>
    </row>
    <row r="244" spans="1:14" s="1" customFormat="1" x14ac:dyDescent="0.35">
      <c r="A244" s="1" t="s">
        <v>11760</v>
      </c>
      <c r="B244" s="1" t="s">
        <v>1453</v>
      </c>
      <c r="C244" s="1" t="s">
        <v>8625</v>
      </c>
      <c r="D244" s="1" t="s">
        <v>12131</v>
      </c>
      <c r="E244" s="1" t="str">
        <f>"2340"</f>
        <v>2340</v>
      </c>
      <c r="F244" s="1" t="s">
        <v>12130</v>
      </c>
      <c r="G244" s="1" t="s">
        <v>12129</v>
      </c>
      <c r="H244" s="1" t="s">
        <v>15</v>
      </c>
      <c r="I244" s="1" t="str">
        <f>"1"</f>
        <v>1</v>
      </c>
      <c r="J244" s="3" t="str">
        <f>"4678"</f>
        <v>4678</v>
      </c>
      <c r="K244" s="4">
        <v>46057</v>
      </c>
      <c r="L244" s="4">
        <v>46072</v>
      </c>
      <c r="M244" s="1" t="s">
        <v>11789</v>
      </c>
      <c r="N244" s="1" t="s">
        <v>12128</v>
      </c>
    </row>
    <row r="245" spans="1:14" s="1" customFormat="1" x14ac:dyDescent="0.35">
      <c r="A245" s="1" t="s">
        <v>11760</v>
      </c>
      <c r="B245" s="1" t="s">
        <v>2630</v>
      </c>
      <c r="C245" s="1" t="s">
        <v>12127</v>
      </c>
      <c r="D245" s="1" t="s">
        <v>12126</v>
      </c>
      <c r="E245" s="1" t="str">
        <f>"5855"</f>
        <v>5855</v>
      </c>
      <c r="F245" s="1" t="str">
        <f>"015485687"</f>
        <v>015485687</v>
      </c>
      <c r="G245" s="1" t="s">
        <v>798</v>
      </c>
      <c r="H245" s="1" t="s">
        <v>15</v>
      </c>
      <c r="I245" s="1" t="str">
        <f>"30"</f>
        <v>30</v>
      </c>
      <c r="J245" s="3" t="str">
        <f>"10402"</f>
        <v>10402</v>
      </c>
      <c r="K245" s="4">
        <v>46085</v>
      </c>
      <c r="L245" s="4">
        <v>46087</v>
      </c>
      <c r="M245" s="1" t="s">
        <v>11800</v>
      </c>
      <c r="N245" s="1" t="s">
        <v>12125</v>
      </c>
    </row>
    <row r="246" spans="1:14" s="1" customFormat="1" x14ac:dyDescent="0.35">
      <c r="A246" s="1" t="s">
        <v>11760</v>
      </c>
      <c r="B246" s="1" t="s">
        <v>73</v>
      </c>
      <c r="C246" s="1" t="s">
        <v>89</v>
      </c>
      <c r="D246" s="1" t="s">
        <v>12124</v>
      </c>
      <c r="E246" s="1" t="str">
        <f>"3830"</f>
        <v>3830</v>
      </c>
      <c r="F246" s="1" t="s">
        <v>1544</v>
      </c>
      <c r="G246" s="1" t="s">
        <v>1545</v>
      </c>
      <c r="H246" s="1" t="s">
        <v>15</v>
      </c>
      <c r="I246" s="1" t="str">
        <f>"2"</f>
        <v>2</v>
      </c>
      <c r="J246" s="3" t="str">
        <f>"500"</f>
        <v>500</v>
      </c>
      <c r="K246" s="4">
        <v>46080</v>
      </c>
      <c r="L246" s="4">
        <v>46083</v>
      </c>
      <c r="M246" s="1" t="s">
        <v>11789</v>
      </c>
      <c r="N246" s="1" t="s">
        <v>12122</v>
      </c>
    </row>
    <row r="247" spans="1:14" s="1" customFormat="1" x14ac:dyDescent="0.35">
      <c r="A247" s="1" t="s">
        <v>11760</v>
      </c>
      <c r="B247" s="1" t="s">
        <v>73</v>
      </c>
      <c r="C247" s="1" t="s">
        <v>89</v>
      </c>
      <c r="D247" s="1" t="s">
        <v>12123</v>
      </c>
      <c r="E247" s="1" t="str">
        <f>"3830"</f>
        <v>3830</v>
      </c>
      <c r="F247" s="1" t="s">
        <v>1544</v>
      </c>
      <c r="G247" s="1" t="s">
        <v>1545</v>
      </c>
      <c r="H247" s="1" t="s">
        <v>15</v>
      </c>
      <c r="I247" s="1" t="str">
        <f>"2"</f>
        <v>2</v>
      </c>
      <c r="J247" s="3" t="str">
        <f>"500"</f>
        <v>500</v>
      </c>
      <c r="K247" s="4">
        <v>46080</v>
      </c>
      <c r="L247" s="4">
        <v>46083</v>
      </c>
      <c r="M247" s="1" t="s">
        <v>11789</v>
      </c>
      <c r="N247" s="1" t="s">
        <v>12122</v>
      </c>
    </row>
    <row r="248" spans="1:14" s="1" customFormat="1" x14ac:dyDescent="0.35">
      <c r="A248" s="1" t="s">
        <v>11760</v>
      </c>
      <c r="B248" s="1" t="s">
        <v>1129</v>
      </c>
      <c r="C248" s="1" t="s">
        <v>8557</v>
      </c>
      <c r="D248" s="1" t="s">
        <v>12121</v>
      </c>
      <c r="E248" s="1" t="str">
        <f>"2310"</f>
        <v>2310</v>
      </c>
      <c r="F248" s="1" t="s">
        <v>4332</v>
      </c>
      <c r="G248" s="1" t="s">
        <v>4333</v>
      </c>
      <c r="H248" s="1" t="s">
        <v>15</v>
      </c>
      <c r="I248" s="1" t="str">
        <f>"1"</f>
        <v>1</v>
      </c>
      <c r="J248" s="3" t="str">
        <f>"15000"</f>
        <v>15000</v>
      </c>
      <c r="K248" s="4">
        <v>46104</v>
      </c>
      <c r="L248" s="4">
        <v>46105</v>
      </c>
      <c r="M248" s="1" t="s">
        <v>11775</v>
      </c>
      <c r="N248" s="1" t="s">
        <v>12120</v>
      </c>
    </row>
    <row r="249" spans="1:14" s="1" customFormat="1" x14ac:dyDescent="0.35">
      <c r="A249" s="1" t="s">
        <v>11760</v>
      </c>
      <c r="B249" s="1" t="s">
        <v>1129</v>
      </c>
      <c r="C249" s="1" t="s">
        <v>8557</v>
      </c>
      <c r="D249" s="1" t="s">
        <v>12119</v>
      </c>
      <c r="E249" s="1" t="str">
        <f>"2310"</f>
        <v>2310</v>
      </c>
      <c r="F249" s="1" t="s">
        <v>9364</v>
      </c>
      <c r="G249" s="1" t="s">
        <v>9363</v>
      </c>
      <c r="H249" s="1" t="s">
        <v>15</v>
      </c>
      <c r="I249" s="1" t="str">
        <f>"1"</f>
        <v>1</v>
      </c>
      <c r="J249" s="3" t="str">
        <f>"25000"</f>
        <v>25000</v>
      </c>
      <c r="K249" s="4">
        <v>46104</v>
      </c>
      <c r="L249" s="4">
        <v>46105</v>
      </c>
      <c r="M249" s="1" t="s">
        <v>11775</v>
      </c>
      <c r="N249" s="1" t="s">
        <v>12118</v>
      </c>
    </row>
    <row r="250" spans="1:14" s="1" customFormat="1" x14ac:dyDescent="0.35">
      <c r="A250" s="1" t="s">
        <v>11760</v>
      </c>
      <c r="B250" s="1" t="s">
        <v>1176</v>
      </c>
      <c r="C250" s="1" t="s">
        <v>1220</v>
      </c>
      <c r="D250" s="1" t="s">
        <v>12117</v>
      </c>
      <c r="E250" s="1" t="str">
        <f>"6515"</f>
        <v>6515</v>
      </c>
      <c r="F250" s="1" t="s">
        <v>12116</v>
      </c>
      <c r="G250" s="1" t="s">
        <v>12115</v>
      </c>
      <c r="H250" s="1" t="s">
        <v>15</v>
      </c>
      <c r="I250" s="1" t="str">
        <f>"1"</f>
        <v>1</v>
      </c>
      <c r="J250" s="3" t="str">
        <f>"2349"</f>
        <v>2349</v>
      </c>
      <c r="K250" s="4">
        <v>46080</v>
      </c>
      <c r="L250" s="4">
        <v>46083</v>
      </c>
      <c r="M250" s="1" t="s">
        <v>11789</v>
      </c>
      <c r="N250" s="1" t="s">
        <v>12111</v>
      </c>
    </row>
    <row r="251" spans="1:14" s="1" customFormat="1" x14ac:dyDescent="0.35">
      <c r="A251" s="1" t="s">
        <v>11760</v>
      </c>
      <c r="B251" s="1" t="s">
        <v>1176</v>
      </c>
      <c r="C251" s="1" t="s">
        <v>1220</v>
      </c>
      <c r="D251" s="1" t="s">
        <v>12114</v>
      </c>
      <c r="E251" s="1" t="str">
        <f>"6625"</f>
        <v>6625</v>
      </c>
      <c r="F251" s="1" t="s">
        <v>12113</v>
      </c>
      <c r="G251" s="1" t="s">
        <v>12112</v>
      </c>
      <c r="H251" s="1" t="s">
        <v>15</v>
      </c>
      <c r="I251" s="1" t="str">
        <f>"1"</f>
        <v>1</v>
      </c>
      <c r="J251" s="3" t="str">
        <f>"4500"</f>
        <v>4500</v>
      </c>
      <c r="K251" s="4">
        <v>46080</v>
      </c>
      <c r="L251" s="4">
        <v>46083</v>
      </c>
      <c r="M251" s="1" t="s">
        <v>11789</v>
      </c>
      <c r="N251" s="1" t="s">
        <v>12111</v>
      </c>
    </row>
    <row r="252" spans="1:14" s="1" customFormat="1" x14ac:dyDescent="0.35">
      <c r="A252" s="1" t="s">
        <v>11760</v>
      </c>
      <c r="B252" s="1" t="s">
        <v>1176</v>
      </c>
      <c r="C252" s="1" t="s">
        <v>1220</v>
      </c>
      <c r="D252" s="1" t="s">
        <v>12110</v>
      </c>
      <c r="E252" s="1" t="str">
        <f>"6685"</f>
        <v>6685</v>
      </c>
      <c r="F252" s="1" t="str">
        <f>"014072830"</f>
        <v>014072830</v>
      </c>
      <c r="G252" s="1" t="s">
        <v>12109</v>
      </c>
      <c r="H252" s="1" t="s">
        <v>15</v>
      </c>
      <c r="I252" s="1" t="str">
        <f>"1"</f>
        <v>1</v>
      </c>
      <c r="J252" s="3" t="str">
        <f>"27907"</f>
        <v>27907</v>
      </c>
      <c r="K252" s="4">
        <v>46080</v>
      </c>
      <c r="L252" s="4">
        <v>46083</v>
      </c>
      <c r="M252" s="1" t="s">
        <v>11789</v>
      </c>
      <c r="N252" s="1" t="s">
        <v>12108</v>
      </c>
    </row>
    <row r="253" spans="1:14" s="1" customFormat="1" x14ac:dyDescent="0.35">
      <c r="A253" s="1" t="s">
        <v>11760</v>
      </c>
      <c r="B253" s="1" t="s">
        <v>73</v>
      </c>
      <c r="C253" s="1" t="s">
        <v>98</v>
      </c>
      <c r="D253" s="1" t="s">
        <v>12107</v>
      </c>
      <c r="E253" s="1" t="str">
        <f>"6625"</f>
        <v>6625</v>
      </c>
      <c r="F253" s="1" t="str">
        <f>"010486427"</f>
        <v>010486427</v>
      </c>
      <c r="G253" s="1" t="s">
        <v>12106</v>
      </c>
      <c r="H253" s="1" t="s">
        <v>15</v>
      </c>
      <c r="I253" s="1" t="str">
        <f>"1"</f>
        <v>1</v>
      </c>
      <c r="J253" s="3">
        <v>196737.76</v>
      </c>
      <c r="K253" s="4">
        <v>46090</v>
      </c>
      <c r="L253" s="4">
        <v>46098</v>
      </c>
      <c r="M253" s="1" t="s">
        <v>12105</v>
      </c>
      <c r="N253" s="1" t="s">
        <v>12104</v>
      </c>
    </row>
    <row r="254" spans="1:14" s="1" customFormat="1" x14ac:dyDescent="0.35">
      <c r="A254" s="1" t="s">
        <v>11760</v>
      </c>
      <c r="B254" s="1" t="s">
        <v>73</v>
      </c>
      <c r="C254" s="1" t="s">
        <v>98</v>
      </c>
      <c r="D254" s="1" t="s">
        <v>12103</v>
      </c>
      <c r="E254" s="1" t="str">
        <f>"2320"</f>
        <v>2320</v>
      </c>
      <c r="F254" s="1" t="str">
        <f>"011289551"</f>
        <v>011289551</v>
      </c>
      <c r="G254" s="1" t="s">
        <v>1860</v>
      </c>
      <c r="H254" s="1" t="s">
        <v>15</v>
      </c>
      <c r="I254" s="1" t="str">
        <f>"1"</f>
        <v>1</v>
      </c>
      <c r="J254" s="3" t="str">
        <f>"50458"</f>
        <v>50458</v>
      </c>
      <c r="K254" s="4">
        <v>46097</v>
      </c>
      <c r="L254" s="4">
        <v>46098</v>
      </c>
      <c r="N254" s="1" t="s">
        <v>12102</v>
      </c>
    </row>
    <row r="255" spans="1:14" s="1" customFormat="1" x14ac:dyDescent="0.35">
      <c r="A255" s="1" t="s">
        <v>11760</v>
      </c>
      <c r="B255" s="1" t="s">
        <v>2630</v>
      </c>
      <c r="C255" s="1" t="s">
        <v>2638</v>
      </c>
      <c r="D255" s="1" t="s">
        <v>12101</v>
      </c>
      <c r="E255" s="1" t="str">
        <f>"7830"</f>
        <v>7830</v>
      </c>
      <c r="F255" s="1" t="s">
        <v>8420</v>
      </c>
      <c r="G255" s="1" t="s">
        <v>8419</v>
      </c>
      <c r="H255" s="1" t="s">
        <v>15</v>
      </c>
      <c r="I255" s="1" t="str">
        <f>"1"</f>
        <v>1</v>
      </c>
      <c r="J255" s="3" t="str">
        <f>"13589"</f>
        <v>13589</v>
      </c>
      <c r="K255" s="4">
        <v>46052</v>
      </c>
      <c r="L255" s="4">
        <v>46059</v>
      </c>
      <c r="M255" s="1" t="s">
        <v>11789</v>
      </c>
      <c r="N255" s="1" t="s">
        <v>12100</v>
      </c>
    </row>
    <row r="256" spans="1:14" s="1" customFormat="1" x14ac:dyDescent="0.35">
      <c r="A256" s="1" t="s">
        <v>11760</v>
      </c>
      <c r="B256" s="1" t="s">
        <v>3822</v>
      </c>
      <c r="C256" s="1" t="s">
        <v>8410</v>
      </c>
      <c r="D256" s="1" t="s">
        <v>12099</v>
      </c>
      <c r="E256" s="1" t="str">
        <f>"1550"</f>
        <v>1550</v>
      </c>
      <c r="F256" s="1" t="str">
        <f>"016886879"</f>
        <v>016886879</v>
      </c>
      <c r="G256" s="1" t="s">
        <v>1789</v>
      </c>
      <c r="H256" s="1" t="s">
        <v>15</v>
      </c>
      <c r="I256" s="1" t="str">
        <f>"1"</f>
        <v>1</v>
      </c>
      <c r="J256" s="3">
        <v>1131771.96</v>
      </c>
      <c r="K256" s="4">
        <v>46050</v>
      </c>
      <c r="L256" s="4">
        <v>46052</v>
      </c>
      <c r="M256" s="1" t="s">
        <v>12095</v>
      </c>
      <c r="N256" s="1" t="s">
        <v>12098</v>
      </c>
    </row>
    <row r="257" spans="1:14" s="1" customFormat="1" x14ac:dyDescent="0.35">
      <c r="A257" s="1" t="s">
        <v>11760</v>
      </c>
      <c r="B257" s="1" t="s">
        <v>3822</v>
      </c>
      <c r="C257" s="1" t="s">
        <v>8410</v>
      </c>
      <c r="D257" s="1" t="s">
        <v>12097</v>
      </c>
      <c r="E257" s="1" t="str">
        <f>"5895"</f>
        <v>5895</v>
      </c>
      <c r="F257" s="1" t="str">
        <f>"015769136"</f>
        <v>015769136</v>
      </c>
      <c r="G257" s="1" t="s">
        <v>12096</v>
      </c>
      <c r="H257" s="1" t="s">
        <v>15</v>
      </c>
      <c r="I257" s="1" t="str">
        <f>"1"</f>
        <v>1</v>
      </c>
      <c r="J257" s="3" t="str">
        <f>"1300000"</f>
        <v>1300000</v>
      </c>
      <c r="K257" s="4">
        <v>46050</v>
      </c>
      <c r="L257" s="4">
        <v>46052</v>
      </c>
      <c r="M257" s="1" t="s">
        <v>12095</v>
      </c>
      <c r="N257" s="1" t="s">
        <v>12094</v>
      </c>
    </row>
    <row r="258" spans="1:14" s="1" customFormat="1" x14ac:dyDescent="0.35">
      <c r="A258" s="1" t="s">
        <v>11760</v>
      </c>
      <c r="B258" s="1" t="s">
        <v>1303</v>
      </c>
      <c r="C258" s="1" t="s">
        <v>1362</v>
      </c>
      <c r="D258" s="1" t="s">
        <v>12093</v>
      </c>
      <c r="E258" s="1" t="str">
        <f>"1005"</f>
        <v>1005</v>
      </c>
      <c r="F258" s="1" t="str">
        <f>"014161091"</f>
        <v>014161091</v>
      </c>
      <c r="G258" s="1" t="s">
        <v>2696</v>
      </c>
      <c r="H258" s="1" t="s">
        <v>15</v>
      </c>
      <c r="I258" s="1" t="str">
        <f>"20"</f>
        <v>20</v>
      </c>
      <c r="J258" s="3">
        <v>64.040000000000006</v>
      </c>
      <c r="K258" s="4">
        <v>46072</v>
      </c>
      <c r="L258" s="4">
        <v>46072</v>
      </c>
      <c r="M258" s="1" t="s">
        <v>11789</v>
      </c>
      <c r="N258" s="1" t="s">
        <v>12092</v>
      </c>
    </row>
    <row r="259" spans="1:14" s="1" customFormat="1" x14ac:dyDescent="0.35">
      <c r="A259" s="1" t="s">
        <v>11760</v>
      </c>
      <c r="B259" s="1" t="s">
        <v>73</v>
      </c>
      <c r="C259" s="1" t="s">
        <v>177</v>
      </c>
      <c r="D259" s="1" t="s">
        <v>12091</v>
      </c>
      <c r="E259" s="1" t="str">
        <f>"5965"</f>
        <v>5965</v>
      </c>
      <c r="F259" s="1" t="str">
        <f>"016280872"</f>
        <v>016280872</v>
      </c>
      <c r="G259" s="1" t="s">
        <v>12090</v>
      </c>
      <c r="H259" s="1" t="s">
        <v>15</v>
      </c>
      <c r="I259" s="1" t="str">
        <f>"2"</f>
        <v>2</v>
      </c>
      <c r="J259" s="3">
        <v>3003.56</v>
      </c>
      <c r="K259" s="4">
        <v>46074</v>
      </c>
      <c r="L259" s="4">
        <v>46083</v>
      </c>
      <c r="M259" s="1" t="s">
        <v>11789</v>
      </c>
      <c r="N259" s="1" t="s">
        <v>12089</v>
      </c>
    </row>
    <row r="260" spans="1:14" s="1" customFormat="1" x14ac:dyDescent="0.35">
      <c r="A260" s="1" t="s">
        <v>11760</v>
      </c>
      <c r="B260" s="1" t="s">
        <v>73</v>
      </c>
      <c r="C260" s="1" t="s">
        <v>177</v>
      </c>
      <c r="D260" s="1" t="s">
        <v>12088</v>
      </c>
      <c r="E260" s="1" t="str">
        <f>"2340"</f>
        <v>2340</v>
      </c>
      <c r="F260" s="1" t="s">
        <v>179</v>
      </c>
      <c r="G260" s="1" t="s">
        <v>180</v>
      </c>
      <c r="H260" s="1" t="s">
        <v>15</v>
      </c>
      <c r="I260" s="1" t="str">
        <f>"1"</f>
        <v>1</v>
      </c>
      <c r="J260" s="3" t="str">
        <f>"31426"</f>
        <v>31426</v>
      </c>
      <c r="K260" s="4">
        <v>46103</v>
      </c>
      <c r="L260" s="4">
        <v>46105</v>
      </c>
      <c r="M260" s="1" t="s">
        <v>11778</v>
      </c>
      <c r="N260" s="1" t="s">
        <v>12087</v>
      </c>
    </row>
    <row r="261" spans="1:14" s="1" customFormat="1" x14ac:dyDescent="0.35">
      <c r="A261" s="1" t="s">
        <v>11760</v>
      </c>
      <c r="B261" s="1" t="s">
        <v>2641</v>
      </c>
      <c r="C261" s="1" t="s">
        <v>2656</v>
      </c>
      <c r="D261" s="1" t="s">
        <v>12086</v>
      </c>
      <c r="E261" s="1" t="str">
        <f>"7035"</f>
        <v>7035</v>
      </c>
      <c r="F261" s="1" t="s">
        <v>5636</v>
      </c>
      <c r="G261" s="1" t="s">
        <v>5635</v>
      </c>
      <c r="H261" s="1" t="s">
        <v>15</v>
      </c>
      <c r="I261" s="1" t="str">
        <f>"5"</f>
        <v>5</v>
      </c>
      <c r="J261" s="3" t="str">
        <f>"30"</f>
        <v>30</v>
      </c>
      <c r="K261" s="4">
        <v>46100</v>
      </c>
      <c r="L261" s="4">
        <v>46104</v>
      </c>
      <c r="M261" s="1" t="s">
        <v>11789</v>
      </c>
      <c r="N261" s="1" t="s">
        <v>12085</v>
      </c>
    </row>
    <row r="262" spans="1:14" s="1" customFormat="1" x14ac:dyDescent="0.35">
      <c r="A262" s="1" t="s">
        <v>11760</v>
      </c>
      <c r="B262" s="1" t="s">
        <v>2641</v>
      </c>
      <c r="C262" s="1" t="s">
        <v>2690</v>
      </c>
      <c r="D262" s="1" t="s">
        <v>12084</v>
      </c>
      <c r="E262" s="1" t="str">
        <f>"7035"</f>
        <v>7035</v>
      </c>
      <c r="F262" s="1" t="s">
        <v>12083</v>
      </c>
      <c r="G262" s="1" t="s">
        <v>12082</v>
      </c>
      <c r="H262" s="1" t="s">
        <v>15</v>
      </c>
      <c r="I262" s="1" t="str">
        <f>"5"</f>
        <v>5</v>
      </c>
      <c r="J262" s="3" t="str">
        <f>"50"</f>
        <v>50</v>
      </c>
      <c r="K262" s="4">
        <v>46055</v>
      </c>
      <c r="L262" s="4">
        <v>46057</v>
      </c>
      <c r="M262" s="1" t="s">
        <v>11789</v>
      </c>
      <c r="N262" s="1" t="s">
        <v>12081</v>
      </c>
    </row>
    <row r="263" spans="1:14" s="1" customFormat="1" x14ac:dyDescent="0.35">
      <c r="A263" s="1" t="s">
        <v>11760</v>
      </c>
      <c r="B263" s="1" t="s">
        <v>2641</v>
      </c>
      <c r="C263" s="1" t="s">
        <v>2690</v>
      </c>
      <c r="D263" s="1" t="s">
        <v>12080</v>
      </c>
      <c r="E263" s="1" t="str">
        <f>"4310"</f>
        <v>4310</v>
      </c>
      <c r="F263" s="1" t="s">
        <v>12079</v>
      </c>
      <c r="G263" s="1" t="s">
        <v>12078</v>
      </c>
      <c r="H263" s="1" t="s">
        <v>15</v>
      </c>
      <c r="I263" s="1" t="str">
        <f>"3"</f>
        <v>3</v>
      </c>
      <c r="J263" s="3" t="str">
        <f>"300"</f>
        <v>300</v>
      </c>
      <c r="K263" s="4">
        <v>46107</v>
      </c>
      <c r="L263" s="4">
        <v>46111</v>
      </c>
      <c r="M263" s="1" t="s">
        <v>11789</v>
      </c>
      <c r="N263" s="1" t="s">
        <v>12077</v>
      </c>
    </row>
    <row r="264" spans="1:14" s="1" customFormat="1" x14ac:dyDescent="0.35">
      <c r="A264" s="1" t="s">
        <v>11760</v>
      </c>
      <c r="B264" s="1" t="s">
        <v>1176</v>
      </c>
      <c r="C264" s="1" t="s">
        <v>1264</v>
      </c>
      <c r="D264" s="1" t="s">
        <v>12076</v>
      </c>
      <c r="E264" s="1" t="str">
        <f>"5855"</f>
        <v>5855</v>
      </c>
      <c r="F264" s="1" t="str">
        <f>"015137561"</f>
        <v>015137561</v>
      </c>
      <c r="G264" s="1" t="s">
        <v>4264</v>
      </c>
      <c r="H264" s="1" t="s">
        <v>15</v>
      </c>
      <c r="I264" s="1" t="str">
        <f>"1"</f>
        <v>1</v>
      </c>
      <c r="J264" s="3">
        <v>3309.75</v>
      </c>
      <c r="K264" s="4">
        <v>46084</v>
      </c>
      <c r="L264" s="4">
        <v>46084</v>
      </c>
      <c r="M264" s="1" t="s">
        <v>11800</v>
      </c>
      <c r="N264" s="1" t="s">
        <v>12075</v>
      </c>
    </row>
    <row r="265" spans="1:14" s="1" customFormat="1" x14ac:dyDescent="0.35">
      <c r="A265" s="1" t="s">
        <v>11760</v>
      </c>
      <c r="B265" s="1" t="s">
        <v>3356</v>
      </c>
      <c r="C265" s="1" t="s">
        <v>3575</v>
      </c>
      <c r="D265" s="1" t="s">
        <v>12074</v>
      </c>
      <c r="E265" s="1" t="str">
        <f>"3805"</f>
        <v>3805</v>
      </c>
      <c r="F265" s="1" t="s">
        <v>1020</v>
      </c>
      <c r="G265" s="1" t="s">
        <v>1021</v>
      </c>
      <c r="H265" s="1" t="s">
        <v>15</v>
      </c>
      <c r="I265" s="1" t="str">
        <f>"1"</f>
        <v>1</v>
      </c>
      <c r="J265" s="3" t="str">
        <f>"40000"</f>
        <v>40000</v>
      </c>
      <c r="K265" s="4">
        <v>46046</v>
      </c>
      <c r="L265" s="4">
        <v>46048</v>
      </c>
      <c r="M265" s="1" t="s">
        <v>11778</v>
      </c>
      <c r="N265" s="1" t="s">
        <v>12073</v>
      </c>
    </row>
    <row r="266" spans="1:14" s="1" customFormat="1" x14ac:dyDescent="0.35">
      <c r="A266" s="1" t="s">
        <v>11760</v>
      </c>
      <c r="B266" s="1" t="s">
        <v>3356</v>
      </c>
      <c r="C266" s="1" t="s">
        <v>3575</v>
      </c>
      <c r="D266" s="1" t="s">
        <v>12072</v>
      </c>
      <c r="E266" s="1" t="str">
        <f>"4210"</f>
        <v>4210</v>
      </c>
      <c r="F266" s="1" t="str">
        <f>"015992309"</f>
        <v>015992309</v>
      </c>
      <c r="G266" s="1" t="s">
        <v>1036</v>
      </c>
      <c r="H266" s="1" t="s">
        <v>15</v>
      </c>
      <c r="I266" s="1" t="str">
        <f>"1"</f>
        <v>1</v>
      </c>
      <c r="J266" s="3" t="str">
        <f>"236650"</f>
        <v>236650</v>
      </c>
      <c r="K266" s="4">
        <v>46074</v>
      </c>
      <c r="L266" s="4">
        <v>46076</v>
      </c>
      <c r="M266" s="1" t="s">
        <v>11778</v>
      </c>
      <c r="N266" s="1" t="s">
        <v>12071</v>
      </c>
    </row>
    <row r="267" spans="1:14" s="1" customFormat="1" x14ac:dyDescent="0.35">
      <c r="A267" s="1" t="s">
        <v>11760</v>
      </c>
      <c r="B267" s="1" t="s">
        <v>3356</v>
      </c>
      <c r="C267" s="1" t="s">
        <v>3575</v>
      </c>
      <c r="D267" s="1" t="s">
        <v>12070</v>
      </c>
      <c r="E267" s="1" t="str">
        <f>"2320"</f>
        <v>2320</v>
      </c>
      <c r="F267" s="1" t="str">
        <f>"014225414"</f>
        <v>014225414</v>
      </c>
      <c r="G267" s="1" t="s">
        <v>1762</v>
      </c>
      <c r="H267" s="1" t="s">
        <v>15</v>
      </c>
      <c r="I267" s="1" t="str">
        <f>"1"</f>
        <v>1</v>
      </c>
      <c r="J267" s="3" t="str">
        <f>"182215"</f>
        <v>182215</v>
      </c>
      <c r="K267" s="4">
        <v>46082</v>
      </c>
      <c r="L267" s="4">
        <v>46084</v>
      </c>
      <c r="M267" s="1" t="s">
        <v>11778</v>
      </c>
      <c r="N267" s="1" t="s">
        <v>11434</v>
      </c>
    </row>
    <row r="268" spans="1:14" s="1" customFormat="1" x14ac:dyDescent="0.35">
      <c r="A268" s="1" t="s">
        <v>11760</v>
      </c>
      <c r="B268" s="1" t="s">
        <v>1303</v>
      </c>
      <c r="C268" s="1" t="s">
        <v>1384</v>
      </c>
      <c r="D268" s="1" t="s">
        <v>12069</v>
      </c>
      <c r="E268" s="1" t="str">
        <f>"5855"</f>
        <v>5855</v>
      </c>
      <c r="F268" s="1" t="s">
        <v>1390</v>
      </c>
      <c r="G268" s="1" t="s">
        <v>1391</v>
      </c>
      <c r="H268" s="1" t="s">
        <v>15</v>
      </c>
      <c r="I268" s="1" t="str">
        <f>"4"</f>
        <v>4</v>
      </c>
      <c r="J268" s="3" t="str">
        <f>"100000"</f>
        <v>100000</v>
      </c>
      <c r="K268" s="4">
        <v>46062</v>
      </c>
      <c r="L268" s="4">
        <v>46062</v>
      </c>
      <c r="M268" s="1" t="s">
        <v>12068</v>
      </c>
      <c r="N268" s="1" t="s">
        <v>1386</v>
      </c>
    </row>
    <row r="269" spans="1:14" s="1" customFormat="1" x14ac:dyDescent="0.35">
      <c r="A269" s="1" t="s">
        <v>11760</v>
      </c>
      <c r="B269" s="1" t="s">
        <v>1791</v>
      </c>
      <c r="C269" s="1" t="s">
        <v>1821</v>
      </c>
      <c r="D269" s="1" t="s">
        <v>12067</v>
      </c>
      <c r="E269" s="1" t="str">
        <f>"6115"</f>
        <v>6115</v>
      </c>
      <c r="F269" s="1" t="s">
        <v>157</v>
      </c>
      <c r="G269" s="1" t="s">
        <v>158</v>
      </c>
      <c r="H269" s="1" t="s">
        <v>15</v>
      </c>
      <c r="I269" s="1" t="str">
        <f>"1"</f>
        <v>1</v>
      </c>
      <c r="J269" s="3" t="str">
        <f>"4800"</f>
        <v>4800</v>
      </c>
      <c r="K269" s="4">
        <v>46094</v>
      </c>
      <c r="L269" s="4">
        <v>46094</v>
      </c>
      <c r="M269" s="1" t="s">
        <v>12066</v>
      </c>
      <c r="N269" s="1" t="s">
        <v>12065</v>
      </c>
    </row>
    <row r="270" spans="1:14" s="1" customFormat="1" x14ac:dyDescent="0.35">
      <c r="A270" s="1" t="s">
        <v>11760</v>
      </c>
      <c r="B270" s="1" t="s">
        <v>3356</v>
      </c>
      <c r="C270" s="1" t="s">
        <v>3578</v>
      </c>
      <c r="D270" s="1" t="s">
        <v>12064</v>
      </c>
      <c r="E270" s="1" t="str">
        <f>"5855"</f>
        <v>5855</v>
      </c>
      <c r="F270" s="1" t="str">
        <f>"015847217"</f>
        <v>015847217</v>
      </c>
      <c r="G270" s="1" t="s">
        <v>614</v>
      </c>
      <c r="H270" s="1" t="s">
        <v>15</v>
      </c>
      <c r="I270" s="1" t="str">
        <f>"4"</f>
        <v>4</v>
      </c>
      <c r="J270" s="3" t="str">
        <f>"34084"</f>
        <v>34084</v>
      </c>
      <c r="K270" s="4">
        <v>46074</v>
      </c>
      <c r="L270" s="4">
        <v>46076</v>
      </c>
      <c r="M270" s="1" t="s">
        <v>11771</v>
      </c>
      <c r="N270" s="1" t="s">
        <v>12063</v>
      </c>
    </row>
    <row r="271" spans="1:14" s="1" customFormat="1" x14ac:dyDescent="0.35">
      <c r="A271" s="1" t="s">
        <v>11760</v>
      </c>
      <c r="B271" s="1" t="s">
        <v>3356</v>
      </c>
      <c r="C271" s="1" t="s">
        <v>3578</v>
      </c>
      <c r="D271" s="1" t="s">
        <v>12062</v>
      </c>
      <c r="E271" s="1" t="str">
        <f>"5855"</f>
        <v>5855</v>
      </c>
      <c r="F271" s="1" t="str">
        <f>"015847217"</f>
        <v>015847217</v>
      </c>
      <c r="G271" s="1" t="s">
        <v>614</v>
      </c>
      <c r="H271" s="1" t="s">
        <v>15</v>
      </c>
      <c r="I271" s="1" t="str">
        <f>"4"</f>
        <v>4</v>
      </c>
      <c r="J271" s="3" t="str">
        <f>"34084"</f>
        <v>34084</v>
      </c>
      <c r="K271" s="4">
        <v>46076</v>
      </c>
      <c r="L271" s="4">
        <v>46076</v>
      </c>
      <c r="M271" s="1" t="s">
        <v>11800</v>
      </c>
      <c r="N271" s="1" t="s">
        <v>12061</v>
      </c>
    </row>
    <row r="272" spans="1:14" s="1" customFormat="1" x14ac:dyDescent="0.35">
      <c r="A272" s="1" t="s">
        <v>11760</v>
      </c>
      <c r="B272" s="1" t="s">
        <v>2368</v>
      </c>
      <c r="C272" s="1" t="s">
        <v>2500</v>
      </c>
      <c r="D272" s="1" t="s">
        <v>12060</v>
      </c>
      <c r="E272" s="1" t="str">
        <f>"5855"</f>
        <v>5855</v>
      </c>
      <c r="F272" s="1" t="str">
        <f>"015666748"</f>
        <v>015666748</v>
      </c>
      <c r="G272" s="1" t="s">
        <v>1184</v>
      </c>
      <c r="H272" s="1" t="s">
        <v>15</v>
      </c>
      <c r="I272" s="1" t="str">
        <f>"20"</f>
        <v>20</v>
      </c>
      <c r="J272" s="3">
        <v>128.41999999999999</v>
      </c>
      <c r="K272" s="4">
        <v>46066</v>
      </c>
      <c r="L272" s="4">
        <v>46070</v>
      </c>
      <c r="N272" s="1" t="s">
        <v>12059</v>
      </c>
    </row>
    <row r="273" spans="1:14" s="1" customFormat="1" x14ac:dyDescent="0.35">
      <c r="A273" s="1" t="s">
        <v>11760</v>
      </c>
      <c r="B273" s="1" t="s">
        <v>73</v>
      </c>
      <c r="C273" s="1" t="s">
        <v>12058</v>
      </c>
      <c r="D273" s="1" t="s">
        <v>12057</v>
      </c>
      <c r="E273" s="1" t="str">
        <f>"1550"</f>
        <v>1550</v>
      </c>
      <c r="F273" s="1" t="str">
        <f>"016642763"</f>
        <v>016642763</v>
      </c>
      <c r="G273" s="1" t="s">
        <v>1789</v>
      </c>
      <c r="H273" s="1" t="s">
        <v>168</v>
      </c>
      <c r="I273" s="1" t="str">
        <f>"4"</f>
        <v>4</v>
      </c>
      <c r="J273" s="3" t="str">
        <f>"14400"</f>
        <v>14400</v>
      </c>
      <c r="K273" s="4">
        <v>46101</v>
      </c>
      <c r="L273" s="4">
        <v>46104</v>
      </c>
      <c r="M273" s="1" t="s">
        <v>12056</v>
      </c>
      <c r="N273" s="1" t="s">
        <v>12055</v>
      </c>
    </row>
    <row r="274" spans="1:14" s="1" customFormat="1" x14ac:dyDescent="0.35">
      <c r="A274" s="1" t="s">
        <v>11760</v>
      </c>
      <c r="B274" s="1" t="s">
        <v>2641</v>
      </c>
      <c r="C274" s="1" t="s">
        <v>3117</v>
      </c>
      <c r="D274" s="1" t="s">
        <v>12054</v>
      </c>
      <c r="E274" s="1" t="str">
        <f>"7022"</f>
        <v>7022</v>
      </c>
      <c r="F274" s="1" t="str">
        <f>"016141645"</f>
        <v>016141645</v>
      </c>
      <c r="G274" s="1" t="s">
        <v>12053</v>
      </c>
      <c r="H274" s="1" t="s">
        <v>15</v>
      </c>
      <c r="I274" s="1" t="str">
        <f>"1"</f>
        <v>1</v>
      </c>
      <c r="J274" s="3" t="str">
        <f>"160442"</f>
        <v>160442</v>
      </c>
      <c r="K274" s="4">
        <v>46057</v>
      </c>
      <c r="L274" s="4">
        <v>46057</v>
      </c>
      <c r="M274" s="1" t="s">
        <v>12052</v>
      </c>
      <c r="N274" s="1" t="s">
        <v>12051</v>
      </c>
    </row>
    <row r="275" spans="1:14" s="1" customFormat="1" x14ac:dyDescent="0.35">
      <c r="A275" s="1" t="s">
        <v>11760</v>
      </c>
      <c r="B275" s="1" t="s">
        <v>3356</v>
      </c>
      <c r="C275" s="1" t="s">
        <v>3643</v>
      </c>
      <c r="D275" s="1" t="s">
        <v>12050</v>
      </c>
      <c r="E275" s="1" t="str">
        <f>"3810"</f>
        <v>3810</v>
      </c>
      <c r="F275" s="1" t="s">
        <v>7710</v>
      </c>
      <c r="G275" s="1" t="s">
        <v>7709</v>
      </c>
      <c r="H275" s="1" t="s">
        <v>15</v>
      </c>
      <c r="I275" s="1" t="str">
        <f>"1"</f>
        <v>1</v>
      </c>
      <c r="J275" s="3" t="str">
        <f>"30000"</f>
        <v>30000</v>
      </c>
      <c r="K275" s="4">
        <v>46103</v>
      </c>
      <c r="L275" s="4">
        <v>46104</v>
      </c>
      <c r="M275" s="1" t="s">
        <v>12049</v>
      </c>
      <c r="N275" s="1" t="s">
        <v>12048</v>
      </c>
    </row>
    <row r="276" spans="1:14" s="1" customFormat="1" x14ac:dyDescent="0.35">
      <c r="A276" s="1" t="s">
        <v>11760</v>
      </c>
      <c r="B276" s="1" t="s">
        <v>3356</v>
      </c>
      <c r="C276" s="1" t="s">
        <v>3643</v>
      </c>
      <c r="D276" s="1" t="s">
        <v>12047</v>
      </c>
      <c r="E276" s="1" t="str">
        <f>"3810"</f>
        <v>3810</v>
      </c>
      <c r="F276" s="1" t="s">
        <v>7710</v>
      </c>
      <c r="G276" s="1" t="s">
        <v>7709</v>
      </c>
      <c r="H276" s="1" t="s">
        <v>15</v>
      </c>
      <c r="I276" s="1" t="str">
        <f>"1"</f>
        <v>1</v>
      </c>
      <c r="J276" s="3" t="str">
        <f>"30000"</f>
        <v>30000</v>
      </c>
      <c r="K276" s="4">
        <v>46104</v>
      </c>
      <c r="L276" s="4">
        <v>46107</v>
      </c>
      <c r="M276" s="1" t="s">
        <v>12046</v>
      </c>
      <c r="N276" s="1" t="s">
        <v>12045</v>
      </c>
    </row>
    <row r="277" spans="1:14" s="1" customFormat="1" x14ac:dyDescent="0.35">
      <c r="A277" s="1" t="s">
        <v>11760</v>
      </c>
      <c r="B277" s="1" t="s">
        <v>1013</v>
      </c>
      <c r="C277" s="1" t="s">
        <v>7501</v>
      </c>
      <c r="D277" s="1" t="s">
        <v>12044</v>
      </c>
      <c r="E277" s="1" t="str">
        <f>"1240"</f>
        <v>1240</v>
      </c>
      <c r="F277" s="1" t="str">
        <f>"014111265"</f>
        <v>014111265</v>
      </c>
      <c r="G277" s="1" t="s">
        <v>71</v>
      </c>
      <c r="H277" s="1" t="s">
        <v>15</v>
      </c>
      <c r="I277" s="1" t="str">
        <f>"4"</f>
        <v>4</v>
      </c>
      <c r="J277" s="3" t="str">
        <f>"339"</f>
        <v>339</v>
      </c>
      <c r="K277" s="4">
        <v>46076</v>
      </c>
      <c r="L277" s="4">
        <v>46077</v>
      </c>
      <c r="M277" s="1" t="s">
        <v>11771</v>
      </c>
      <c r="N277" s="1" t="s">
        <v>12041</v>
      </c>
    </row>
    <row r="278" spans="1:14" s="1" customFormat="1" x14ac:dyDescent="0.35">
      <c r="A278" s="1" t="s">
        <v>11760</v>
      </c>
      <c r="B278" s="1" t="s">
        <v>1013</v>
      </c>
      <c r="C278" s="1" t="s">
        <v>7501</v>
      </c>
      <c r="D278" s="1" t="s">
        <v>12043</v>
      </c>
      <c r="E278" s="1" t="str">
        <f>"1240"</f>
        <v>1240</v>
      </c>
      <c r="F278" s="1" t="str">
        <f>"014111265"</f>
        <v>014111265</v>
      </c>
      <c r="G278" s="1" t="s">
        <v>71</v>
      </c>
      <c r="H278" s="1" t="s">
        <v>15</v>
      </c>
      <c r="I278" s="1" t="str">
        <f>"4"</f>
        <v>4</v>
      </c>
      <c r="J278" s="3" t="str">
        <f>"339"</f>
        <v>339</v>
      </c>
      <c r="K278" s="4">
        <v>46076</v>
      </c>
      <c r="L278" s="4">
        <v>46077</v>
      </c>
      <c r="M278" s="1" t="s">
        <v>11771</v>
      </c>
      <c r="N278" s="1" t="s">
        <v>12041</v>
      </c>
    </row>
    <row r="279" spans="1:14" s="1" customFormat="1" x14ac:dyDescent="0.35">
      <c r="A279" s="1" t="s">
        <v>11760</v>
      </c>
      <c r="B279" s="1" t="s">
        <v>1013</v>
      </c>
      <c r="C279" s="1" t="s">
        <v>7501</v>
      </c>
      <c r="D279" s="1" t="s">
        <v>12042</v>
      </c>
      <c r="E279" s="1" t="str">
        <f>"1240"</f>
        <v>1240</v>
      </c>
      <c r="F279" s="1" t="str">
        <f>"014111265"</f>
        <v>014111265</v>
      </c>
      <c r="G279" s="1" t="s">
        <v>71</v>
      </c>
      <c r="H279" s="1" t="s">
        <v>15</v>
      </c>
      <c r="I279" s="1" t="str">
        <f>"11"</f>
        <v>11</v>
      </c>
      <c r="J279" s="3" t="str">
        <f>"339"</f>
        <v>339</v>
      </c>
      <c r="K279" s="4">
        <v>46076</v>
      </c>
      <c r="L279" s="4">
        <v>46077</v>
      </c>
      <c r="M279" s="1" t="s">
        <v>11771</v>
      </c>
      <c r="N279" s="1" t="s">
        <v>12041</v>
      </c>
    </row>
    <row r="280" spans="1:14" s="1" customFormat="1" x14ac:dyDescent="0.35">
      <c r="A280" s="1" t="s">
        <v>11760</v>
      </c>
      <c r="B280" s="1" t="s">
        <v>1013</v>
      </c>
      <c r="C280" s="1" t="s">
        <v>7470</v>
      </c>
      <c r="D280" s="1" t="s">
        <v>12040</v>
      </c>
      <c r="E280" s="1" t="str">
        <f>"4240"</f>
        <v>4240</v>
      </c>
      <c r="F280" s="1" t="str">
        <f>"015700319"</f>
        <v>015700319</v>
      </c>
      <c r="G280" s="1" t="s">
        <v>3299</v>
      </c>
      <c r="H280" s="1" t="s">
        <v>15</v>
      </c>
      <c r="I280" s="1" t="str">
        <f>"26"</f>
        <v>26</v>
      </c>
      <c r="J280" s="3">
        <v>28.44</v>
      </c>
      <c r="K280" s="4">
        <v>46092</v>
      </c>
      <c r="L280" s="4">
        <v>46092</v>
      </c>
      <c r="M280" s="1" t="s">
        <v>11789</v>
      </c>
      <c r="N280" s="1" t="s">
        <v>7468</v>
      </c>
    </row>
    <row r="281" spans="1:14" s="1" customFormat="1" x14ac:dyDescent="0.35">
      <c r="A281" s="1" t="s">
        <v>11760</v>
      </c>
      <c r="B281" s="1" t="s">
        <v>1013</v>
      </c>
      <c r="C281" s="1" t="s">
        <v>7470</v>
      </c>
      <c r="D281" s="1" t="s">
        <v>12039</v>
      </c>
      <c r="E281" s="1" t="str">
        <f>"2355"</f>
        <v>2355</v>
      </c>
      <c r="F281" s="1" t="str">
        <f>"015590791"</f>
        <v>015590791</v>
      </c>
      <c r="G281" s="1" t="s">
        <v>11092</v>
      </c>
      <c r="H281" s="1" t="s">
        <v>15</v>
      </c>
      <c r="I281" s="1" t="str">
        <f>"1"</f>
        <v>1</v>
      </c>
      <c r="J281" s="3" t="str">
        <f>"700000"</f>
        <v>700000</v>
      </c>
      <c r="K281" s="4">
        <v>46092</v>
      </c>
      <c r="L281" s="4">
        <v>46092</v>
      </c>
      <c r="M281" s="1" t="s">
        <v>12038</v>
      </c>
      <c r="N281" s="1" t="s">
        <v>7468</v>
      </c>
    </row>
    <row r="282" spans="1:14" s="1" customFormat="1" x14ac:dyDescent="0.35">
      <c r="A282" s="1" t="s">
        <v>11760</v>
      </c>
      <c r="B282" s="1" t="s">
        <v>1516</v>
      </c>
      <c r="C282" s="1" t="s">
        <v>1651</v>
      </c>
      <c r="D282" s="1" t="s">
        <v>12037</v>
      </c>
      <c r="E282" s="1" t="str">
        <f>"6130"</f>
        <v>6130</v>
      </c>
      <c r="F282" s="1" t="str">
        <f>"016603696"</f>
        <v>016603696</v>
      </c>
      <c r="G282" s="1" t="s">
        <v>882</v>
      </c>
      <c r="H282" s="1" t="s">
        <v>15</v>
      </c>
      <c r="I282" s="1" t="str">
        <f>"2"</f>
        <v>2</v>
      </c>
      <c r="J282" s="3">
        <v>7403.16</v>
      </c>
      <c r="K282" s="4">
        <v>46045</v>
      </c>
      <c r="L282" s="4">
        <v>46048</v>
      </c>
      <c r="M282" s="1" t="s">
        <v>11789</v>
      </c>
      <c r="N282" s="1" t="s">
        <v>12036</v>
      </c>
    </row>
    <row r="283" spans="1:14" s="1" customFormat="1" x14ac:dyDescent="0.35">
      <c r="A283" s="1" t="s">
        <v>11760</v>
      </c>
      <c r="B283" s="1" t="s">
        <v>1516</v>
      </c>
      <c r="C283" s="1" t="s">
        <v>1651</v>
      </c>
      <c r="D283" s="1" t="s">
        <v>12035</v>
      </c>
      <c r="E283" s="1" t="str">
        <f>"2310"</f>
        <v>2310</v>
      </c>
      <c r="F283" s="1" t="str">
        <f>"010907741"</f>
        <v>010907741</v>
      </c>
      <c r="G283" s="1" t="s">
        <v>710</v>
      </c>
      <c r="H283" s="1" t="s">
        <v>15</v>
      </c>
      <c r="I283" s="1" t="str">
        <f>"1"</f>
        <v>1</v>
      </c>
      <c r="J283" s="3" t="str">
        <f>"30027"</f>
        <v>30027</v>
      </c>
      <c r="K283" s="4">
        <v>46071</v>
      </c>
      <c r="L283" s="4">
        <v>46072</v>
      </c>
      <c r="M283" s="1" t="s">
        <v>11789</v>
      </c>
      <c r="N283" s="1" t="s">
        <v>7246</v>
      </c>
    </row>
    <row r="284" spans="1:14" s="1" customFormat="1" x14ac:dyDescent="0.35">
      <c r="A284" s="1" t="s">
        <v>11760</v>
      </c>
      <c r="B284" s="1" t="s">
        <v>73</v>
      </c>
      <c r="C284" s="1" t="s">
        <v>12034</v>
      </c>
      <c r="D284" s="1" t="s">
        <v>12033</v>
      </c>
      <c r="E284" s="1" t="str">
        <f>"2310"</f>
        <v>2310</v>
      </c>
      <c r="F284" s="1" t="str">
        <f>"014998019"</f>
        <v>014998019</v>
      </c>
      <c r="G284" s="1" t="s">
        <v>4671</v>
      </c>
      <c r="H284" s="1" t="s">
        <v>15</v>
      </c>
      <c r="I284" s="1" t="str">
        <f>"1"</f>
        <v>1</v>
      </c>
      <c r="J284" s="3" t="str">
        <f>"165000"</f>
        <v>165000</v>
      </c>
      <c r="K284" s="4">
        <v>46079</v>
      </c>
      <c r="L284" s="4">
        <v>46080</v>
      </c>
      <c r="M284" s="1" t="s">
        <v>11764</v>
      </c>
      <c r="N284" s="1" t="s">
        <v>12032</v>
      </c>
    </row>
    <row r="285" spans="1:14" s="1" customFormat="1" x14ac:dyDescent="0.35">
      <c r="A285" s="1" t="s">
        <v>11760</v>
      </c>
      <c r="B285" s="1" t="s">
        <v>1293</v>
      </c>
      <c r="C285" s="1" t="s">
        <v>1297</v>
      </c>
      <c r="D285" s="1" t="s">
        <v>12031</v>
      </c>
      <c r="E285" s="1" t="str">
        <f>"5855"</f>
        <v>5855</v>
      </c>
      <c r="F285" s="1" t="str">
        <f>"015315726"</f>
        <v>015315726</v>
      </c>
      <c r="G285" s="1" t="s">
        <v>1188</v>
      </c>
      <c r="H285" s="1" t="s">
        <v>15</v>
      </c>
      <c r="I285" s="1" t="str">
        <f>"2"</f>
        <v>2</v>
      </c>
      <c r="J285" s="3" t="str">
        <f>"10089"</f>
        <v>10089</v>
      </c>
      <c r="K285" s="4">
        <v>46070</v>
      </c>
      <c r="L285" s="4">
        <v>46071</v>
      </c>
      <c r="M285" s="1" t="s">
        <v>11800</v>
      </c>
      <c r="N285" s="1" t="s">
        <v>12029</v>
      </c>
    </row>
    <row r="286" spans="1:14" s="1" customFormat="1" x14ac:dyDescent="0.35">
      <c r="A286" s="1" t="s">
        <v>11760</v>
      </c>
      <c r="B286" s="1" t="s">
        <v>1293</v>
      </c>
      <c r="C286" s="1" t="s">
        <v>1297</v>
      </c>
      <c r="D286" s="1" t="s">
        <v>12030</v>
      </c>
      <c r="E286" s="1" t="str">
        <f>"5855"</f>
        <v>5855</v>
      </c>
      <c r="F286" s="1" t="str">
        <f>"015315726"</f>
        <v>015315726</v>
      </c>
      <c r="G286" s="1" t="s">
        <v>1188</v>
      </c>
      <c r="H286" s="1" t="s">
        <v>15</v>
      </c>
      <c r="I286" s="1" t="str">
        <f>"1"</f>
        <v>1</v>
      </c>
      <c r="J286" s="3" t="str">
        <f>"10089"</f>
        <v>10089</v>
      </c>
      <c r="K286" s="4">
        <v>46070</v>
      </c>
      <c r="L286" s="4">
        <v>46071</v>
      </c>
      <c r="M286" s="1" t="s">
        <v>11800</v>
      </c>
      <c r="N286" s="1" t="s">
        <v>12029</v>
      </c>
    </row>
    <row r="287" spans="1:14" s="1" customFormat="1" x14ac:dyDescent="0.35">
      <c r="A287" s="1" t="s">
        <v>11760</v>
      </c>
      <c r="B287" s="1" t="s">
        <v>1516</v>
      </c>
      <c r="C287" s="1" t="s">
        <v>1755</v>
      </c>
      <c r="D287" s="1" t="s">
        <v>12028</v>
      </c>
      <c r="E287" s="1" t="str">
        <f>"2320"</f>
        <v>2320</v>
      </c>
      <c r="F287" s="1" t="str">
        <f>"013727397"</f>
        <v>013727397</v>
      </c>
      <c r="G287" s="1" t="s">
        <v>1765</v>
      </c>
      <c r="H287" s="1" t="s">
        <v>15</v>
      </c>
      <c r="I287" s="1" t="str">
        <f>"1"</f>
        <v>1</v>
      </c>
      <c r="J287" s="3" t="str">
        <f>"49093"</f>
        <v>49093</v>
      </c>
      <c r="K287" s="4">
        <v>46045</v>
      </c>
      <c r="L287" s="4">
        <v>46048</v>
      </c>
      <c r="M287" s="1" t="s">
        <v>11789</v>
      </c>
      <c r="N287" s="1" t="s">
        <v>12027</v>
      </c>
    </row>
    <row r="288" spans="1:14" s="1" customFormat="1" x14ac:dyDescent="0.35">
      <c r="A288" s="1" t="s">
        <v>11760</v>
      </c>
      <c r="B288" s="1" t="s">
        <v>1516</v>
      </c>
      <c r="C288" s="1" t="s">
        <v>1755</v>
      </c>
      <c r="D288" s="1" t="s">
        <v>12026</v>
      </c>
      <c r="E288" s="1" t="str">
        <f>"2320"</f>
        <v>2320</v>
      </c>
      <c r="F288" s="1" t="str">
        <f>"011513177"</f>
        <v>011513177</v>
      </c>
      <c r="G288" s="1" t="s">
        <v>1765</v>
      </c>
      <c r="H288" s="1" t="s">
        <v>15</v>
      </c>
      <c r="I288" s="1" t="str">
        <f>"1"</f>
        <v>1</v>
      </c>
      <c r="J288" s="3" t="str">
        <f>"29693"</f>
        <v>29693</v>
      </c>
      <c r="K288" s="4">
        <v>46041</v>
      </c>
      <c r="L288" s="4">
        <v>46042</v>
      </c>
      <c r="M288" s="1" t="s">
        <v>12025</v>
      </c>
      <c r="N288" s="1" t="s">
        <v>12024</v>
      </c>
    </row>
    <row r="289" spans="1:14" s="1" customFormat="1" x14ac:dyDescent="0.35">
      <c r="A289" s="1" t="s">
        <v>11760</v>
      </c>
      <c r="B289" s="1" t="s">
        <v>1516</v>
      </c>
      <c r="C289" s="1" t="s">
        <v>1755</v>
      </c>
      <c r="D289" s="1" t="s">
        <v>12023</v>
      </c>
      <c r="E289" s="1" t="str">
        <f>"8415"</f>
        <v>8415</v>
      </c>
      <c r="F289" s="1" t="str">
        <f>"015387767"</f>
        <v>015387767</v>
      </c>
      <c r="G289" s="1" t="s">
        <v>18</v>
      </c>
      <c r="H289" s="1" t="s">
        <v>15</v>
      </c>
      <c r="I289" s="1" t="str">
        <f>"7"</f>
        <v>7</v>
      </c>
      <c r="J289" s="3">
        <v>111.26</v>
      </c>
      <c r="K289" s="4">
        <v>46072</v>
      </c>
      <c r="L289" s="4">
        <v>46076</v>
      </c>
      <c r="M289" s="1" t="s">
        <v>11789</v>
      </c>
      <c r="N289" s="1" t="s">
        <v>12022</v>
      </c>
    </row>
    <row r="290" spans="1:14" s="1" customFormat="1" x14ac:dyDescent="0.35">
      <c r="A290" s="1" t="s">
        <v>11760</v>
      </c>
      <c r="B290" s="1" t="s">
        <v>1516</v>
      </c>
      <c r="C290" s="1" t="s">
        <v>1755</v>
      </c>
      <c r="D290" s="1" t="s">
        <v>12021</v>
      </c>
      <c r="E290" s="1" t="str">
        <f>"4940"</f>
        <v>4940</v>
      </c>
      <c r="F290" s="1" t="str">
        <f>"010259856"</f>
        <v>010259856</v>
      </c>
      <c r="G290" s="1" t="s">
        <v>6826</v>
      </c>
      <c r="H290" s="1" t="s">
        <v>15</v>
      </c>
      <c r="I290" s="1" t="str">
        <f>"1"</f>
        <v>1</v>
      </c>
      <c r="J290" s="3" t="str">
        <f>"18528"</f>
        <v>18528</v>
      </c>
      <c r="K290" s="4">
        <v>46072</v>
      </c>
      <c r="L290" s="4">
        <v>46076</v>
      </c>
      <c r="M290" s="1" t="s">
        <v>11789</v>
      </c>
      <c r="N290" s="1" t="s">
        <v>12020</v>
      </c>
    </row>
    <row r="291" spans="1:14" s="1" customFormat="1" x14ac:dyDescent="0.35">
      <c r="A291" s="1" t="s">
        <v>11760</v>
      </c>
      <c r="B291" s="1" t="s">
        <v>1516</v>
      </c>
      <c r="C291" s="1" t="s">
        <v>1755</v>
      </c>
      <c r="D291" s="1" t="s">
        <v>12019</v>
      </c>
      <c r="E291" s="1" t="str">
        <f>"5180"</f>
        <v>5180</v>
      </c>
      <c r="F291" s="1" t="str">
        <f>"014830249"</f>
        <v>014830249</v>
      </c>
      <c r="G291" s="1" t="s">
        <v>2821</v>
      </c>
      <c r="H291" s="1" t="s">
        <v>257</v>
      </c>
      <c r="I291" s="1" t="str">
        <f>"2"</f>
        <v>2</v>
      </c>
      <c r="J291" s="3" t="str">
        <f>"1780"</f>
        <v>1780</v>
      </c>
      <c r="K291" s="4">
        <v>46076</v>
      </c>
      <c r="L291" s="4">
        <v>46076</v>
      </c>
      <c r="M291" s="1" t="s">
        <v>12018</v>
      </c>
      <c r="N291" s="1" t="s">
        <v>12017</v>
      </c>
    </row>
    <row r="292" spans="1:14" s="1" customFormat="1" x14ac:dyDescent="0.35">
      <c r="A292" s="1" t="s">
        <v>11760</v>
      </c>
      <c r="B292" s="1" t="s">
        <v>1516</v>
      </c>
      <c r="C292" s="1" t="s">
        <v>1755</v>
      </c>
      <c r="D292" s="1" t="s">
        <v>12016</v>
      </c>
      <c r="E292" s="1" t="str">
        <f>"5855"</f>
        <v>5855</v>
      </c>
      <c r="F292" s="1" t="str">
        <f>"015485687"</f>
        <v>015485687</v>
      </c>
      <c r="G292" s="1" t="s">
        <v>798</v>
      </c>
      <c r="H292" s="1" t="s">
        <v>15</v>
      </c>
      <c r="I292" s="1" t="str">
        <f>"15"</f>
        <v>15</v>
      </c>
      <c r="J292" s="3" t="str">
        <f>"10402"</f>
        <v>10402</v>
      </c>
      <c r="K292" s="4">
        <v>46083</v>
      </c>
      <c r="L292" s="4">
        <v>46083</v>
      </c>
      <c r="M292" s="1" t="s">
        <v>11771</v>
      </c>
      <c r="N292" s="1" t="s">
        <v>12015</v>
      </c>
    </row>
    <row r="293" spans="1:14" s="1" customFormat="1" x14ac:dyDescent="0.35">
      <c r="A293" s="1" t="s">
        <v>11760</v>
      </c>
      <c r="B293" s="1" t="s">
        <v>1516</v>
      </c>
      <c r="C293" s="1" t="s">
        <v>1755</v>
      </c>
      <c r="D293" s="1" t="s">
        <v>12014</v>
      </c>
      <c r="E293" s="1" t="str">
        <f>"5855"</f>
        <v>5855</v>
      </c>
      <c r="F293" s="1" t="str">
        <f>"014199429"</f>
        <v>014199429</v>
      </c>
      <c r="G293" s="1" t="s">
        <v>614</v>
      </c>
      <c r="H293" s="1" t="s">
        <v>15</v>
      </c>
      <c r="I293" s="1" t="str">
        <f>"20"</f>
        <v>20</v>
      </c>
      <c r="J293" s="3" t="str">
        <f>"13003"</f>
        <v>13003</v>
      </c>
      <c r="K293" s="4">
        <v>46084</v>
      </c>
      <c r="L293" s="4">
        <v>46084</v>
      </c>
      <c r="M293" s="1" t="s">
        <v>11771</v>
      </c>
      <c r="N293" s="1" t="s">
        <v>12013</v>
      </c>
    </row>
    <row r="294" spans="1:14" s="1" customFormat="1" x14ac:dyDescent="0.35">
      <c r="A294" s="1" t="s">
        <v>11760</v>
      </c>
      <c r="B294" s="1" t="s">
        <v>1516</v>
      </c>
      <c r="C294" s="1" t="s">
        <v>1755</v>
      </c>
      <c r="D294" s="1" t="s">
        <v>12012</v>
      </c>
      <c r="E294" s="1" t="str">
        <f>"2310"</f>
        <v>2310</v>
      </c>
      <c r="F294" s="1" t="str">
        <f>"010907741"</f>
        <v>010907741</v>
      </c>
      <c r="G294" s="1" t="s">
        <v>710</v>
      </c>
      <c r="H294" s="1" t="s">
        <v>15</v>
      </c>
      <c r="I294" s="1" t="str">
        <f>"1"</f>
        <v>1</v>
      </c>
      <c r="J294" s="3" t="str">
        <f>"30027"</f>
        <v>30027</v>
      </c>
      <c r="K294" s="4">
        <v>46101</v>
      </c>
      <c r="L294" s="4">
        <v>46105</v>
      </c>
      <c r="M294" s="1" t="s">
        <v>11983</v>
      </c>
      <c r="N294" s="1" t="s">
        <v>6823</v>
      </c>
    </row>
    <row r="295" spans="1:14" s="1" customFormat="1" x14ac:dyDescent="0.35">
      <c r="A295" s="1" t="s">
        <v>11760</v>
      </c>
      <c r="B295" s="1" t="s">
        <v>1176</v>
      </c>
      <c r="C295" s="1" t="s">
        <v>12009</v>
      </c>
      <c r="D295" s="1" t="s">
        <v>12011</v>
      </c>
      <c r="E295" s="1" t="str">
        <f>"1240"</f>
        <v>1240</v>
      </c>
      <c r="F295" s="1" t="str">
        <f>"014559413"</f>
        <v>014559413</v>
      </c>
      <c r="G295" s="1" t="s">
        <v>4579</v>
      </c>
      <c r="H295" s="1" t="s">
        <v>15</v>
      </c>
      <c r="I295" s="1" t="str">
        <f>"1"</f>
        <v>1</v>
      </c>
      <c r="J295" s="3" t="str">
        <f>"7500"</f>
        <v>7500</v>
      </c>
      <c r="K295" s="4">
        <v>46110</v>
      </c>
      <c r="L295" s="4">
        <v>46111</v>
      </c>
      <c r="M295" s="1" t="s">
        <v>11771</v>
      </c>
      <c r="N295" s="1" t="s">
        <v>12010</v>
      </c>
    </row>
    <row r="296" spans="1:14" s="1" customFormat="1" x14ac:dyDescent="0.35">
      <c r="A296" s="1" t="s">
        <v>11760</v>
      </c>
      <c r="B296" s="1" t="s">
        <v>1176</v>
      </c>
      <c r="C296" s="1" t="s">
        <v>12009</v>
      </c>
      <c r="D296" s="1" t="s">
        <v>12008</v>
      </c>
      <c r="E296" s="1" t="str">
        <f>"5855"</f>
        <v>5855</v>
      </c>
      <c r="F296" s="1" t="str">
        <f>"015836496"</f>
        <v>015836496</v>
      </c>
      <c r="G296" s="1" t="s">
        <v>810</v>
      </c>
      <c r="H296" s="1" t="s">
        <v>15</v>
      </c>
      <c r="I296" s="1" t="str">
        <f>"1"</f>
        <v>1</v>
      </c>
      <c r="J296" s="3" t="str">
        <f>"103000"</f>
        <v>103000</v>
      </c>
      <c r="K296" s="4">
        <v>46110</v>
      </c>
      <c r="L296" s="4">
        <v>46111</v>
      </c>
      <c r="M296" s="1" t="s">
        <v>11771</v>
      </c>
      <c r="N296" s="1" t="s">
        <v>12007</v>
      </c>
    </row>
    <row r="297" spans="1:14" s="1" customFormat="1" x14ac:dyDescent="0.35">
      <c r="A297" s="1" t="s">
        <v>11760</v>
      </c>
      <c r="B297" s="1" t="s">
        <v>3356</v>
      </c>
      <c r="C297" s="1" t="s">
        <v>3651</v>
      </c>
      <c r="D297" s="1" t="s">
        <v>12006</v>
      </c>
      <c r="E297" s="1" t="str">
        <f>"5965"</f>
        <v>5965</v>
      </c>
      <c r="F297" s="1" t="str">
        <f>"016190258"</f>
        <v>016190258</v>
      </c>
      <c r="G297" s="1" t="s">
        <v>209</v>
      </c>
      <c r="H297" s="1" t="s">
        <v>15</v>
      </c>
      <c r="I297" s="1" t="str">
        <f>"20"</f>
        <v>20</v>
      </c>
      <c r="J297" s="3" t="str">
        <f>"3049"</f>
        <v>3049</v>
      </c>
      <c r="K297" s="4">
        <v>46080</v>
      </c>
      <c r="L297" s="4">
        <v>46084</v>
      </c>
      <c r="M297" s="1" t="s">
        <v>11789</v>
      </c>
      <c r="N297" s="1" t="s">
        <v>12005</v>
      </c>
    </row>
    <row r="298" spans="1:14" s="1" customFormat="1" x14ac:dyDescent="0.35">
      <c r="A298" s="1" t="s">
        <v>11760</v>
      </c>
      <c r="B298" s="1" t="s">
        <v>1516</v>
      </c>
      <c r="C298" s="1" t="s">
        <v>1781</v>
      </c>
      <c r="D298" s="1" t="s">
        <v>12004</v>
      </c>
      <c r="E298" s="1" t="str">
        <f>"2320"</f>
        <v>2320</v>
      </c>
      <c r="F298" s="1" t="s">
        <v>1016</v>
      </c>
      <c r="G298" s="1" t="s">
        <v>1017</v>
      </c>
      <c r="H298" s="1" t="s">
        <v>15</v>
      </c>
      <c r="I298" s="1" t="str">
        <f>"1"</f>
        <v>1</v>
      </c>
      <c r="J298" s="3" t="str">
        <f>"58126"</f>
        <v>58126</v>
      </c>
      <c r="K298" s="4">
        <v>46024</v>
      </c>
      <c r="L298" s="4">
        <v>46027</v>
      </c>
      <c r="M298" s="1" t="s">
        <v>11789</v>
      </c>
      <c r="N298" s="1" t="s">
        <v>12003</v>
      </c>
    </row>
    <row r="299" spans="1:14" s="1" customFormat="1" x14ac:dyDescent="0.35">
      <c r="A299" s="1" t="s">
        <v>11760</v>
      </c>
      <c r="B299" s="1" t="s">
        <v>1516</v>
      </c>
      <c r="C299" s="1" t="s">
        <v>1781</v>
      </c>
      <c r="D299" s="1" t="s">
        <v>12002</v>
      </c>
      <c r="E299" s="1" t="str">
        <f>"2330"</f>
        <v>2330</v>
      </c>
      <c r="F299" s="1" t="str">
        <f>"017224504"</f>
        <v>017224504</v>
      </c>
      <c r="G299" s="1" t="s">
        <v>3514</v>
      </c>
      <c r="H299" s="1" t="s">
        <v>15</v>
      </c>
      <c r="I299" s="1" t="str">
        <f>"1"</f>
        <v>1</v>
      </c>
      <c r="J299" s="3" t="str">
        <f>"270049"</f>
        <v>270049</v>
      </c>
      <c r="K299" s="4">
        <v>46024</v>
      </c>
      <c r="L299" s="4">
        <v>46027</v>
      </c>
      <c r="M299" s="1" t="s">
        <v>11996</v>
      </c>
      <c r="N299" s="1" t="s">
        <v>12000</v>
      </c>
    </row>
    <row r="300" spans="1:14" s="1" customFormat="1" x14ac:dyDescent="0.35">
      <c r="A300" s="1" t="s">
        <v>11760</v>
      </c>
      <c r="B300" s="1" t="s">
        <v>1516</v>
      </c>
      <c r="C300" s="1" t="s">
        <v>1781</v>
      </c>
      <c r="D300" s="1" t="s">
        <v>12001</v>
      </c>
      <c r="E300" s="1" t="str">
        <f>"2330"</f>
        <v>2330</v>
      </c>
      <c r="F300" s="1" t="str">
        <f>"017224504"</f>
        <v>017224504</v>
      </c>
      <c r="G300" s="1" t="s">
        <v>3514</v>
      </c>
      <c r="H300" s="1" t="s">
        <v>15</v>
      </c>
      <c r="I300" s="1" t="str">
        <f>"1"</f>
        <v>1</v>
      </c>
      <c r="J300" s="3" t="str">
        <f>"270049"</f>
        <v>270049</v>
      </c>
      <c r="K300" s="4">
        <v>46024</v>
      </c>
      <c r="L300" s="4">
        <v>46027</v>
      </c>
      <c r="M300" s="1" t="s">
        <v>11996</v>
      </c>
      <c r="N300" s="1" t="s">
        <v>12000</v>
      </c>
    </row>
    <row r="301" spans="1:14" s="1" customFormat="1" x14ac:dyDescent="0.35">
      <c r="A301" s="1" t="s">
        <v>11760</v>
      </c>
      <c r="B301" s="1" t="s">
        <v>1516</v>
      </c>
      <c r="C301" s="1" t="s">
        <v>1781</v>
      </c>
      <c r="D301" s="1" t="s">
        <v>11999</v>
      </c>
      <c r="E301" s="1" t="str">
        <f>"3805"</f>
        <v>3805</v>
      </c>
      <c r="F301" s="1" t="s">
        <v>1020</v>
      </c>
      <c r="G301" s="1" t="s">
        <v>1021</v>
      </c>
      <c r="H301" s="1" t="s">
        <v>15</v>
      </c>
      <c r="I301" s="1" t="str">
        <f>"1"</f>
        <v>1</v>
      </c>
      <c r="J301" s="3" t="str">
        <f>"37206"</f>
        <v>37206</v>
      </c>
      <c r="K301" s="4">
        <v>46025</v>
      </c>
      <c r="L301" s="4">
        <v>46027</v>
      </c>
      <c r="M301" s="1" t="s">
        <v>11996</v>
      </c>
      <c r="N301" s="1" t="s">
        <v>11998</v>
      </c>
    </row>
    <row r="302" spans="1:14" s="1" customFormat="1" x14ac:dyDescent="0.35">
      <c r="A302" s="1" t="s">
        <v>11760</v>
      </c>
      <c r="B302" s="1" t="s">
        <v>1516</v>
      </c>
      <c r="C302" s="1" t="s">
        <v>1781</v>
      </c>
      <c r="D302" s="1" t="s">
        <v>11997</v>
      </c>
      <c r="E302" s="1" t="str">
        <f>"3805"</f>
        <v>3805</v>
      </c>
      <c r="F302" s="1" t="s">
        <v>1020</v>
      </c>
      <c r="G302" s="1" t="s">
        <v>1021</v>
      </c>
      <c r="H302" s="1" t="s">
        <v>15</v>
      </c>
      <c r="I302" s="1" t="str">
        <f>"1"</f>
        <v>1</v>
      </c>
      <c r="J302" s="3" t="str">
        <f>"52105"</f>
        <v>52105</v>
      </c>
      <c r="K302" s="4">
        <v>46025</v>
      </c>
      <c r="L302" s="4">
        <v>46027</v>
      </c>
      <c r="M302" s="1" t="s">
        <v>11996</v>
      </c>
      <c r="N302" s="1" t="s">
        <v>6758</v>
      </c>
    </row>
    <row r="303" spans="1:14" s="1" customFormat="1" x14ac:dyDescent="0.35">
      <c r="A303" s="1" t="s">
        <v>11760</v>
      </c>
      <c r="B303" s="1" t="s">
        <v>1516</v>
      </c>
      <c r="C303" s="1" t="s">
        <v>1781</v>
      </c>
      <c r="D303" s="1" t="s">
        <v>11995</v>
      </c>
      <c r="E303" s="1" t="str">
        <f>"3805"</f>
        <v>3805</v>
      </c>
      <c r="F303" s="1" t="s">
        <v>1020</v>
      </c>
      <c r="G303" s="1" t="s">
        <v>1021</v>
      </c>
      <c r="H303" s="1" t="s">
        <v>15</v>
      </c>
      <c r="I303" s="1" t="str">
        <f>"1"</f>
        <v>1</v>
      </c>
      <c r="J303" s="3" t="str">
        <f>"75000"</f>
        <v>75000</v>
      </c>
      <c r="K303" s="4">
        <v>46063</v>
      </c>
      <c r="L303" s="4">
        <v>46064</v>
      </c>
      <c r="M303" s="1" t="s">
        <v>11857</v>
      </c>
      <c r="N303" s="1" t="s">
        <v>11994</v>
      </c>
    </row>
    <row r="304" spans="1:14" s="1" customFormat="1" x14ac:dyDescent="0.35">
      <c r="A304" s="1" t="s">
        <v>11760</v>
      </c>
      <c r="B304" s="1" t="s">
        <v>1516</v>
      </c>
      <c r="C304" s="1" t="s">
        <v>1781</v>
      </c>
      <c r="D304" s="1" t="s">
        <v>11993</v>
      </c>
      <c r="E304" s="1" t="str">
        <f>"4210"</f>
        <v>4210</v>
      </c>
      <c r="F304" s="1" t="str">
        <f>"001265782"</f>
        <v>001265782</v>
      </c>
      <c r="G304" s="1" t="s">
        <v>11992</v>
      </c>
      <c r="H304" s="1" t="s">
        <v>15</v>
      </c>
      <c r="I304" s="1" t="str">
        <f>"1"</f>
        <v>1</v>
      </c>
      <c r="J304" s="3" t="str">
        <f>"15080"</f>
        <v>15080</v>
      </c>
      <c r="K304" s="4">
        <v>46071</v>
      </c>
      <c r="L304" s="4">
        <v>46072</v>
      </c>
      <c r="M304" s="1" t="s">
        <v>11789</v>
      </c>
      <c r="N304" s="1" t="s">
        <v>11991</v>
      </c>
    </row>
    <row r="305" spans="1:14" s="1" customFormat="1" x14ac:dyDescent="0.35">
      <c r="A305" s="1" t="s">
        <v>11760</v>
      </c>
      <c r="B305" s="1" t="s">
        <v>1516</v>
      </c>
      <c r="C305" s="1" t="s">
        <v>1781</v>
      </c>
      <c r="D305" s="1" t="s">
        <v>11990</v>
      </c>
      <c r="E305" s="1" t="str">
        <f>"4210"</f>
        <v>4210</v>
      </c>
      <c r="F305" s="1" t="s">
        <v>1548</v>
      </c>
      <c r="G305" s="1" t="s">
        <v>1549</v>
      </c>
      <c r="H305" s="1" t="s">
        <v>15</v>
      </c>
      <c r="I305" s="1" t="str">
        <f>"1"</f>
        <v>1</v>
      </c>
      <c r="J305" s="3" t="str">
        <f>"10000"</f>
        <v>10000</v>
      </c>
      <c r="K305" s="4">
        <v>46060</v>
      </c>
      <c r="L305" s="4">
        <v>46062</v>
      </c>
      <c r="N305" s="1" t="s">
        <v>11989</v>
      </c>
    </row>
    <row r="306" spans="1:14" s="1" customFormat="1" x14ac:dyDescent="0.35">
      <c r="A306" s="1" t="s">
        <v>11760</v>
      </c>
      <c r="B306" s="1" t="s">
        <v>1516</v>
      </c>
      <c r="C306" s="1" t="s">
        <v>1781</v>
      </c>
      <c r="D306" s="1" t="s">
        <v>11988</v>
      </c>
      <c r="E306" s="1" t="str">
        <f>"2360"</f>
        <v>2360</v>
      </c>
      <c r="F306" s="1" t="str">
        <f>"015349826"</f>
        <v>015349826</v>
      </c>
      <c r="G306" s="1" t="s">
        <v>1913</v>
      </c>
      <c r="H306" s="1" t="s">
        <v>15</v>
      </c>
      <c r="I306" s="1" t="str">
        <f>"1"</f>
        <v>1</v>
      </c>
      <c r="J306" s="3" t="str">
        <f>"229897"</f>
        <v>229897</v>
      </c>
      <c r="K306" s="4">
        <v>46048</v>
      </c>
      <c r="L306" s="4">
        <v>46048</v>
      </c>
      <c r="M306" s="1" t="s">
        <v>11986</v>
      </c>
      <c r="N306" s="1" t="s">
        <v>11985</v>
      </c>
    </row>
    <row r="307" spans="1:14" s="1" customFormat="1" x14ac:dyDescent="0.35">
      <c r="A307" s="1" t="s">
        <v>11760</v>
      </c>
      <c r="B307" s="1" t="s">
        <v>1516</v>
      </c>
      <c r="C307" s="1" t="s">
        <v>1781</v>
      </c>
      <c r="D307" s="1" t="s">
        <v>11987</v>
      </c>
      <c r="E307" s="1" t="str">
        <f>"2360"</f>
        <v>2360</v>
      </c>
      <c r="F307" s="1" t="str">
        <f>"015349826"</f>
        <v>015349826</v>
      </c>
      <c r="G307" s="1" t="s">
        <v>1913</v>
      </c>
      <c r="H307" s="1" t="s">
        <v>15</v>
      </c>
      <c r="I307" s="1" t="str">
        <f>"1"</f>
        <v>1</v>
      </c>
      <c r="J307" s="3" t="str">
        <f>"229897"</f>
        <v>229897</v>
      </c>
      <c r="K307" s="4">
        <v>46048</v>
      </c>
      <c r="L307" s="4">
        <v>46048</v>
      </c>
      <c r="M307" s="1" t="s">
        <v>11986</v>
      </c>
      <c r="N307" s="1" t="s">
        <v>11985</v>
      </c>
    </row>
    <row r="308" spans="1:14" s="1" customFormat="1" x14ac:dyDescent="0.35">
      <c r="A308" s="1" t="s">
        <v>11760</v>
      </c>
      <c r="B308" s="1" t="s">
        <v>1516</v>
      </c>
      <c r="C308" s="1" t="s">
        <v>1781</v>
      </c>
      <c r="D308" s="1" t="s">
        <v>11984</v>
      </c>
      <c r="E308" s="1" t="str">
        <f>"2310"</f>
        <v>2310</v>
      </c>
      <c r="F308" s="1" t="str">
        <f>"010907741"</f>
        <v>010907741</v>
      </c>
      <c r="G308" s="1" t="s">
        <v>710</v>
      </c>
      <c r="H308" s="1" t="s">
        <v>15</v>
      </c>
      <c r="I308" s="1" t="str">
        <f>"1"</f>
        <v>1</v>
      </c>
      <c r="J308" s="3" t="str">
        <f>"30027"</f>
        <v>30027</v>
      </c>
      <c r="K308" s="4">
        <v>46101</v>
      </c>
      <c r="L308" s="4">
        <v>46105</v>
      </c>
      <c r="M308" s="1" t="s">
        <v>11983</v>
      </c>
      <c r="N308" s="1" t="s">
        <v>6718</v>
      </c>
    </row>
    <row r="309" spans="1:14" s="1" customFormat="1" x14ac:dyDescent="0.35">
      <c r="A309" s="1" t="s">
        <v>11760</v>
      </c>
      <c r="B309" s="1" t="s">
        <v>3356</v>
      </c>
      <c r="C309" s="1" t="s">
        <v>6661</v>
      </c>
      <c r="D309" s="1" t="s">
        <v>11982</v>
      </c>
      <c r="E309" s="1" t="str">
        <f>"2310"</f>
        <v>2310</v>
      </c>
      <c r="F309" s="1" t="str">
        <f>"010907741"</f>
        <v>010907741</v>
      </c>
      <c r="G309" s="1" t="s">
        <v>710</v>
      </c>
      <c r="H309" s="1" t="s">
        <v>15</v>
      </c>
      <c r="I309" s="1" t="str">
        <f>"1"</f>
        <v>1</v>
      </c>
      <c r="J309" s="3" t="str">
        <f>"30027"</f>
        <v>30027</v>
      </c>
      <c r="K309" s="4">
        <v>46071</v>
      </c>
      <c r="L309" s="4">
        <v>46072</v>
      </c>
      <c r="M309" s="1" t="s">
        <v>11981</v>
      </c>
      <c r="N309" s="1" t="s">
        <v>11980</v>
      </c>
    </row>
    <row r="310" spans="1:14" s="1" customFormat="1" x14ac:dyDescent="0.35">
      <c r="A310" s="1" t="s">
        <v>11760</v>
      </c>
      <c r="B310" s="1" t="s">
        <v>3356</v>
      </c>
      <c r="C310" s="1" t="s">
        <v>6661</v>
      </c>
      <c r="D310" s="1" t="s">
        <v>11979</v>
      </c>
      <c r="E310" s="1" t="str">
        <f>"2330"</f>
        <v>2330</v>
      </c>
      <c r="F310" s="1" t="s">
        <v>104</v>
      </c>
      <c r="G310" s="1" t="s">
        <v>105</v>
      </c>
      <c r="H310" s="1" t="s">
        <v>15</v>
      </c>
      <c r="I310" s="1" t="str">
        <f>"1"</f>
        <v>1</v>
      </c>
      <c r="J310" s="3" t="str">
        <f>"5000"</f>
        <v>5000</v>
      </c>
      <c r="K310" s="4">
        <v>46071</v>
      </c>
      <c r="L310" s="4">
        <v>46072</v>
      </c>
      <c r="M310" s="1" t="s">
        <v>11978</v>
      </c>
      <c r="N310" s="1" t="s">
        <v>11977</v>
      </c>
    </row>
    <row r="311" spans="1:14" s="1" customFormat="1" x14ac:dyDescent="0.35">
      <c r="A311" s="1" t="s">
        <v>11760</v>
      </c>
      <c r="B311" s="1" t="s">
        <v>3268</v>
      </c>
      <c r="C311" s="1" t="s">
        <v>3341</v>
      </c>
      <c r="D311" s="1" t="s">
        <v>11976</v>
      </c>
      <c r="E311" s="1" t="str">
        <f>"4240"</f>
        <v>4240</v>
      </c>
      <c r="F311" s="1" t="str">
        <f>"015720262"</f>
        <v>015720262</v>
      </c>
      <c r="G311" s="1" t="s">
        <v>5523</v>
      </c>
      <c r="H311" s="1" t="s">
        <v>15</v>
      </c>
      <c r="I311" s="1" t="str">
        <f>"2"</f>
        <v>2</v>
      </c>
      <c r="J311" s="3">
        <v>2004.7</v>
      </c>
      <c r="K311" s="4">
        <v>46052</v>
      </c>
      <c r="L311" s="4">
        <v>46057</v>
      </c>
      <c r="M311" s="1" t="s">
        <v>11789</v>
      </c>
      <c r="N311" s="1" t="s">
        <v>11975</v>
      </c>
    </row>
    <row r="312" spans="1:14" s="1" customFormat="1" x14ac:dyDescent="0.35">
      <c r="A312" s="1" t="s">
        <v>11760</v>
      </c>
      <c r="B312" s="1" t="s">
        <v>3268</v>
      </c>
      <c r="C312" s="1" t="s">
        <v>3346</v>
      </c>
      <c r="D312" s="1" t="s">
        <v>11974</v>
      </c>
      <c r="E312" s="1" t="str">
        <f>"5855"</f>
        <v>5855</v>
      </c>
      <c r="F312" s="1" t="s">
        <v>1390</v>
      </c>
      <c r="G312" s="1" t="s">
        <v>1391</v>
      </c>
      <c r="H312" s="1" t="s">
        <v>15</v>
      </c>
      <c r="I312" s="1" t="str">
        <f>"4"</f>
        <v>4</v>
      </c>
      <c r="J312" s="3" t="str">
        <f>"100000"</f>
        <v>100000</v>
      </c>
      <c r="K312" s="4">
        <v>46061</v>
      </c>
      <c r="L312" s="4">
        <v>46062</v>
      </c>
      <c r="M312" s="1" t="s">
        <v>11973</v>
      </c>
      <c r="N312" s="1" t="s">
        <v>11972</v>
      </c>
    </row>
    <row r="313" spans="1:14" s="1" customFormat="1" x14ac:dyDescent="0.35">
      <c r="A313" s="1" t="s">
        <v>11760</v>
      </c>
      <c r="B313" s="1" t="s">
        <v>4381</v>
      </c>
      <c r="C313" s="1" t="s">
        <v>4447</v>
      </c>
      <c r="D313" s="1" t="s">
        <v>11971</v>
      </c>
      <c r="E313" s="1" t="str">
        <f>"1240"</f>
        <v>1240</v>
      </c>
      <c r="F313" s="1" t="str">
        <f>"014111265"</f>
        <v>014111265</v>
      </c>
      <c r="G313" s="1" t="s">
        <v>71</v>
      </c>
      <c r="H313" s="1" t="s">
        <v>15</v>
      </c>
      <c r="I313" s="1" t="str">
        <f>"10"</f>
        <v>10</v>
      </c>
      <c r="J313" s="3" t="str">
        <f>"339"</f>
        <v>339</v>
      </c>
      <c r="K313" s="4">
        <v>46035</v>
      </c>
      <c r="L313" s="4">
        <v>46036</v>
      </c>
      <c r="M313" s="1" t="s">
        <v>11970</v>
      </c>
      <c r="N313" s="1" t="s">
        <v>11969</v>
      </c>
    </row>
    <row r="314" spans="1:14" s="1" customFormat="1" x14ac:dyDescent="0.35">
      <c r="A314" s="1" t="s">
        <v>11760</v>
      </c>
      <c r="B314" s="1" t="s">
        <v>4381</v>
      </c>
      <c r="C314" s="1" t="s">
        <v>4447</v>
      </c>
      <c r="D314" s="1" t="s">
        <v>11968</v>
      </c>
      <c r="E314" s="1" t="str">
        <f>"3920"</f>
        <v>3920</v>
      </c>
      <c r="F314" s="1" t="s">
        <v>493</v>
      </c>
      <c r="G314" s="1" t="s">
        <v>494</v>
      </c>
      <c r="H314" s="1" t="s">
        <v>15</v>
      </c>
      <c r="I314" s="1" t="str">
        <f>"2"</f>
        <v>2</v>
      </c>
      <c r="J314" s="3">
        <v>37321.089999999997</v>
      </c>
      <c r="K314" s="4">
        <v>46038</v>
      </c>
      <c r="L314" s="4">
        <v>46042</v>
      </c>
      <c r="M314" s="1" t="s">
        <v>11967</v>
      </c>
      <c r="N314" s="1" t="s">
        <v>11966</v>
      </c>
    </row>
    <row r="315" spans="1:14" s="1" customFormat="1" x14ac:dyDescent="0.35">
      <c r="A315" s="1" t="s">
        <v>11760</v>
      </c>
      <c r="B315" s="1" t="s">
        <v>388</v>
      </c>
      <c r="C315" s="1" t="s">
        <v>6574</v>
      </c>
      <c r="D315" s="1" t="s">
        <v>11965</v>
      </c>
      <c r="E315" s="1" t="str">
        <f>"3930"</f>
        <v>3930</v>
      </c>
      <c r="F315" s="1" t="str">
        <f>"011727891"</f>
        <v>011727891</v>
      </c>
      <c r="G315" s="1" t="s">
        <v>124</v>
      </c>
      <c r="H315" s="1" t="s">
        <v>15</v>
      </c>
      <c r="I315" s="1" t="str">
        <f>"1"</f>
        <v>1</v>
      </c>
      <c r="J315" s="3" t="str">
        <f>"10884"</f>
        <v>10884</v>
      </c>
      <c r="K315" s="4">
        <v>46037</v>
      </c>
      <c r="L315" s="4">
        <v>46042</v>
      </c>
      <c r="M315" s="1" t="s">
        <v>11789</v>
      </c>
      <c r="N315" s="1" t="s">
        <v>11964</v>
      </c>
    </row>
    <row r="316" spans="1:14" s="1" customFormat="1" x14ac:dyDescent="0.35">
      <c r="A316" s="1" t="s">
        <v>11760</v>
      </c>
      <c r="B316" s="1" t="s">
        <v>1453</v>
      </c>
      <c r="C316" s="1" t="s">
        <v>6568</v>
      </c>
      <c r="D316" s="1" t="s">
        <v>11963</v>
      </c>
      <c r="E316" s="1" t="str">
        <f>"5855"</f>
        <v>5855</v>
      </c>
      <c r="F316" s="1" t="str">
        <f>"014199429"</f>
        <v>014199429</v>
      </c>
      <c r="G316" s="1" t="s">
        <v>614</v>
      </c>
      <c r="H316" s="1" t="s">
        <v>15</v>
      </c>
      <c r="I316" s="1" t="str">
        <f>"31"</f>
        <v>31</v>
      </c>
      <c r="J316" s="3" t="str">
        <f>"13003"</f>
        <v>13003</v>
      </c>
      <c r="K316" s="4">
        <v>46083</v>
      </c>
      <c r="L316" s="4">
        <v>46090</v>
      </c>
      <c r="M316" s="1" t="s">
        <v>11771</v>
      </c>
      <c r="N316" s="1" t="s">
        <v>6566</v>
      </c>
    </row>
    <row r="317" spans="1:14" s="1" customFormat="1" x14ac:dyDescent="0.35">
      <c r="A317" s="1" t="s">
        <v>11760</v>
      </c>
      <c r="B317" s="1" t="s">
        <v>913</v>
      </c>
      <c r="C317" s="1" t="s">
        <v>934</v>
      </c>
      <c r="D317" s="1" t="s">
        <v>11962</v>
      </c>
      <c r="E317" s="1" t="str">
        <f>"8145"</f>
        <v>8145</v>
      </c>
      <c r="F317" s="1" t="str">
        <f>"014423336"</f>
        <v>014423336</v>
      </c>
      <c r="G317" s="1" t="s">
        <v>753</v>
      </c>
      <c r="H317" s="1" t="s">
        <v>15</v>
      </c>
      <c r="I317" s="1" t="str">
        <f>"1"</f>
        <v>1</v>
      </c>
      <c r="J317" s="3" t="str">
        <f>"4975"</f>
        <v>4975</v>
      </c>
      <c r="K317" s="4">
        <v>46103</v>
      </c>
      <c r="L317" s="4">
        <v>46104</v>
      </c>
      <c r="M317" s="1" t="s">
        <v>11961</v>
      </c>
      <c r="N317" s="1" t="s">
        <v>939</v>
      </c>
    </row>
    <row r="318" spans="1:14" s="1" customFormat="1" x14ac:dyDescent="0.35">
      <c r="A318" s="1" t="s">
        <v>11760</v>
      </c>
      <c r="B318" s="1" t="s">
        <v>913</v>
      </c>
      <c r="C318" s="1" t="s">
        <v>934</v>
      </c>
      <c r="D318" s="1" t="s">
        <v>11960</v>
      </c>
      <c r="E318" s="1" t="str">
        <f>"8145"</f>
        <v>8145</v>
      </c>
      <c r="F318" s="1" t="str">
        <f>"014423336"</f>
        <v>014423336</v>
      </c>
      <c r="G318" s="1" t="s">
        <v>753</v>
      </c>
      <c r="H318" s="1" t="s">
        <v>15</v>
      </c>
      <c r="I318" s="1" t="str">
        <f>"1"</f>
        <v>1</v>
      </c>
      <c r="J318" s="3" t="str">
        <f>"4975"</f>
        <v>4975</v>
      </c>
      <c r="K318" s="4">
        <v>46103</v>
      </c>
      <c r="L318" s="4">
        <v>46104</v>
      </c>
      <c r="M318" s="1" t="s">
        <v>11959</v>
      </c>
      <c r="N318" s="1" t="s">
        <v>939</v>
      </c>
    </row>
    <row r="319" spans="1:14" s="1" customFormat="1" x14ac:dyDescent="0.35">
      <c r="A319" s="1" t="s">
        <v>11760</v>
      </c>
      <c r="B319" s="1" t="s">
        <v>913</v>
      </c>
      <c r="C319" s="1" t="s">
        <v>934</v>
      </c>
      <c r="D319" s="1" t="s">
        <v>11958</v>
      </c>
      <c r="E319" s="1" t="str">
        <f>"2340"</f>
        <v>2340</v>
      </c>
      <c r="F319" s="1" t="s">
        <v>179</v>
      </c>
      <c r="G319" s="1" t="s">
        <v>180</v>
      </c>
      <c r="H319" s="1" t="s">
        <v>15</v>
      </c>
      <c r="I319" s="1" t="str">
        <f>"1"</f>
        <v>1</v>
      </c>
      <c r="J319" s="3" t="str">
        <f>"31426"</f>
        <v>31426</v>
      </c>
      <c r="K319" s="4">
        <v>46103</v>
      </c>
      <c r="L319" s="4">
        <v>46104</v>
      </c>
      <c r="M319" s="1" t="s">
        <v>11957</v>
      </c>
      <c r="N319" s="1" t="s">
        <v>11956</v>
      </c>
    </row>
    <row r="320" spans="1:14" s="1" customFormat="1" x14ac:dyDescent="0.35">
      <c r="A320" s="1" t="s">
        <v>11760</v>
      </c>
      <c r="B320" s="1" t="s">
        <v>802</v>
      </c>
      <c r="C320" s="1" t="s">
        <v>803</v>
      </c>
      <c r="D320" s="1" t="s">
        <v>11955</v>
      </c>
      <c r="E320" s="1" t="str">
        <f>"6530"</f>
        <v>6530</v>
      </c>
      <c r="F320" s="1" t="str">
        <f>"014325114"</f>
        <v>014325114</v>
      </c>
      <c r="G320" s="1" t="s">
        <v>11954</v>
      </c>
      <c r="H320" s="1" t="s">
        <v>15</v>
      </c>
      <c r="I320" s="1" t="str">
        <f>"4"</f>
        <v>4</v>
      </c>
      <c r="J320" s="3">
        <v>849.39</v>
      </c>
      <c r="K320" s="4">
        <v>46022</v>
      </c>
      <c r="L320" s="4">
        <v>46028</v>
      </c>
      <c r="M320" s="1" t="s">
        <v>11789</v>
      </c>
      <c r="N320" s="1" t="s">
        <v>11953</v>
      </c>
    </row>
    <row r="321" spans="1:14" s="1" customFormat="1" x14ac:dyDescent="0.35">
      <c r="A321" s="1" t="s">
        <v>11760</v>
      </c>
      <c r="B321" s="1" t="s">
        <v>802</v>
      </c>
      <c r="C321" s="1" t="s">
        <v>803</v>
      </c>
      <c r="D321" s="1" t="s">
        <v>11952</v>
      </c>
      <c r="E321" s="1" t="str">
        <f>"8430"</f>
        <v>8430</v>
      </c>
      <c r="F321" s="1" t="str">
        <f>"016937153"</f>
        <v>016937153</v>
      </c>
      <c r="G321" s="1" t="s">
        <v>11951</v>
      </c>
      <c r="H321" s="1" t="s">
        <v>47</v>
      </c>
      <c r="I321" s="1" t="str">
        <f>"1"</f>
        <v>1</v>
      </c>
      <c r="J321" s="3">
        <v>185.91</v>
      </c>
      <c r="K321" s="4">
        <v>46074</v>
      </c>
      <c r="L321" s="4">
        <v>46092</v>
      </c>
      <c r="M321" s="1" t="s">
        <v>11789</v>
      </c>
      <c r="N321" s="1" t="s">
        <v>11950</v>
      </c>
    </row>
    <row r="322" spans="1:14" s="1" customFormat="1" x14ac:dyDescent="0.35">
      <c r="A322" s="1" t="s">
        <v>11760</v>
      </c>
      <c r="B322" s="1" t="s">
        <v>802</v>
      </c>
      <c r="C322" s="1" t="s">
        <v>803</v>
      </c>
      <c r="D322" s="1" t="s">
        <v>11949</v>
      </c>
      <c r="E322" s="1" t="str">
        <f>"8415"</f>
        <v>8415</v>
      </c>
      <c r="F322" s="1" t="str">
        <f>"015802904"</f>
        <v>015802904</v>
      </c>
      <c r="G322" s="1" t="s">
        <v>18</v>
      </c>
      <c r="H322" s="1" t="s">
        <v>15</v>
      </c>
      <c r="I322" s="1" t="str">
        <f>"1"</f>
        <v>1</v>
      </c>
      <c r="J322" s="3">
        <v>150.29</v>
      </c>
      <c r="K322" s="4">
        <v>46074</v>
      </c>
      <c r="L322" s="4">
        <v>46092</v>
      </c>
      <c r="M322" s="1" t="s">
        <v>11789</v>
      </c>
      <c r="N322" s="1" t="s">
        <v>820</v>
      </c>
    </row>
    <row r="323" spans="1:14" s="1" customFormat="1" x14ac:dyDescent="0.35">
      <c r="A323" s="1" t="s">
        <v>11760</v>
      </c>
      <c r="B323" s="1" t="s">
        <v>802</v>
      </c>
      <c r="C323" s="1" t="s">
        <v>803</v>
      </c>
      <c r="D323" s="1" t="s">
        <v>11948</v>
      </c>
      <c r="E323" s="1" t="str">
        <f>"8415"</f>
        <v>8415</v>
      </c>
      <c r="F323" s="1" t="str">
        <f>"015387769"</f>
        <v>015387769</v>
      </c>
      <c r="G323" s="1" t="s">
        <v>18</v>
      </c>
      <c r="H323" s="1" t="s">
        <v>15</v>
      </c>
      <c r="I323" s="1" t="str">
        <f>"1"</f>
        <v>1</v>
      </c>
      <c r="J323" s="3">
        <v>111.26</v>
      </c>
      <c r="K323" s="4">
        <v>46074</v>
      </c>
      <c r="L323" s="4">
        <v>46092</v>
      </c>
      <c r="M323" s="1" t="s">
        <v>11789</v>
      </c>
      <c r="N323" s="1" t="s">
        <v>11947</v>
      </c>
    </row>
    <row r="324" spans="1:14" s="1" customFormat="1" x14ac:dyDescent="0.35">
      <c r="A324" s="1" t="s">
        <v>11760</v>
      </c>
      <c r="B324" s="1" t="s">
        <v>802</v>
      </c>
      <c r="C324" s="1" t="s">
        <v>803</v>
      </c>
      <c r="D324" s="1" t="s">
        <v>11946</v>
      </c>
      <c r="E324" s="1" t="str">
        <f>"8415"</f>
        <v>8415</v>
      </c>
      <c r="F324" s="1" t="str">
        <f>"016795968"</f>
        <v>016795968</v>
      </c>
      <c r="G324" s="1" t="s">
        <v>10922</v>
      </c>
      <c r="H324" s="1" t="s">
        <v>47</v>
      </c>
      <c r="I324" s="1" t="str">
        <f>"1"</f>
        <v>1</v>
      </c>
      <c r="J324" s="3">
        <v>224.56</v>
      </c>
      <c r="K324" s="4">
        <v>46074</v>
      </c>
      <c r="L324" s="4">
        <v>46092</v>
      </c>
      <c r="M324" s="1" t="s">
        <v>11789</v>
      </c>
      <c r="N324" s="1" t="s">
        <v>823</v>
      </c>
    </row>
    <row r="325" spans="1:14" s="1" customFormat="1" x14ac:dyDescent="0.35">
      <c r="A325" s="1" t="s">
        <v>11760</v>
      </c>
      <c r="B325" s="1" t="s">
        <v>1453</v>
      </c>
      <c r="C325" s="1" t="s">
        <v>11945</v>
      </c>
      <c r="D325" s="1" t="s">
        <v>11944</v>
      </c>
      <c r="E325" s="1" t="str">
        <f>"5855"</f>
        <v>5855</v>
      </c>
      <c r="F325" s="1" t="str">
        <f>"015847217"</f>
        <v>015847217</v>
      </c>
      <c r="G325" s="1" t="s">
        <v>614</v>
      </c>
      <c r="H325" s="1" t="s">
        <v>15</v>
      </c>
      <c r="I325" s="1" t="str">
        <f>"11"</f>
        <v>11</v>
      </c>
      <c r="J325" s="3" t="str">
        <f>"34084"</f>
        <v>34084</v>
      </c>
      <c r="K325" s="4">
        <v>46034</v>
      </c>
      <c r="L325" s="4">
        <v>46052</v>
      </c>
      <c r="M325" s="1" t="s">
        <v>11915</v>
      </c>
      <c r="N325" s="1" t="s">
        <v>11943</v>
      </c>
    </row>
    <row r="326" spans="1:14" s="1" customFormat="1" x14ac:dyDescent="0.35">
      <c r="A326" s="1" t="s">
        <v>11760</v>
      </c>
      <c r="B326" s="1" t="s">
        <v>1453</v>
      </c>
      <c r="C326" s="1" t="s">
        <v>1454</v>
      </c>
      <c r="D326" s="1" t="s">
        <v>11942</v>
      </c>
      <c r="E326" s="1" t="str">
        <f>"1990"</f>
        <v>1990</v>
      </c>
      <c r="F326" s="1" t="s">
        <v>5830</v>
      </c>
      <c r="G326" s="1" t="s">
        <v>5829</v>
      </c>
      <c r="H326" s="1" t="s">
        <v>15</v>
      </c>
      <c r="I326" s="1" t="str">
        <f>"1"</f>
        <v>1</v>
      </c>
      <c r="J326" s="3" t="str">
        <f>"42624"</f>
        <v>42624</v>
      </c>
      <c r="K326" s="4">
        <v>46070</v>
      </c>
      <c r="L326" s="4">
        <v>46072</v>
      </c>
      <c r="M326" s="1" t="s">
        <v>11941</v>
      </c>
      <c r="N326" s="1" t="s">
        <v>11940</v>
      </c>
    </row>
    <row r="327" spans="1:14" s="1" customFormat="1" x14ac:dyDescent="0.35">
      <c r="A327" s="1" t="s">
        <v>11760</v>
      </c>
      <c r="B327" s="1" t="s">
        <v>1453</v>
      </c>
      <c r="C327" s="1" t="s">
        <v>1454</v>
      </c>
      <c r="D327" s="1" t="s">
        <v>11939</v>
      </c>
      <c r="E327" s="1" t="str">
        <f>"1240"</f>
        <v>1240</v>
      </c>
      <c r="F327" s="1" t="str">
        <f>"015846306"</f>
        <v>015846306</v>
      </c>
      <c r="G327" s="1" t="s">
        <v>71</v>
      </c>
      <c r="H327" s="1" t="s">
        <v>15</v>
      </c>
      <c r="I327" s="1" t="str">
        <f>"20"</f>
        <v>20</v>
      </c>
      <c r="J327" s="3">
        <v>776.43</v>
      </c>
      <c r="K327" s="4">
        <v>46111</v>
      </c>
      <c r="L327" s="4">
        <v>46111</v>
      </c>
      <c r="M327" s="1" t="s">
        <v>11771</v>
      </c>
      <c r="N327" s="1" t="s">
        <v>11938</v>
      </c>
    </row>
    <row r="328" spans="1:14" s="1" customFormat="1" x14ac:dyDescent="0.35">
      <c r="A328" s="1" t="s">
        <v>11760</v>
      </c>
      <c r="B328" s="1" t="s">
        <v>1791</v>
      </c>
      <c r="C328" s="1" t="s">
        <v>1856</v>
      </c>
      <c r="D328" s="1" t="s">
        <v>11937</v>
      </c>
      <c r="E328" s="1" t="str">
        <f>"3830"</f>
        <v>3830</v>
      </c>
      <c r="F328" s="1" t="s">
        <v>1544</v>
      </c>
      <c r="G328" s="1" t="s">
        <v>1545</v>
      </c>
      <c r="H328" s="1" t="s">
        <v>15</v>
      </c>
      <c r="I328" s="1" t="str">
        <f>"1"</f>
        <v>1</v>
      </c>
      <c r="J328" s="3" t="str">
        <f>"8500"</f>
        <v>8500</v>
      </c>
      <c r="K328" s="4">
        <v>46086</v>
      </c>
      <c r="L328" s="4">
        <v>46087</v>
      </c>
      <c r="M328" s="1" t="s">
        <v>4556</v>
      </c>
      <c r="N328" s="1" t="s">
        <v>11936</v>
      </c>
    </row>
    <row r="329" spans="1:14" s="1" customFormat="1" x14ac:dyDescent="0.35">
      <c r="A329" s="1" t="s">
        <v>11760</v>
      </c>
      <c r="B329" s="1" t="s">
        <v>2196</v>
      </c>
      <c r="C329" s="1" t="s">
        <v>6277</v>
      </c>
      <c r="D329" s="1" t="s">
        <v>11935</v>
      </c>
      <c r="E329" s="1" t="str">
        <f>"2310"</f>
        <v>2310</v>
      </c>
      <c r="F329" s="1" t="str">
        <f>"014998019"</f>
        <v>014998019</v>
      </c>
      <c r="G329" s="1" t="s">
        <v>4671</v>
      </c>
      <c r="H329" s="1" t="s">
        <v>15</v>
      </c>
      <c r="I329" s="1" t="str">
        <f>"1"</f>
        <v>1</v>
      </c>
      <c r="J329" s="3" t="str">
        <f>"165000"</f>
        <v>165000</v>
      </c>
      <c r="K329" s="4">
        <v>46080</v>
      </c>
      <c r="L329" s="4">
        <v>46080</v>
      </c>
      <c r="M329" s="1" t="s">
        <v>11778</v>
      </c>
      <c r="N329" s="1" t="s">
        <v>6278</v>
      </c>
    </row>
    <row r="330" spans="1:14" s="1" customFormat="1" x14ac:dyDescent="0.35">
      <c r="A330" s="1" t="s">
        <v>11760</v>
      </c>
      <c r="B330" s="1" t="s">
        <v>1176</v>
      </c>
      <c r="C330" s="1" t="s">
        <v>1271</v>
      </c>
      <c r="D330" s="1" t="s">
        <v>11934</v>
      </c>
      <c r="E330" s="1" t="str">
        <f>"2360"</f>
        <v>2360</v>
      </c>
      <c r="F330" s="1" t="str">
        <f>"016631082"</f>
        <v>016631082</v>
      </c>
      <c r="G330" s="1" t="s">
        <v>1275</v>
      </c>
      <c r="H330" s="1" t="s">
        <v>15</v>
      </c>
      <c r="I330" s="1" t="str">
        <f>"1"</f>
        <v>1</v>
      </c>
      <c r="J330" s="3" t="str">
        <f>"77060"</f>
        <v>77060</v>
      </c>
      <c r="K330" s="4">
        <v>46093</v>
      </c>
      <c r="L330" s="4">
        <v>46094</v>
      </c>
      <c r="M330" s="1" t="s">
        <v>11933</v>
      </c>
      <c r="N330" s="1" t="s">
        <v>11932</v>
      </c>
    </row>
    <row r="331" spans="1:14" s="1" customFormat="1" x14ac:dyDescent="0.35">
      <c r="A331" s="1" t="s">
        <v>11760</v>
      </c>
      <c r="B331" s="1" t="s">
        <v>1176</v>
      </c>
      <c r="C331" s="1" t="s">
        <v>1271</v>
      </c>
      <c r="D331" s="1" t="s">
        <v>11931</v>
      </c>
      <c r="E331" s="1" t="str">
        <f>"5855"</f>
        <v>5855</v>
      </c>
      <c r="F331" s="1" t="str">
        <f>"016943200"</f>
        <v>016943200</v>
      </c>
      <c r="G331" s="1" t="s">
        <v>5814</v>
      </c>
      <c r="H331" s="1" t="s">
        <v>15</v>
      </c>
      <c r="I331" s="1" t="str">
        <f>"35"</f>
        <v>35</v>
      </c>
      <c r="J331" s="3" t="str">
        <f>"35000"</f>
        <v>35000</v>
      </c>
      <c r="K331" s="4">
        <v>46100</v>
      </c>
      <c r="L331" s="4">
        <v>46101</v>
      </c>
      <c r="M331" s="1" t="s">
        <v>11800</v>
      </c>
      <c r="N331" s="1" t="s">
        <v>11930</v>
      </c>
    </row>
    <row r="332" spans="1:14" s="1" customFormat="1" x14ac:dyDescent="0.35">
      <c r="A332" s="1" t="s">
        <v>11760</v>
      </c>
      <c r="B332" s="1" t="s">
        <v>435</v>
      </c>
      <c r="C332" s="1" t="s">
        <v>472</v>
      </c>
      <c r="D332" s="1" t="s">
        <v>11929</v>
      </c>
      <c r="E332" s="1" t="str">
        <f>"5855"</f>
        <v>5855</v>
      </c>
      <c r="F332" s="1" t="str">
        <f>"015330555"</f>
        <v>015330555</v>
      </c>
      <c r="G332" s="1" t="s">
        <v>476</v>
      </c>
      <c r="H332" s="1" t="s">
        <v>15</v>
      </c>
      <c r="I332" s="1" t="str">
        <f>"4"</f>
        <v>4</v>
      </c>
      <c r="J332" s="3" t="str">
        <f>"1800"</f>
        <v>1800</v>
      </c>
      <c r="K332" s="4">
        <v>46040</v>
      </c>
      <c r="L332" s="4">
        <v>46042</v>
      </c>
      <c r="M332" s="1" t="s">
        <v>11928</v>
      </c>
      <c r="N332" s="1" t="s">
        <v>6191</v>
      </c>
    </row>
    <row r="333" spans="1:14" s="1" customFormat="1" x14ac:dyDescent="0.35">
      <c r="A333" s="1" t="s">
        <v>11760</v>
      </c>
      <c r="B333" s="1" t="s">
        <v>435</v>
      </c>
      <c r="C333" s="1" t="s">
        <v>472</v>
      </c>
      <c r="D333" s="1" t="s">
        <v>11927</v>
      </c>
      <c r="E333" s="1" t="str">
        <f>"1240"</f>
        <v>1240</v>
      </c>
      <c r="F333" s="1" t="str">
        <f>"016813209"</f>
        <v>016813209</v>
      </c>
      <c r="G333" s="1" t="s">
        <v>6044</v>
      </c>
      <c r="H333" s="1" t="s">
        <v>15</v>
      </c>
      <c r="I333" s="1" t="str">
        <f>"9"</f>
        <v>9</v>
      </c>
      <c r="J333" s="3" t="str">
        <f>"3269"</f>
        <v>3269</v>
      </c>
      <c r="K333" s="4">
        <v>46108</v>
      </c>
      <c r="L333" s="4">
        <v>46108</v>
      </c>
      <c r="M333" s="1" t="s">
        <v>11926</v>
      </c>
      <c r="N333" s="1" t="s">
        <v>11925</v>
      </c>
    </row>
    <row r="334" spans="1:14" s="1" customFormat="1" x14ac:dyDescent="0.35">
      <c r="A334" s="1" t="s">
        <v>11760</v>
      </c>
      <c r="B334" s="1" t="s">
        <v>1013</v>
      </c>
      <c r="C334" s="1" t="s">
        <v>1083</v>
      </c>
      <c r="D334" s="1" t="s">
        <v>11924</v>
      </c>
      <c r="E334" s="1" t="str">
        <f>"2330"</f>
        <v>2330</v>
      </c>
      <c r="F334" s="1" t="s">
        <v>104</v>
      </c>
      <c r="G334" s="1" t="s">
        <v>105</v>
      </c>
      <c r="H334" s="1" t="s">
        <v>15</v>
      </c>
      <c r="I334" s="1" t="str">
        <f>"1"</f>
        <v>1</v>
      </c>
      <c r="J334" s="3" t="str">
        <f>"14000"</f>
        <v>14000</v>
      </c>
      <c r="K334" s="4">
        <v>46027</v>
      </c>
      <c r="L334" s="4">
        <v>46028</v>
      </c>
      <c r="M334" s="1" t="s">
        <v>11923</v>
      </c>
      <c r="N334" s="1" t="s">
        <v>11922</v>
      </c>
    </row>
    <row r="335" spans="1:14" s="1" customFormat="1" x14ac:dyDescent="0.35">
      <c r="A335" s="1" t="s">
        <v>11760</v>
      </c>
      <c r="B335" s="1" t="s">
        <v>1013</v>
      </c>
      <c r="C335" s="1" t="s">
        <v>1083</v>
      </c>
      <c r="D335" s="1" t="s">
        <v>11921</v>
      </c>
      <c r="E335" s="1" t="str">
        <f>"2355"</f>
        <v>2355</v>
      </c>
      <c r="F335" s="1" t="str">
        <f>"016254207"</f>
        <v>016254207</v>
      </c>
      <c r="G335" s="1" t="s">
        <v>1860</v>
      </c>
      <c r="H335" s="1" t="s">
        <v>15</v>
      </c>
      <c r="I335" s="1" t="str">
        <f>"1"</f>
        <v>1</v>
      </c>
      <c r="J335" s="3" t="str">
        <f>"50000"</f>
        <v>50000</v>
      </c>
      <c r="K335" s="4">
        <v>46089</v>
      </c>
      <c r="L335" s="4">
        <v>46090</v>
      </c>
      <c r="M335" s="1" t="s">
        <v>11920</v>
      </c>
      <c r="N335" s="1" t="s">
        <v>11919</v>
      </c>
    </row>
    <row r="336" spans="1:14" s="1" customFormat="1" x14ac:dyDescent="0.35">
      <c r="A336" s="1" t="s">
        <v>11760</v>
      </c>
      <c r="B336" s="1" t="s">
        <v>1453</v>
      </c>
      <c r="C336" s="1" t="s">
        <v>1461</v>
      </c>
      <c r="D336" s="1" t="s">
        <v>11918</v>
      </c>
      <c r="E336" s="1" t="str">
        <f>"8415"</f>
        <v>8415</v>
      </c>
      <c r="F336" s="1" t="str">
        <f>"015841417"</f>
        <v>015841417</v>
      </c>
      <c r="G336" s="1" t="s">
        <v>771</v>
      </c>
      <c r="H336" s="1" t="s">
        <v>15</v>
      </c>
      <c r="I336" s="1" t="str">
        <f>"3"</f>
        <v>3</v>
      </c>
      <c r="J336" s="3">
        <v>456.61</v>
      </c>
      <c r="K336" s="4">
        <v>46019</v>
      </c>
      <c r="L336" s="4">
        <v>46027</v>
      </c>
      <c r="M336" s="1" t="s">
        <v>11789</v>
      </c>
      <c r="N336" s="1" t="s">
        <v>1464</v>
      </c>
    </row>
    <row r="337" spans="1:14" s="1" customFormat="1" x14ac:dyDescent="0.35">
      <c r="A337" s="1" t="s">
        <v>11760</v>
      </c>
      <c r="B337" s="1" t="s">
        <v>1453</v>
      </c>
      <c r="C337" s="1" t="s">
        <v>1461</v>
      </c>
      <c r="D337" s="1" t="s">
        <v>11917</v>
      </c>
      <c r="E337" s="1" t="str">
        <f>"8415"</f>
        <v>8415</v>
      </c>
      <c r="F337" s="1" t="str">
        <f>"015841414"</f>
        <v>015841414</v>
      </c>
      <c r="G337" s="1" t="s">
        <v>771</v>
      </c>
      <c r="H337" s="1" t="s">
        <v>15</v>
      </c>
      <c r="I337" s="1" t="str">
        <f>"1"</f>
        <v>1</v>
      </c>
      <c r="J337" s="3">
        <v>456.61</v>
      </c>
      <c r="K337" s="4">
        <v>46019</v>
      </c>
      <c r="L337" s="4">
        <v>46027</v>
      </c>
      <c r="M337" s="1" t="s">
        <v>11789</v>
      </c>
      <c r="N337" s="1" t="s">
        <v>1464</v>
      </c>
    </row>
    <row r="338" spans="1:14" s="1" customFormat="1" x14ac:dyDescent="0.35">
      <c r="A338" s="1" t="s">
        <v>11760</v>
      </c>
      <c r="B338" s="1" t="s">
        <v>1453</v>
      </c>
      <c r="C338" s="1" t="s">
        <v>1461</v>
      </c>
      <c r="D338" s="1" t="s">
        <v>11916</v>
      </c>
      <c r="E338" s="1" t="str">
        <f>"1385"</f>
        <v>1385</v>
      </c>
      <c r="F338" s="1" t="str">
        <f>"016274491"</f>
        <v>016274491</v>
      </c>
      <c r="G338" s="1" t="s">
        <v>6169</v>
      </c>
      <c r="H338" s="1" t="s">
        <v>15</v>
      </c>
      <c r="I338" s="1" t="str">
        <f>"3"</f>
        <v>3</v>
      </c>
      <c r="J338" s="3">
        <v>11556.33</v>
      </c>
      <c r="K338" s="4">
        <v>46049</v>
      </c>
      <c r="L338" s="4">
        <v>46052</v>
      </c>
      <c r="M338" s="1" t="s">
        <v>11915</v>
      </c>
      <c r="N338" s="1" t="s">
        <v>11914</v>
      </c>
    </row>
    <row r="339" spans="1:14" s="1" customFormat="1" x14ac:dyDescent="0.35">
      <c r="A339" s="1" t="s">
        <v>11760</v>
      </c>
      <c r="B339" s="1" t="s">
        <v>1013</v>
      </c>
      <c r="C339" s="1" t="s">
        <v>6016</v>
      </c>
      <c r="D339" s="1" t="s">
        <v>11913</v>
      </c>
      <c r="E339" s="1" t="str">
        <f>"1615"</f>
        <v>1615</v>
      </c>
      <c r="F339" s="1" t="str">
        <f>"013583193"</f>
        <v>013583193</v>
      </c>
      <c r="G339" s="1" t="s">
        <v>11912</v>
      </c>
      <c r="H339" s="1" t="s">
        <v>15</v>
      </c>
      <c r="I339" s="1" t="str">
        <f>"7"</f>
        <v>7</v>
      </c>
      <c r="J339" s="3" t="str">
        <f>"17448"</f>
        <v>17448</v>
      </c>
      <c r="K339" s="4">
        <v>46063</v>
      </c>
      <c r="L339" s="4">
        <v>46064</v>
      </c>
      <c r="M339" s="1" t="s">
        <v>11911</v>
      </c>
      <c r="N339" s="1" t="s">
        <v>11910</v>
      </c>
    </row>
    <row r="340" spans="1:14" s="1" customFormat="1" x14ac:dyDescent="0.35">
      <c r="A340" s="1" t="s">
        <v>11760</v>
      </c>
      <c r="B340" s="1" t="s">
        <v>3356</v>
      </c>
      <c r="C340" s="1" t="s">
        <v>3666</v>
      </c>
      <c r="D340" s="1" t="s">
        <v>11909</v>
      </c>
      <c r="E340" s="1" t="str">
        <f>"2320"</f>
        <v>2320</v>
      </c>
      <c r="F340" s="1" t="s">
        <v>1664</v>
      </c>
      <c r="G340" s="1" t="s">
        <v>1665</v>
      </c>
      <c r="H340" s="1" t="s">
        <v>15</v>
      </c>
      <c r="I340" s="1" t="str">
        <f>"1"</f>
        <v>1</v>
      </c>
      <c r="J340" s="3" t="str">
        <f>"20000"</f>
        <v>20000</v>
      </c>
      <c r="K340" s="4">
        <v>46046</v>
      </c>
      <c r="L340" s="4">
        <v>46048</v>
      </c>
      <c r="M340" s="1" t="s">
        <v>11908</v>
      </c>
      <c r="N340" s="1" t="s">
        <v>11907</v>
      </c>
    </row>
    <row r="341" spans="1:14" s="1" customFormat="1" x14ac:dyDescent="0.35">
      <c r="A341" s="1" t="s">
        <v>11760</v>
      </c>
      <c r="B341" s="1" t="s">
        <v>3356</v>
      </c>
      <c r="C341" s="1" t="s">
        <v>3666</v>
      </c>
      <c r="D341" s="1" t="s">
        <v>11906</v>
      </c>
      <c r="E341" s="1" t="str">
        <f>"2320"</f>
        <v>2320</v>
      </c>
      <c r="F341" s="1" t="str">
        <f>"015092204"</f>
        <v>015092204</v>
      </c>
      <c r="G341" s="1" t="s">
        <v>11905</v>
      </c>
      <c r="H341" s="1" t="s">
        <v>15</v>
      </c>
      <c r="I341" s="1" t="str">
        <f>"1"</f>
        <v>1</v>
      </c>
      <c r="J341" s="3" t="str">
        <f>"18299"</f>
        <v>18299</v>
      </c>
      <c r="K341" s="4">
        <v>46082</v>
      </c>
      <c r="L341" s="4">
        <v>46083</v>
      </c>
      <c r="M341" s="1" t="s">
        <v>11902</v>
      </c>
      <c r="N341" s="1" t="s">
        <v>11904</v>
      </c>
    </row>
    <row r="342" spans="1:14" s="1" customFormat="1" x14ac:dyDescent="0.35">
      <c r="A342" s="1" t="s">
        <v>11760</v>
      </c>
      <c r="B342" s="1" t="s">
        <v>3356</v>
      </c>
      <c r="C342" s="1" t="s">
        <v>3666</v>
      </c>
      <c r="D342" s="1" t="s">
        <v>11903</v>
      </c>
      <c r="E342" s="1" t="str">
        <f>"2320"</f>
        <v>2320</v>
      </c>
      <c r="F342" s="1" t="str">
        <f>"014960404"</f>
        <v>014960404</v>
      </c>
      <c r="G342" s="1" t="s">
        <v>1765</v>
      </c>
      <c r="H342" s="1" t="s">
        <v>15</v>
      </c>
      <c r="I342" s="1" t="str">
        <f>"1"</f>
        <v>1</v>
      </c>
      <c r="J342" s="3">
        <v>21441.29</v>
      </c>
      <c r="K342" s="4">
        <v>46082</v>
      </c>
      <c r="L342" s="4">
        <v>46083</v>
      </c>
      <c r="M342" s="1" t="s">
        <v>11902</v>
      </c>
      <c r="N342" s="1" t="s">
        <v>11901</v>
      </c>
    </row>
    <row r="343" spans="1:14" s="1" customFormat="1" x14ac:dyDescent="0.35">
      <c r="A343" s="1" t="s">
        <v>11760</v>
      </c>
      <c r="B343" s="1" t="s">
        <v>5804</v>
      </c>
      <c r="C343" s="1" t="s">
        <v>5803</v>
      </c>
      <c r="D343" s="1" t="s">
        <v>11900</v>
      </c>
      <c r="E343" s="1" t="str">
        <f>"5855"</f>
        <v>5855</v>
      </c>
      <c r="F343" s="1" t="str">
        <f>"014587524"</f>
        <v>014587524</v>
      </c>
      <c r="G343" s="1" t="s">
        <v>1188</v>
      </c>
      <c r="H343" s="1" t="s">
        <v>15</v>
      </c>
      <c r="I343" s="1" t="str">
        <f>"1"</f>
        <v>1</v>
      </c>
      <c r="J343" s="3" t="str">
        <f>"3500"</f>
        <v>3500</v>
      </c>
      <c r="K343" s="4">
        <v>46044</v>
      </c>
      <c r="L343" s="4">
        <v>46048</v>
      </c>
      <c r="M343" s="1" t="s">
        <v>11825</v>
      </c>
      <c r="N343" s="1" t="s">
        <v>5874</v>
      </c>
    </row>
    <row r="344" spans="1:14" s="1" customFormat="1" x14ac:dyDescent="0.35">
      <c r="A344" s="1" t="s">
        <v>11760</v>
      </c>
      <c r="B344" s="1" t="s">
        <v>5804</v>
      </c>
      <c r="C344" s="1" t="s">
        <v>5803</v>
      </c>
      <c r="D344" s="1" t="s">
        <v>11899</v>
      </c>
      <c r="E344" s="1" t="str">
        <f>"5855"</f>
        <v>5855</v>
      </c>
      <c r="F344" s="1" t="str">
        <f>"014778738"</f>
        <v>014778738</v>
      </c>
      <c r="G344" s="1" t="s">
        <v>614</v>
      </c>
      <c r="H344" s="1" t="s">
        <v>15</v>
      </c>
      <c r="I344" s="1" t="str">
        <f>"1"</f>
        <v>1</v>
      </c>
      <c r="J344" s="3" t="str">
        <f>"7481"</f>
        <v>7481</v>
      </c>
      <c r="K344" s="4">
        <v>46047</v>
      </c>
      <c r="L344" s="4">
        <v>46048</v>
      </c>
      <c r="M344" s="1" t="s">
        <v>11825</v>
      </c>
      <c r="N344" s="1" t="s">
        <v>11898</v>
      </c>
    </row>
    <row r="345" spans="1:14" s="1" customFormat="1" x14ac:dyDescent="0.35">
      <c r="A345" s="1" t="s">
        <v>11760</v>
      </c>
      <c r="B345" s="1" t="s">
        <v>5804</v>
      </c>
      <c r="C345" s="1" t="s">
        <v>5803</v>
      </c>
      <c r="D345" s="1" t="s">
        <v>11897</v>
      </c>
      <c r="E345" s="1" t="str">
        <f>"5855"</f>
        <v>5855</v>
      </c>
      <c r="F345" s="1" t="str">
        <f>"014778738"</f>
        <v>014778738</v>
      </c>
      <c r="G345" s="1" t="s">
        <v>614</v>
      </c>
      <c r="H345" s="1" t="s">
        <v>15</v>
      </c>
      <c r="I345" s="1" t="str">
        <f>"1"</f>
        <v>1</v>
      </c>
      <c r="J345" s="3" t="str">
        <f>"7481"</f>
        <v>7481</v>
      </c>
      <c r="K345" s="4">
        <v>46047</v>
      </c>
      <c r="L345" s="4">
        <v>46048</v>
      </c>
      <c r="M345" s="1" t="s">
        <v>11825</v>
      </c>
      <c r="N345" s="1" t="s">
        <v>11896</v>
      </c>
    </row>
    <row r="346" spans="1:14" s="1" customFormat="1" x14ac:dyDescent="0.35">
      <c r="A346" s="1" t="s">
        <v>11760</v>
      </c>
      <c r="B346" s="1" t="s">
        <v>2641</v>
      </c>
      <c r="C346" s="1" t="s">
        <v>3124</v>
      </c>
      <c r="D346" s="1" t="s">
        <v>11895</v>
      </c>
      <c r="E346" s="1" t="str">
        <f>"8415"</f>
        <v>8415</v>
      </c>
      <c r="F346" s="1" t="str">
        <f>"015386278"</f>
        <v>015386278</v>
      </c>
      <c r="G346" s="1" t="s">
        <v>2097</v>
      </c>
      <c r="H346" s="1" t="s">
        <v>15</v>
      </c>
      <c r="I346" s="1" t="str">
        <f>"2"</f>
        <v>2</v>
      </c>
      <c r="J346" s="3">
        <v>137.97999999999999</v>
      </c>
      <c r="K346" s="4">
        <v>46060</v>
      </c>
      <c r="L346" s="4">
        <v>46063</v>
      </c>
      <c r="M346" s="1" t="s">
        <v>11871</v>
      </c>
      <c r="N346" s="1" t="s">
        <v>11886</v>
      </c>
    </row>
    <row r="347" spans="1:14" s="1" customFormat="1" x14ac:dyDescent="0.35">
      <c r="A347" s="1" t="s">
        <v>11760</v>
      </c>
      <c r="B347" s="1" t="s">
        <v>2641</v>
      </c>
      <c r="C347" s="1" t="s">
        <v>3124</v>
      </c>
      <c r="D347" s="1" t="s">
        <v>11894</v>
      </c>
      <c r="E347" s="1" t="str">
        <f>"8415"</f>
        <v>8415</v>
      </c>
      <c r="F347" s="1" t="str">
        <f>"015802778"</f>
        <v>015802778</v>
      </c>
      <c r="G347" s="1" t="s">
        <v>18</v>
      </c>
      <c r="H347" s="1" t="s">
        <v>15</v>
      </c>
      <c r="I347" s="1" t="str">
        <f>"1"</f>
        <v>1</v>
      </c>
      <c r="J347" s="3">
        <v>150.29</v>
      </c>
      <c r="K347" s="4">
        <v>46060</v>
      </c>
      <c r="L347" s="4">
        <v>46063</v>
      </c>
      <c r="M347" s="1" t="s">
        <v>11871</v>
      </c>
      <c r="N347" s="1" t="s">
        <v>11886</v>
      </c>
    </row>
    <row r="348" spans="1:14" s="1" customFormat="1" x14ac:dyDescent="0.35">
      <c r="A348" s="1" t="s">
        <v>11760</v>
      </c>
      <c r="B348" s="1" t="s">
        <v>2641</v>
      </c>
      <c r="C348" s="1" t="s">
        <v>3124</v>
      </c>
      <c r="D348" s="1" t="s">
        <v>11893</v>
      </c>
      <c r="E348" s="1" t="str">
        <f>"8415"</f>
        <v>8415</v>
      </c>
      <c r="F348" s="1" t="str">
        <f>"015802854"</f>
        <v>015802854</v>
      </c>
      <c r="G348" s="1" t="s">
        <v>18</v>
      </c>
      <c r="H348" s="1" t="s">
        <v>15</v>
      </c>
      <c r="I348" s="1" t="str">
        <f>"5"</f>
        <v>5</v>
      </c>
      <c r="J348" s="3">
        <v>146.83000000000001</v>
      </c>
      <c r="K348" s="4">
        <v>46060</v>
      </c>
      <c r="L348" s="4">
        <v>46063</v>
      </c>
      <c r="M348" s="1" t="s">
        <v>11871</v>
      </c>
      <c r="N348" s="1" t="s">
        <v>11886</v>
      </c>
    </row>
    <row r="349" spans="1:14" s="1" customFormat="1" x14ac:dyDescent="0.35">
      <c r="A349" s="1" t="s">
        <v>11760</v>
      </c>
      <c r="B349" s="1" t="s">
        <v>2641</v>
      </c>
      <c r="C349" s="1" t="s">
        <v>3124</v>
      </c>
      <c r="D349" s="1" t="s">
        <v>11892</v>
      </c>
      <c r="E349" s="1" t="str">
        <f>"8415"</f>
        <v>8415</v>
      </c>
      <c r="F349" s="1" t="str">
        <f>"015802856"</f>
        <v>015802856</v>
      </c>
      <c r="G349" s="1" t="s">
        <v>18</v>
      </c>
      <c r="H349" s="1" t="s">
        <v>15</v>
      </c>
      <c r="I349" s="1" t="str">
        <f>"2"</f>
        <v>2</v>
      </c>
      <c r="J349" s="3">
        <v>146.16</v>
      </c>
      <c r="K349" s="4">
        <v>46060</v>
      </c>
      <c r="L349" s="4">
        <v>46063</v>
      </c>
      <c r="M349" s="1" t="s">
        <v>11871</v>
      </c>
      <c r="N349" s="1" t="s">
        <v>11886</v>
      </c>
    </row>
    <row r="350" spans="1:14" s="1" customFormat="1" x14ac:dyDescent="0.35">
      <c r="A350" s="1" t="s">
        <v>11760</v>
      </c>
      <c r="B350" s="1" t="s">
        <v>2641</v>
      </c>
      <c r="C350" s="1" t="s">
        <v>3124</v>
      </c>
      <c r="D350" s="1" t="s">
        <v>11891</v>
      </c>
      <c r="E350" s="1" t="str">
        <f>"8415"</f>
        <v>8415</v>
      </c>
      <c r="F350" s="1" t="str">
        <f>"015802497"</f>
        <v>015802497</v>
      </c>
      <c r="G350" s="1" t="s">
        <v>22</v>
      </c>
      <c r="H350" s="1" t="s">
        <v>47</v>
      </c>
      <c r="I350" s="1" t="str">
        <f>"2"</f>
        <v>2</v>
      </c>
      <c r="J350" s="3">
        <v>120.1</v>
      </c>
      <c r="K350" s="4">
        <v>46060</v>
      </c>
      <c r="L350" s="4">
        <v>46063</v>
      </c>
      <c r="M350" s="1" t="s">
        <v>11871</v>
      </c>
      <c r="N350" s="1" t="s">
        <v>11886</v>
      </c>
    </row>
    <row r="351" spans="1:14" s="1" customFormat="1" x14ac:dyDescent="0.35">
      <c r="A351" s="1" t="s">
        <v>11760</v>
      </c>
      <c r="B351" s="1" t="s">
        <v>2641</v>
      </c>
      <c r="C351" s="1" t="s">
        <v>3124</v>
      </c>
      <c r="D351" s="1" t="s">
        <v>11890</v>
      </c>
      <c r="E351" s="1" t="str">
        <f>"8415"</f>
        <v>8415</v>
      </c>
      <c r="F351" s="1" t="str">
        <f>"015460019"</f>
        <v>015460019</v>
      </c>
      <c r="G351" s="1" t="s">
        <v>771</v>
      </c>
      <c r="H351" s="1" t="s">
        <v>15</v>
      </c>
      <c r="I351" s="1" t="str">
        <f>"1"</f>
        <v>1</v>
      </c>
      <c r="J351" s="3">
        <v>123.35</v>
      </c>
      <c r="K351" s="4">
        <v>46060</v>
      </c>
      <c r="L351" s="4">
        <v>46063</v>
      </c>
      <c r="M351" s="1" t="s">
        <v>11871</v>
      </c>
      <c r="N351" s="1" t="s">
        <v>11886</v>
      </c>
    </row>
    <row r="352" spans="1:14" s="1" customFormat="1" x14ac:dyDescent="0.35">
      <c r="A352" s="1" t="s">
        <v>11760</v>
      </c>
      <c r="B352" s="1" t="s">
        <v>2641</v>
      </c>
      <c r="C352" s="1" t="s">
        <v>3124</v>
      </c>
      <c r="D352" s="1" t="s">
        <v>11889</v>
      </c>
      <c r="E352" s="1" t="str">
        <f>"8415"</f>
        <v>8415</v>
      </c>
      <c r="F352" s="1" t="str">
        <f>"015459958"</f>
        <v>015459958</v>
      </c>
      <c r="G352" s="1" t="s">
        <v>771</v>
      </c>
      <c r="H352" s="1" t="s">
        <v>15</v>
      </c>
      <c r="I352" s="1" t="str">
        <f>"1"</f>
        <v>1</v>
      </c>
      <c r="J352" s="3">
        <v>123.35</v>
      </c>
      <c r="K352" s="4">
        <v>46060</v>
      </c>
      <c r="L352" s="4">
        <v>46063</v>
      </c>
      <c r="M352" s="1" t="s">
        <v>11871</v>
      </c>
      <c r="N352" s="1" t="s">
        <v>11886</v>
      </c>
    </row>
    <row r="353" spans="1:14" s="1" customFormat="1" x14ac:dyDescent="0.35">
      <c r="A353" s="1" t="s">
        <v>11760</v>
      </c>
      <c r="B353" s="1" t="s">
        <v>2641</v>
      </c>
      <c r="C353" s="1" t="s">
        <v>3124</v>
      </c>
      <c r="D353" s="1" t="s">
        <v>11888</v>
      </c>
      <c r="E353" s="1" t="str">
        <f>"8415"</f>
        <v>8415</v>
      </c>
      <c r="F353" s="1" t="str">
        <f>"015459958"</f>
        <v>015459958</v>
      </c>
      <c r="G353" s="1" t="s">
        <v>771</v>
      </c>
      <c r="H353" s="1" t="s">
        <v>15</v>
      </c>
      <c r="I353" s="1" t="str">
        <f>"1"</f>
        <v>1</v>
      </c>
      <c r="J353" s="3">
        <v>123.35</v>
      </c>
      <c r="K353" s="4">
        <v>46060</v>
      </c>
      <c r="L353" s="4">
        <v>46063</v>
      </c>
      <c r="M353" s="1" t="s">
        <v>11871</v>
      </c>
      <c r="N353" s="1" t="s">
        <v>11886</v>
      </c>
    </row>
    <row r="354" spans="1:14" s="1" customFormat="1" x14ac:dyDescent="0.35">
      <c r="A354" s="1" t="s">
        <v>11760</v>
      </c>
      <c r="B354" s="1" t="s">
        <v>2641</v>
      </c>
      <c r="C354" s="1" t="s">
        <v>3124</v>
      </c>
      <c r="D354" s="1" t="s">
        <v>11887</v>
      </c>
      <c r="E354" s="1" t="str">
        <f>"8415"</f>
        <v>8415</v>
      </c>
      <c r="F354" s="1" t="str">
        <f>"015459958"</f>
        <v>015459958</v>
      </c>
      <c r="G354" s="1" t="s">
        <v>771</v>
      </c>
      <c r="H354" s="1" t="s">
        <v>15</v>
      </c>
      <c r="I354" s="1" t="str">
        <f>"1"</f>
        <v>1</v>
      </c>
      <c r="J354" s="3">
        <v>123.35</v>
      </c>
      <c r="K354" s="4">
        <v>46060</v>
      </c>
      <c r="L354" s="4">
        <v>46063</v>
      </c>
      <c r="M354" s="1" t="s">
        <v>11871</v>
      </c>
      <c r="N354" s="1" t="s">
        <v>11886</v>
      </c>
    </row>
    <row r="355" spans="1:14" s="1" customFormat="1" x14ac:dyDescent="0.35">
      <c r="A355" s="1" t="s">
        <v>11760</v>
      </c>
      <c r="B355" s="1" t="s">
        <v>2641</v>
      </c>
      <c r="C355" s="1" t="s">
        <v>3124</v>
      </c>
      <c r="D355" s="1" t="s">
        <v>11885</v>
      </c>
      <c r="E355" s="1" t="str">
        <f>"8415"</f>
        <v>8415</v>
      </c>
      <c r="F355" s="1" t="str">
        <f>"015802854"</f>
        <v>015802854</v>
      </c>
      <c r="G355" s="1" t="s">
        <v>18</v>
      </c>
      <c r="H355" s="1" t="s">
        <v>15</v>
      </c>
      <c r="I355" s="1" t="str">
        <f>"2"</f>
        <v>2</v>
      </c>
      <c r="J355" s="3">
        <v>146.83000000000001</v>
      </c>
      <c r="K355" s="4">
        <v>46060</v>
      </c>
      <c r="L355" s="4">
        <v>46063</v>
      </c>
      <c r="M355" s="1" t="s">
        <v>11861</v>
      </c>
      <c r="N355" s="1" t="s">
        <v>3143</v>
      </c>
    </row>
    <row r="356" spans="1:14" s="1" customFormat="1" x14ac:dyDescent="0.35">
      <c r="A356" s="1" t="s">
        <v>11760</v>
      </c>
      <c r="B356" s="1" t="s">
        <v>2641</v>
      </c>
      <c r="C356" s="1" t="s">
        <v>3124</v>
      </c>
      <c r="D356" s="1" t="s">
        <v>11884</v>
      </c>
      <c r="E356" s="1" t="str">
        <f>"8415"</f>
        <v>8415</v>
      </c>
      <c r="F356" s="1" t="str">
        <f>"015802861"</f>
        <v>015802861</v>
      </c>
      <c r="G356" s="1" t="s">
        <v>18</v>
      </c>
      <c r="H356" s="1" t="s">
        <v>15</v>
      </c>
      <c r="I356" s="1" t="str">
        <f>"1"</f>
        <v>1</v>
      </c>
      <c r="J356" s="3">
        <v>146.81</v>
      </c>
      <c r="K356" s="4">
        <v>46060</v>
      </c>
      <c r="L356" s="4">
        <v>46063</v>
      </c>
      <c r="M356" s="1" t="s">
        <v>11861</v>
      </c>
      <c r="N356" s="1" t="s">
        <v>3143</v>
      </c>
    </row>
    <row r="357" spans="1:14" s="1" customFormat="1" x14ac:dyDescent="0.35">
      <c r="A357" s="1" t="s">
        <v>11760</v>
      </c>
      <c r="B357" s="1" t="s">
        <v>2641</v>
      </c>
      <c r="C357" s="1" t="s">
        <v>3124</v>
      </c>
      <c r="D357" s="1" t="s">
        <v>11883</v>
      </c>
      <c r="E357" s="1" t="str">
        <f>"8415"</f>
        <v>8415</v>
      </c>
      <c r="F357" s="1" t="str">
        <f>"015802854"</f>
        <v>015802854</v>
      </c>
      <c r="G357" s="1" t="s">
        <v>18</v>
      </c>
      <c r="H357" s="1" t="s">
        <v>15</v>
      </c>
      <c r="I357" s="1" t="str">
        <f>"1"</f>
        <v>1</v>
      </c>
      <c r="J357" s="3">
        <v>146.83000000000001</v>
      </c>
      <c r="K357" s="4">
        <v>46060</v>
      </c>
      <c r="L357" s="4">
        <v>46063</v>
      </c>
      <c r="M357" s="1" t="s">
        <v>11871</v>
      </c>
      <c r="N357" s="1" t="s">
        <v>3143</v>
      </c>
    </row>
    <row r="358" spans="1:14" s="1" customFormat="1" x14ac:dyDescent="0.35">
      <c r="A358" s="1" t="s">
        <v>11760</v>
      </c>
      <c r="B358" s="1" t="s">
        <v>2641</v>
      </c>
      <c r="C358" s="1" t="s">
        <v>3124</v>
      </c>
      <c r="D358" s="1" t="s">
        <v>11882</v>
      </c>
      <c r="E358" s="1" t="str">
        <f>"8415"</f>
        <v>8415</v>
      </c>
      <c r="F358" s="1" t="str">
        <f>"015802854"</f>
        <v>015802854</v>
      </c>
      <c r="G358" s="1" t="s">
        <v>18</v>
      </c>
      <c r="H358" s="1" t="s">
        <v>15</v>
      </c>
      <c r="I358" s="1" t="str">
        <f>"1"</f>
        <v>1</v>
      </c>
      <c r="J358" s="3">
        <v>146.83000000000001</v>
      </c>
      <c r="K358" s="4">
        <v>46060</v>
      </c>
      <c r="L358" s="4">
        <v>46063</v>
      </c>
      <c r="M358" s="1" t="s">
        <v>11861</v>
      </c>
      <c r="N358" s="1" t="s">
        <v>3143</v>
      </c>
    </row>
    <row r="359" spans="1:14" s="1" customFormat="1" x14ac:dyDescent="0.35">
      <c r="A359" s="1" t="s">
        <v>11760</v>
      </c>
      <c r="B359" s="1" t="s">
        <v>2641</v>
      </c>
      <c r="C359" s="1" t="s">
        <v>3124</v>
      </c>
      <c r="D359" s="1" t="s">
        <v>11881</v>
      </c>
      <c r="E359" s="1" t="str">
        <f>"8415"</f>
        <v>8415</v>
      </c>
      <c r="F359" s="1" t="str">
        <f>"015802788"</f>
        <v>015802788</v>
      </c>
      <c r="G359" s="1" t="s">
        <v>18</v>
      </c>
      <c r="H359" s="1" t="s">
        <v>15</v>
      </c>
      <c r="I359" s="1" t="str">
        <f>"1"</f>
        <v>1</v>
      </c>
      <c r="J359" s="3">
        <v>146.81</v>
      </c>
      <c r="K359" s="4">
        <v>46060</v>
      </c>
      <c r="L359" s="4">
        <v>46063</v>
      </c>
      <c r="M359" s="1" t="s">
        <v>11861</v>
      </c>
      <c r="N359" s="1" t="s">
        <v>3143</v>
      </c>
    </row>
    <row r="360" spans="1:14" s="1" customFormat="1" x14ac:dyDescent="0.35">
      <c r="A360" s="1" t="s">
        <v>11760</v>
      </c>
      <c r="B360" s="1" t="s">
        <v>2641</v>
      </c>
      <c r="C360" s="1" t="s">
        <v>3124</v>
      </c>
      <c r="D360" s="1" t="s">
        <v>11880</v>
      </c>
      <c r="E360" s="1" t="str">
        <f>"8415"</f>
        <v>8415</v>
      </c>
      <c r="F360" s="1" t="str">
        <f>"015802861"</f>
        <v>015802861</v>
      </c>
      <c r="G360" s="1" t="s">
        <v>18</v>
      </c>
      <c r="H360" s="1" t="s">
        <v>15</v>
      </c>
      <c r="I360" s="1" t="str">
        <f>"2"</f>
        <v>2</v>
      </c>
      <c r="J360" s="3">
        <v>146.81</v>
      </c>
      <c r="K360" s="4">
        <v>46060</v>
      </c>
      <c r="L360" s="4">
        <v>46063</v>
      </c>
      <c r="M360" s="1" t="s">
        <v>11861</v>
      </c>
      <c r="N360" s="1" t="s">
        <v>3143</v>
      </c>
    </row>
    <row r="361" spans="1:14" s="1" customFormat="1" x14ac:dyDescent="0.35">
      <c r="A361" s="1" t="s">
        <v>11760</v>
      </c>
      <c r="B361" s="1" t="s">
        <v>2641</v>
      </c>
      <c r="C361" s="1" t="s">
        <v>3124</v>
      </c>
      <c r="D361" s="1" t="s">
        <v>11879</v>
      </c>
      <c r="E361" s="1" t="str">
        <f>"8415"</f>
        <v>8415</v>
      </c>
      <c r="F361" s="1" t="str">
        <f>"015802778"</f>
        <v>015802778</v>
      </c>
      <c r="G361" s="1" t="s">
        <v>18</v>
      </c>
      <c r="H361" s="1" t="s">
        <v>15</v>
      </c>
      <c r="I361" s="1" t="str">
        <f>"1"</f>
        <v>1</v>
      </c>
      <c r="J361" s="3">
        <v>150.29</v>
      </c>
      <c r="K361" s="4">
        <v>46060</v>
      </c>
      <c r="L361" s="4">
        <v>46063</v>
      </c>
      <c r="M361" s="1" t="s">
        <v>11861</v>
      </c>
      <c r="N361" s="1" t="s">
        <v>3143</v>
      </c>
    </row>
    <row r="362" spans="1:14" s="1" customFormat="1" x14ac:dyDescent="0.35">
      <c r="A362" s="1" t="s">
        <v>11760</v>
      </c>
      <c r="B362" s="1" t="s">
        <v>2641</v>
      </c>
      <c r="C362" s="1" t="s">
        <v>3124</v>
      </c>
      <c r="D362" s="1" t="s">
        <v>11878</v>
      </c>
      <c r="E362" s="1" t="str">
        <f>"8415"</f>
        <v>8415</v>
      </c>
      <c r="F362" s="1" t="str">
        <f>"015802778"</f>
        <v>015802778</v>
      </c>
      <c r="G362" s="1" t="s">
        <v>18</v>
      </c>
      <c r="H362" s="1" t="s">
        <v>15</v>
      </c>
      <c r="I362" s="1" t="str">
        <f>"1"</f>
        <v>1</v>
      </c>
      <c r="J362" s="3">
        <v>150.29</v>
      </c>
      <c r="K362" s="4">
        <v>46060</v>
      </c>
      <c r="L362" s="4">
        <v>46063</v>
      </c>
      <c r="M362" s="1" t="s">
        <v>11871</v>
      </c>
      <c r="N362" s="1" t="s">
        <v>3143</v>
      </c>
    </row>
    <row r="363" spans="1:14" s="1" customFormat="1" x14ac:dyDescent="0.35">
      <c r="A363" s="1" t="s">
        <v>11760</v>
      </c>
      <c r="B363" s="1" t="s">
        <v>2641</v>
      </c>
      <c r="C363" s="1" t="s">
        <v>3124</v>
      </c>
      <c r="D363" s="1" t="s">
        <v>11877</v>
      </c>
      <c r="E363" s="1" t="str">
        <f>"8415"</f>
        <v>8415</v>
      </c>
      <c r="F363" s="1" t="str">
        <f>"015458642"</f>
        <v>015458642</v>
      </c>
      <c r="G363" s="1" t="s">
        <v>2097</v>
      </c>
      <c r="H363" s="1" t="s">
        <v>15</v>
      </c>
      <c r="I363" s="1" t="str">
        <f>"3"</f>
        <v>3</v>
      </c>
      <c r="J363" s="3">
        <v>137.97999999999999</v>
      </c>
      <c r="K363" s="4">
        <v>46060</v>
      </c>
      <c r="L363" s="4">
        <v>46063</v>
      </c>
      <c r="M363" s="1" t="s">
        <v>11861</v>
      </c>
      <c r="N363" s="1" t="s">
        <v>3143</v>
      </c>
    </row>
    <row r="364" spans="1:14" s="1" customFormat="1" x14ac:dyDescent="0.35">
      <c r="A364" s="1" t="s">
        <v>11760</v>
      </c>
      <c r="B364" s="1" t="s">
        <v>2641</v>
      </c>
      <c r="C364" s="1" t="s">
        <v>3124</v>
      </c>
      <c r="D364" s="1" t="s">
        <v>11876</v>
      </c>
      <c r="E364" s="1" t="str">
        <f>"8415"</f>
        <v>8415</v>
      </c>
      <c r="F364" s="1" t="str">
        <f>"015802782"</f>
        <v>015802782</v>
      </c>
      <c r="G364" s="1" t="s">
        <v>18</v>
      </c>
      <c r="H364" s="1" t="s">
        <v>15</v>
      </c>
      <c r="I364" s="1" t="str">
        <f>"1"</f>
        <v>1</v>
      </c>
      <c r="J364" s="3">
        <v>146.81</v>
      </c>
      <c r="K364" s="4">
        <v>46060</v>
      </c>
      <c r="L364" s="4">
        <v>46063</v>
      </c>
      <c r="M364" s="1" t="s">
        <v>11861</v>
      </c>
      <c r="N364" s="1" t="s">
        <v>3143</v>
      </c>
    </row>
    <row r="365" spans="1:14" s="1" customFormat="1" x14ac:dyDescent="0.35">
      <c r="A365" s="1" t="s">
        <v>11760</v>
      </c>
      <c r="B365" s="1" t="s">
        <v>2641</v>
      </c>
      <c r="C365" s="1" t="s">
        <v>3124</v>
      </c>
      <c r="D365" s="1" t="s">
        <v>11875</v>
      </c>
      <c r="E365" s="1" t="str">
        <f>"8415"</f>
        <v>8415</v>
      </c>
      <c r="F365" s="1" t="str">
        <f>"015386706"</f>
        <v>015386706</v>
      </c>
      <c r="G365" s="1" t="s">
        <v>771</v>
      </c>
      <c r="H365" s="1" t="s">
        <v>15</v>
      </c>
      <c r="I365" s="1" t="str">
        <f>"2"</f>
        <v>2</v>
      </c>
      <c r="J365" s="3">
        <v>123.35</v>
      </c>
      <c r="K365" s="4">
        <v>46060</v>
      </c>
      <c r="L365" s="4">
        <v>46063</v>
      </c>
      <c r="M365" s="1" t="s">
        <v>11861</v>
      </c>
      <c r="N365" s="1" t="s">
        <v>3143</v>
      </c>
    </row>
    <row r="366" spans="1:14" s="1" customFormat="1" x14ac:dyDescent="0.35">
      <c r="A366" s="1" t="s">
        <v>11760</v>
      </c>
      <c r="B366" s="1" t="s">
        <v>2641</v>
      </c>
      <c r="C366" s="1" t="s">
        <v>3124</v>
      </c>
      <c r="D366" s="1" t="s">
        <v>11874</v>
      </c>
      <c r="E366" s="1" t="str">
        <f>"8415"</f>
        <v>8415</v>
      </c>
      <c r="F366" s="1" t="str">
        <f>"015802497"</f>
        <v>015802497</v>
      </c>
      <c r="G366" s="1" t="s">
        <v>22</v>
      </c>
      <c r="H366" s="1" t="s">
        <v>47</v>
      </c>
      <c r="I366" s="1" t="str">
        <f>"1"</f>
        <v>1</v>
      </c>
      <c r="J366" s="3">
        <v>120.1</v>
      </c>
      <c r="K366" s="4">
        <v>46060</v>
      </c>
      <c r="L366" s="4">
        <v>46063</v>
      </c>
      <c r="M366" s="1" t="s">
        <v>11861</v>
      </c>
      <c r="N366" s="1" t="s">
        <v>3143</v>
      </c>
    </row>
    <row r="367" spans="1:14" s="1" customFormat="1" x14ac:dyDescent="0.35">
      <c r="A367" s="1" t="s">
        <v>11760</v>
      </c>
      <c r="B367" s="1" t="s">
        <v>2641</v>
      </c>
      <c r="C367" s="1" t="s">
        <v>3124</v>
      </c>
      <c r="D367" s="1" t="s">
        <v>11873</v>
      </c>
      <c r="E367" s="1" t="str">
        <f>"8415"</f>
        <v>8415</v>
      </c>
      <c r="F367" s="1" t="str">
        <f>"015802497"</f>
        <v>015802497</v>
      </c>
      <c r="G367" s="1" t="s">
        <v>22</v>
      </c>
      <c r="H367" s="1" t="s">
        <v>47</v>
      </c>
      <c r="I367" s="1" t="str">
        <f>"3"</f>
        <v>3</v>
      </c>
      <c r="J367" s="3">
        <v>120.1</v>
      </c>
      <c r="K367" s="4">
        <v>46060</v>
      </c>
      <c r="L367" s="4">
        <v>46063</v>
      </c>
      <c r="M367" s="1" t="s">
        <v>11861</v>
      </c>
      <c r="N367" s="1" t="s">
        <v>3143</v>
      </c>
    </row>
    <row r="368" spans="1:14" s="1" customFormat="1" x14ac:dyDescent="0.35">
      <c r="A368" s="1" t="s">
        <v>11760</v>
      </c>
      <c r="B368" s="1" t="s">
        <v>2641</v>
      </c>
      <c r="C368" s="1" t="s">
        <v>3124</v>
      </c>
      <c r="D368" s="1" t="s">
        <v>11872</v>
      </c>
      <c r="E368" s="1" t="str">
        <f>"8415"</f>
        <v>8415</v>
      </c>
      <c r="F368" s="1" t="str">
        <f>"015802497"</f>
        <v>015802497</v>
      </c>
      <c r="G368" s="1" t="s">
        <v>22</v>
      </c>
      <c r="H368" s="1" t="s">
        <v>47</v>
      </c>
      <c r="I368" s="1" t="str">
        <f>"1"</f>
        <v>1</v>
      </c>
      <c r="J368" s="3">
        <v>120.1</v>
      </c>
      <c r="K368" s="4">
        <v>46060</v>
      </c>
      <c r="L368" s="4">
        <v>46063</v>
      </c>
      <c r="M368" s="1" t="s">
        <v>11871</v>
      </c>
      <c r="N368" s="1" t="s">
        <v>3143</v>
      </c>
    </row>
    <row r="369" spans="1:14" s="1" customFormat="1" x14ac:dyDescent="0.35">
      <c r="A369" s="1" t="s">
        <v>11760</v>
      </c>
      <c r="B369" s="1" t="s">
        <v>2641</v>
      </c>
      <c r="C369" s="1" t="s">
        <v>3124</v>
      </c>
      <c r="D369" s="1" t="s">
        <v>11870</v>
      </c>
      <c r="E369" s="1" t="str">
        <f>"8415"</f>
        <v>8415</v>
      </c>
      <c r="F369" s="1" t="str">
        <f>"015802988"</f>
        <v>015802988</v>
      </c>
      <c r="G369" s="1" t="s">
        <v>758</v>
      </c>
      <c r="H369" s="1" t="s">
        <v>47</v>
      </c>
      <c r="I369" s="1" t="str">
        <f>"1"</f>
        <v>1</v>
      </c>
      <c r="J369" s="3">
        <v>113.3</v>
      </c>
      <c r="K369" s="4">
        <v>46060</v>
      </c>
      <c r="L369" s="4">
        <v>46063</v>
      </c>
      <c r="M369" s="1" t="s">
        <v>11861</v>
      </c>
      <c r="N369" s="1" t="s">
        <v>3143</v>
      </c>
    </row>
    <row r="370" spans="1:14" s="1" customFormat="1" x14ac:dyDescent="0.35">
      <c r="A370" s="1" t="s">
        <v>11760</v>
      </c>
      <c r="B370" s="1" t="s">
        <v>2641</v>
      </c>
      <c r="C370" s="1" t="s">
        <v>3124</v>
      </c>
      <c r="D370" s="1" t="s">
        <v>11869</v>
      </c>
      <c r="E370" s="1" t="str">
        <f>"8415"</f>
        <v>8415</v>
      </c>
      <c r="F370" s="1" t="str">
        <f>"015802497"</f>
        <v>015802497</v>
      </c>
      <c r="G370" s="1" t="s">
        <v>22</v>
      </c>
      <c r="H370" s="1" t="s">
        <v>47</v>
      </c>
      <c r="I370" s="1" t="str">
        <f>"2"</f>
        <v>2</v>
      </c>
      <c r="J370" s="3">
        <v>120.1</v>
      </c>
      <c r="K370" s="4">
        <v>46060</v>
      </c>
      <c r="L370" s="4">
        <v>46063</v>
      </c>
      <c r="M370" s="1" t="s">
        <v>11861</v>
      </c>
      <c r="N370" s="1" t="s">
        <v>3143</v>
      </c>
    </row>
    <row r="371" spans="1:14" s="1" customFormat="1" x14ac:dyDescent="0.35">
      <c r="A371" s="1" t="s">
        <v>11760</v>
      </c>
      <c r="B371" s="1" t="s">
        <v>2641</v>
      </c>
      <c r="C371" s="1" t="s">
        <v>3124</v>
      </c>
      <c r="D371" s="1" t="s">
        <v>11868</v>
      </c>
      <c r="E371" s="1" t="str">
        <f>"8415"</f>
        <v>8415</v>
      </c>
      <c r="F371" s="1" t="str">
        <f>"015802856"</f>
        <v>015802856</v>
      </c>
      <c r="G371" s="1" t="s">
        <v>18</v>
      </c>
      <c r="H371" s="1" t="s">
        <v>15</v>
      </c>
      <c r="I371" s="1" t="str">
        <f>"1"</f>
        <v>1</v>
      </c>
      <c r="J371" s="3">
        <v>146.16</v>
      </c>
      <c r="K371" s="4">
        <v>46060</v>
      </c>
      <c r="L371" s="4">
        <v>46063</v>
      </c>
      <c r="M371" s="1" t="s">
        <v>11861</v>
      </c>
      <c r="N371" s="1" t="s">
        <v>3143</v>
      </c>
    </row>
    <row r="372" spans="1:14" s="1" customFormat="1" x14ac:dyDescent="0.35">
      <c r="A372" s="1" t="s">
        <v>11760</v>
      </c>
      <c r="B372" s="1" t="s">
        <v>2641</v>
      </c>
      <c r="C372" s="1" t="s">
        <v>3124</v>
      </c>
      <c r="D372" s="1" t="s">
        <v>11867</v>
      </c>
      <c r="E372" s="1" t="str">
        <f>"8415"</f>
        <v>8415</v>
      </c>
      <c r="F372" s="1" t="str">
        <f>"015802782"</f>
        <v>015802782</v>
      </c>
      <c r="G372" s="1" t="s">
        <v>18</v>
      </c>
      <c r="H372" s="1" t="s">
        <v>15</v>
      </c>
      <c r="I372" s="1" t="str">
        <f>"1"</f>
        <v>1</v>
      </c>
      <c r="J372" s="3">
        <v>146.81</v>
      </c>
      <c r="K372" s="4">
        <v>46060</v>
      </c>
      <c r="L372" s="4">
        <v>46063</v>
      </c>
      <c r="M372" s="1" t="s">
        <v>11861</v>
      </c>
      <c r="N372" s="1" t="s">
        <v>3143</v>
      </c>
    </row>
    <row r="373" spans="1:14" s="1" customFormat="1" x14ac:dyDescent="0.35">
      <c r="A373" s="1" t="s">
        <v>11760</v>
      </c>
      <c r="B373" s="1" t="s">
        <v>2641</v>
      </c>
      <c r="C373" s="1" t="s">
        <v>3124</v>
      </c>
      <c r="D373" s="1" t="s">
        <v>11866</v>
      </c>
      <c r="E373" s="1" t="str">
        <f>"8415"</f>
        <v>8415</v>
      </c>
      <c r="F373" s="1" t="str">
        <f>"015802856"</f>
        <v>015802856</v>
      </c>
      <c r="G373" s="1" t="s">
        <v>18</v>
      </c>
      <c r="H373" s="1" t="s">
        <v>15</v>
      </c>
      <c r="I373" s="1" t="str">
        <f>"2"</f>
        <v>2</v>
      </c>
      <c r="J373" s="3">
        <v>146.16</v>
      </c>
      <c r="K373" s="4">
        <v>46060</v>
      </c>
      <c r="L373" s="4">
        <v>46063</v>
      </c>
      <c r="M373" s="1" t="s">
        <v>11861</v>
      </c>
      <c r="N373" s="1" t="s">
        <v>3143</v>
      </c>
    </row>
    <row r="374" spans="1:14" s="1" customFormat="1" x14ac:dyDescent="0.35">
      <c r="A374" s="1" t="s">
        <v>11760</v>
      </c>
      <c r="B374" s="1" t="s">
        <v>2641</v>
      </c>
      <c r="C374" s="1" t="s">
        <v>3124</v>
      </c>
      <c r="D374" s="1" t="s">
        <v>11865</v>
      </c>
      <c r="E374" s="1" t="str">
        <f>"8415"</f>
        <v>8415</v>
      </c>
      <c r="F374" s="1" t="str">
        <f>"015802854"</f>
        <v>015802854</v>
      </c>
      <c r="G374" s="1" t="s">
        <v>18</v>
      </c>
      <c r="H374" s="1" t="s">
        <v>15</v>
      </c>
      <c r="I374" s="1" t="str">
        <f>"2"</f>
        <v>2</v>
      </c>
      <c r="J374" s="3">
        <v>146.83000000000001</v>
      </c>
      <c r="K374" s="4">
        <v>46060</v>
      </c>
      <c r="L374" s="4">
        <v>46063</v>
      </c>
      <c r="M374" s="1" t="s">
        <v>11861</v>
      </c>
      <c r="N374" s="1" t="s">
        <v>3143</v>
      </c>
    </row>
    <row r="375" spans="1:14" s="1" customFormat="1" x14ac:dyDescent="0.35">
      <c r="A375" s="1" t="s">
        <v>11760</v>
      </c>
      <c r="B375" s="1" t="s">
        <v>2641</v>
      </c>
      <c r="C375" s="1" t="s">
        <v>3124</v>
      </c>
      <c r="D375" s="1" t="s">
        <v>11864</v>
      </c>
      <c r="E375" s="1" t="str">
        <f>"8415"</f>
        <v>8415</v>
      </c>
      <c r="F375" s="1" t="str">
        <f>"015802782"</f>
        <v>015802782</v>
      </c>
      <c r="G375" s="1" t="s">
        <v>18</v>
      </c>
      <c r="H375" s="1" t="s">
        <v>15</v>
      </c>
      <c r="I375" s="1" t="str">
        <f>"1"</f>
        <v>1</v>
      </c>
      <c r="J375" s="3">
        <v>146.81</v>
      </c>
      <c r="K375" s="4">
        <v>46060</v>
      </c>
      <c r="L375" s="4">
        <v>46063</v>
      </c>
      <c r="M375" s="1" t="s">
        <v>11861</v>
      </c>
      <c r="N375" s="1" t="s">
        <v>3143</v>
      </c>
    </row>
    <row r="376" spans="1:14" s="1" customFormat="1" x14ac:dyDescent="0.35">
      <c r="A376" s="1" t="s">
        <v>11760</v>
      </c>
      <c r="B376" s="1" t="s">
        <v>2641</v>
      </c>
      <c r="C376" s="1" t="s">
        <v>3124</v>
      </c>
      <c r="D376" s="1" t="s">
        <v>11863</v>
      </c>
      <c r="E376" s="1" t="str">
        <f>"8415"</f>
        <v>8415</v>
      </c>
      <c r="F376" s="1" t="str">
        <f>"015802497"</f>
        <v>015802497</v>
      </c>
      <c r="G376" s="1" t="s">
        <v>22</v>
      </c>
      <c r="H376" s="1" t="s">
        <v>47</v>
      </c>
      <c r="I376" s="1" t="str">
        <f>"1"</f>
        <v>1</v>
      </c>
      <c r="J376" s="3">
        <v>120.1</v>
      </c>
      <c r="K376" s="4">
        <v>46060</v>
      </c>
      <c r="L376" s="4">
        <v>46063</v>
      </c>
      <c r="M376" s="1" t="s">
        <v>11861</v>
      </c>
      <c r="N376" s="1" t="s">
        <v>3143</v>
      </c>
    </row>
    <row r="377" spans="1:14" s="1" customFormat="1" x14ac:dyDescent="0.35">
      <c r="A377" s="1" t="s">
        <v>11760</v>
      </c>
      <c r="B377" s="1" t="s">
        <v>2641</v>
      </c>
      <c r="C377" s="1" t="s">
        <v>3124</v>
      </c>
      <c r="D377" s="1" t="s">
        <v>11862</v>
      </c>
      <c r="E377" s="1" t="str">
        <f>"8415"</f>
        <v>8415</v>
      </c>
      <c r="F377" s="1" t="str">
        <f>"015802788"</f>
        <v>015802788</v>
      </c>
      <c r="G377" s="1" t="s">
        <v>18</v>
      </c>
      <c r="H377" s="1" t="s">
        <v>15</v>
      </c>
      <c r="I377" s="1" t="str">
        <f>"1"</f>
        <v>1</v>
      </c>
      <c r="J377" s="3">
        <v>146.81</v>
      </c>
      <c r="K377" s="4">
        <v>46060</v>
      </c>
      <c r="L377" s="4">
        <v>46063</v>
      </c>
      <c r="M377" s="1" t="s">
        <v>11861</v>
      </c>
      <c r="N377" s="1" t="s">
        <v>3143</v>
      </c>
    </row>
    <row r="378" spans="1:14" s="1" customFormat="1" x14ac:dyDescent="0.35">
      <c r="A378" s="1" t="s">
        <v>11760</v>
      </c>
      <c r="B378" s="1" t="s">
        <v>2641</v>
      </c>
      <c r="C378" s="1" t="s">
        <v>3124</v>
      </c>
      <c r="D378" s="1" t="s">
        <v>11860</v>
      </c>
      <c r="E378" s="1" t="str">
        <f>"5855"</f>
        <v>5855</v>
      </c>
      <c r="F378" s="1" t="str">
        <f>"016002918"</f>
        <v>016002918</v>
      </c>
      <c r="G378" s="1" t="s">
        <v>5814</v>
      </c>
      <c r="H378" s="1" t="s">
        <v>15</v>
      </c>
      <c r="I378" s="1" t="str">
        <f>"15"</f>
        <v>15</v>
      </c>
      <c r="J378" s="3" t="str">
        <f>"27000"</f>
        <v>27000</v>
      </c>
      <c r="K378" s="4">
        <v>46089</v>
      </c>
      <c r="L378" s="4">
        <v>46090</v>
      </c>
      <c r="M378" s="1" t="s">
        <v>11771</v>
      </c>
      <c r="N378" s="1" t="s">
        <v>11859</v>
      </c>
    </row>
    <row r="379" spans="1:14" s="1" customFormat="1" x14ac:dyDescent="0.35">
      <c r="A379" s="1" t="s">
        <v>11760</v>
      </c>
      <c r="B379" s="1" t="s">
        <v>1989</v>
      </c>
      <c r="C379" s="1" t="s">
        <v>5632</v>
      </c>
      <c r="D379" s="1" t="s">
        <v>11858</v>
      </c>
      <c r="E379" s="1" t="str">
        <f>"2320"</f>
        <v>2320</v>
      </c>
      <c r="F379" s="1" t="str">
        <f>"014476343"</f>
        <v>014476343</v>
      </c>
      <c r="G379" s="1" t="s">
        <v>930</v>
      </c>
      <c r="H379" s="1" t="s">
        <v>15</v>
      </c>
      <c r="I379" s="1" t="str">
        <f>"1"</f>
        <v>1</v>
      </c>
      <c r="J379" s="3" t="str">
        <f>"176428"</f>
        <v>176428</v>
      </c>
      <c r="K379" s="4">
        <v>46043</v>
      </c>
      <c r="L379" s="4">
        <v>46043</v>
      </c>
      <c r="M379" s="1" t="s">
        <v>11857</v>
      </c>
      <c r="N379" s="1" t="s">
        <v>11856</v>
      </c>
    </row>
    <row r="380" spans="1:14" s="1" customFormat="1" x14ac:dyDescent="0.35">
      <c r="A380" s="1" t="s">
        <v>11760</v>
      </c>
      <c r="B380" s="1" t="s">
        <v>1989</v>
      </c>
      <c r="C380" s="1" t="s">
        <v>5632</v>
      </c>
      <c r="D380" s="1" t="s">
        <v>11855</v>
      </c>
      <c r="E380" s="1" t="str">
        <f>"2330"</f>
        <v>2330</v>
      </c>
      <c r="F380" s="1" t="s">
        <v>104</v>
      </c>
      <c r="G380" s="1" t="s">
        <v>105</v>
      </c>
      <c r="H380" s="1" t="s">
        <v>15</v>
      </c>
      <c r="I380" s="1" t="str">
        <f>"1"</f>
        <v>1</v>
      </c>
      <c r="J380" s="3" t="str">
        <f>"3000"</f>
        <v>3000</v>
      </c>
      <c r="K380" s="4">
        <v>46050</v>
      </c>
      <c r="L380" s="4">
        <v>46050</v>
      </c>
      <c r="M380" s="1" t="s">
        <v>4556</v>
      </c>
      <c r="N380" s="1" t="s">
        <v>11854</v>
      </c>
    </row>
    <row r="381" spans="1:14" s="1" customFormat="1" x14ac:dyDescent="0.35">
      <c r="A381" s="1" t="s">
        <v>11760</v>
      </c>
      <c r="B381" s="1" t="s">
        <v>4247</v>
      </c>
      <c r="C381" s="1" t="s">
        <v>4327</v>
      </c>
      <c r="D381" s="1" t="s">
        <v>11853</v>
      </c>
      <c r="E381" s="1" t="str">
        <f>"5855"</f>
        <v>5855</v>
      </c>
      <c r="F381" s="1" t="str">
        <f>"015485687"</f>
        <v>015485687</v>
      </c>
      <c r="G381" s="1" t="s">
        <v>798</v>
      </c>
      <c r="H381" s="1" t="s">
        <v>15</v>
      </c>
      <c r="I381" s="1" t="str">
        <f>"30"</f>
        <v>30</v>
      </c>
      <c r="J381" s="3" t="str">
        <f>"10402"</f>
        <v>10402</v>
      </c>
      <c r="K381" s="4">
        <v>46043</v>
      </c>
      <c r="L381" s="4">
        <v>46048</v>
      </c>
      <c r="M381" s="1" t="s">
        <v>11852</v>
      </c>
      <c r="N381" s="1" t="s">
        <v>11851</v>
      </c>
    </row>
    <row r="382" spans="1:14" s="1" customFormat="1" x14ac:dyDescent="0.35">
      <c r="A382" s="1" t="s">
        <v>11760</v>
      </c>
      <c r="B382" s="1" t="s">
        <v>435</v>
      </c>
      <c r="C382" s="1" t="s">
        <v>478</v>
      </c>
      <c r="D382" s="1" t="s">
        <v>11850</v>
      </c>
      <c r="E382" s="1" t="str">
        <f>"1550"</f>
        <v>1550</v>
      </c>
      <c r="F382" s="1" t="s">
        <v>11849</v>
      </c>
      <c r="G382" s="1" t="s">
        <v>11848</v>
      </c>
      <c r="H382" s="1" t="s">
        <v>15</v>
      </c>
      <c r="I382" s="1" t="str">
        <f>"4"</f>
        <v>4</v>
      </c>
      <c r="J382" s="3" t="str">
        <f>"168999"</f>
        <v>168999</v>
      </c>
      <c r="K382" s="4">
        <v>46034</v>
      </c>
      <c r="L382" s="4">
        <v>46036</v>
      </c>
      <c r="M382" s="1" t="s">
        <v>11847</v>
      </c>
      <c r="N382" s="1" t="s">
        <v>11846</v>
      </c>
    </row>
    <row r="383" spans="1:14" s="1" customFormat="1" x14ac:dyDescent="0.35">
      <c r="A383" s="1" t="s">
        <v>11760</v>
      </c>
      <c r="B383" s="1" t="s">
        <v>2368</v>
      </c>
      <c r="C383" s="1" t="s">
        <v>5383</v>
      </c>
      <c r="D383" s="1" t="s">
        <v>11845</v>
      </c>
      <c r="E383" s="1" t="str">
        <f>"5855"</f>
        <v>5855</v>
      </c>
      <c r="F383" s="1" t="str">
        <f>"015295375"</f>
        <v>015295375</v>
      </c>
      <c r="G383" s="1" t="s">
        <v>5381</v>
      </c>
      <c r="H383" s="1" t="s">
        <v>15</v>
      </c>
      <c r="I383" s="1" t="str">
        <f>"29"</f>
        <v>29</v>
      </c>
      <c r="J383" s="3">
        <v>431.09</v>
      </c>
      <c r="K383" s="4">
        <v>46028</v>
      </c>
      <c r="L383" s="4">
        <v>46029</v>
      </c>
      <c r="M383" s="1" t="s">
        <v>11797</v>
      </c>
      <c r="N383" s="1" t="s">
        <v>11844</v>
      </c>
    </row>
    <row r="384" spans="1:14" s="1" customFormat="1" x14ac:dyDescent="0.35">
      <c r="A384" s="1" t="s">
        <v>11760</v>
      </c>
      <c r="B384" s="1" t="s">
        <v>1013</v>
      </c>
      <c r="C384" s="1" t="s">
        <v>1095</v>
      </c>
      <c r="D384" s="1" t="s">
        <v>11843</v>
      </c>
      <c r="E384" s="1" t="str">
        <f>"6115"</f>
        <v>6115</v>
      </c>
      <c r="F384" s="1" t="str">
        <f>"013134216"</f>
        <v>013134216</v>
      </c>
      <c r="G384" s="1" t="s">
        <v>1218</v>
      </c>
      <c r="H384" s="1" t="s">
        <v>15</v>
      </c>
      <c r="I384" s="1" t="str">
        <f>"1"</f>
        <v>1</v>
      </c>
      <c r="J384" s="3" t="str">
        <f>"33085"</f>
        <v>33085</v>
      </c>
      <c r="K384" s="4">
        <v>46045</v>
      </c>
      <c r="L384" s="4">
        <v>46045</v>
      </c>
      <c r="M384" s="1" t="s">
        <v>11840</v>
      </c>
      <c r="N384" s="1" t="s">
        <v>11842</v>
      </c>
    </row>
    <row r="385" spans="1:14" s="1" customFormat="1" x14ac:dyDescent="0.35">
      <c r="A385" s="1" t="s">
        <v>11760</v>
      </c>
      <c r="B385" s="1" t="s">
        <v>1013</v>
      </c>
      <c r="C385" s="1" t="s">
        <v>1095</v>
      </c>
      <c r="D385" s="1" t="s">
        <v>11841</v>
      </c>
      <c r="E385" s="1" t="str">
        <f>"6115"</f>
        <v>6115</v>
      </c>
      <c r="F385" s="1" t="str">
        <f>"016122549"</f>
        <v>016122549</v>
      </c>
      <c r="G385" s="1" t="s">
        <v>3659</v>
      </c>
      <c r="H385" s="1" t="s">
        <v>15</v>
      </c>
      <c r="I385" s="1" t="str">
        <f>"1"</f>
        <v>1</v>
      </c>
      <c r="J385" s="3" t="str">
        <f>"7873"</f>
        <v>7873</v>
      </c>
      <c r="K385" s="4">
        <v>46045</v>
      </c>
      <c r="L385" s="4">
        <v>46045</v>
      </c>
      <c r="M385" s="1" t="s">
        <v>11840</v>
      </c>
      <c r="N385" s="1" t="s">
        <v>11839</v>
      </c>
    </row>
    <row r="386" spans="1:14" s="1" customFormat="1" x14ac:dyDescent="0.35">
      <c r="A386" s="1" t="s">
        <v>11760</v>
      </c>
      <c r="B386" s="1" t="s">
        <v>2368</v>
      </c>
      <c r="C386" s="1" t="s">
        <v>2575</v>
      </c>
      <c r="D386" s="1" t="s">
        <v>11838</v>
      </c>
      <c r="E386" s="1" t="str">
        <f>"7830"</f>
        <v>7830</v>
      </c>
      <c r="F386" s="1" t="s">
        <v>11837</v>
      </c>
      <c r="G386" s="1" t="s">
        <v>11836</v>
      </c>
      <c r="H386" s="1" t="s">
        <v>15</v>
      </c>
      <c r="I386" s="1" t="str">
        <f>"1"</f>
        <v>1</v>
      </c>
      <c r="J386" s="3" t="str">
        <f>"2088"</f>
        <v>2088</v>
      </c>
      <c r="K386" s="4">
        <v>46077</v>
      </c>
      <c r="L386" s="4">
        <v>46078</v>
      </c>
      <c r="M386" s="1" t="s">
        <v>11789</v>
      </c>
      <c r="N386" s="1" t="s">
        <v>11835</v>
      </c>
    </row>
    <row r="387" spans="1:14" s="1" customFormat="1" x14ac:dyDescent="0.35">
      <c r="A387" s="1" t="s">
        <v>11760</v>
      </c>
      <c r="B387" s="1" t="s">
        <v>2368</v>
      </c>
      <c r="C387" s="1" t="s">
        <v>2575</v>
      </c>
      <c r="D387" s="1" t="s">
        <v>11834</v>
      </c>
      <c r="E387" s="1" t="str">
        <f>"4910"</f>
        <v>4910</v>
      </c>
      <c r="F387" s="1" t="s">
        <v>145</v>
      </c>
      <c r="G387" s="1" t="s">
        <v>146</v>
      </c>
      <c r="H387" s="1" t="s">
        <v>15</v>
      </c>
      <c r="I387" s="1" t="str">
        <f>"1"</f>
        <v>1</v>
      </c>
      <c r="J387" s="3">
        <v>150.5</v>
      </c>
      <c r="K387" s="4">
        <v>46101</v>
      </c>
      <c r="L387" s="4">
        <v>46104</v>
      </c>
      <c r="M387" s="1" t="s">
        <v>11810</v>
      </c>
      <c r="N387" s="1" t="s">
        <v>11833</v>
      </c>
    </row>
    <row r="388" spans="1:14" s="1" customFormat="1" x14ac:dyDescent="0.35">
      <c r="A388" s="1" t="s">
        <v>11760</v>
      </c>
      <c r="B388" s="1" t="s">
        <v>1176</v>
      </c>
      <c r="C388" s="1" t="s">
        <v>11832</v>
      </c>
      <c r="D388" s="1" t="s">
        <v>11831</v>
      </c>
      <c r="E388" s="1" t="str">
        <f>"6515"</f>
        <v>6515</v>
      </c>
      <c r="F388" s="1" t="s">
        <v>333</v>
      </c>
      <c r="G388" s="1" t="s">
        <v>334</v>
      </c>
      <c r="H388" s="1" t="s">
        <v>15</v>
      </c>
      <c r="I388" s="1" t="str">
        <f>"4"</f>
        <v>4</v>
      </c>
      <c r="J388" s="3" t="str">
        <f>"1000"</f>
        <v>1000</v>
      </c>
      <c r="K388" s="4">
        <v>46059</v>
      </c>
      <c r="L388" s="4">
        <v>46063</v>
      </c>
      <c r="M388" s="1" t="s">
        <v>11789</v>
      </c>
      <c r="N388" s="1" t="s">
        <v>11830</v>
      </c>
    </row>
    <row r="389" spans="1:14" s="1" customFormat="1" x14ac:dyDescent="0.35">
      <c r="A389" s="1" t="s">
        <v>11760</v>
      </c>
      <c r="B389" s="1" t="s">
        <v>4456</v>
      </c>
      <c r="C389" s="1" t="s">
        <v>5339</v>
      </c>
      <c r="D389" s="1" t="s">
        <v>11829</v>
      </c>
      <c r="E389" s="1" t="str">
        <f>"8340"</f>
        <v>8340</v>
      </c>
      <c r="F389" s="1" t="str">
        <f>"013232454"</f>
        <v>013232454</v>
      </c>
      <c r="G389" s="1" t="s">
        <v>326</v>
      </c>
      <c r="H389" s="1" t="s">
        <v>15</v>
      </c>
      <c r="I389" s="1" t="str">
        <f>"1"</f>
        <v>1</v>
      </c>
      <c r="J389" s="3">
        <v>5871.86</v>
      </c>
      <c r="K389" s="4">
        <v>46066</v>
      </c>
      <c r="L389" s="4">
        <v>46070</v>
      </c>
      <c r="M389" s="1" t="s">
        <v>11828</v>
      </c>
      <c r="N389" s="1" t="s">
        <v>11827</v>
      </c>
    </row>
    <row r="390" spans="1:14" s="1" customFormat="1" x14ac:dyDescent="0.35">
      <c r="A390" s="1" t="s">
        <v>11760</v>
      </c>
      <c r="B390" s="1" t="s">
        <v>4456</v>
      </c>
      <c r="C390" s="1" t="s">
        <v>5339</v>
      </c>
      <c r="D390" s="1" t="s">
        <v>11826</v>
      </c>
      <c r="E390" s="1" t="str">
        <f>"5855"</f>
        <v>5855</v>
      </c>
      <c r="F390" s="1" t="s">
        <v>1390</v>
      </c>
      <c r="G390" s="1" t="s">
        <v>1391</v>
      </c>
      <c r="H390" s="1" t="s">
        <v>15</v>
      </c>
      <c r="I390" s="1" t="str">
        <f>"4"</f>
        <v>4</v>
      </c>
      <c r="J390" s="3" t="str">
        <f>"13500"</f>
        <v>13500</v>
      </c>
      <c r="K390" s="4">
        <v>46062</v>
      </c>
      <c r="L390" s="4">
        <v>46063</v>
      </c>
      <c r="M390" s="1" t="s">
        <v>11825</v>
      </c>
      <c r="N390" s="1" t="s">
        <v>11824</v>
      </c>
    </row>
    <row r="391" spans="1:14" s="1" customFormat="1" x14ac:dyDescent="0.35">
      <c r="A391" s="1" t="s">
        <v>11760</v>
      </c>
      <c r="B391" s="1" t="s">
        <v>4456</v>
      </c>
      <c r="C391" s="1" t="s">
        <v>5339</v>
      </c>
      <c r="D391" s="1" t="s">
        <v>11823</v>
      </c>
      <c r="E391" s="1" t="str">
        <f>"5965"</f>
        <v>5965</v>
      </c>
      <c r="F391" s="1" t="str">
        <f>"014532684"</f>
        <v>014532684</v>
      </c>
      <c r="G391" s="1" t="s">
        <v>209</v>
      </c>
      <c r="H391" s="1" t="s">
        <v>15</v>
      </c>
      <c r="I391" s="1" t="str">
        <f>"12"</f>
        <v>12</v>
      </c>
      <c r="J391" s="3" t="str">
        <f>"3669"</f>
        <v>3669</v>
      </c>
      <c r="K391" s="4">
        <v>46081</v>
      </c>
      <c r="L391" s="4">
        <v>46083</v>
      </c>
      <c r="M391" s="1" t="s">
        <v>11789</v>
      </c>
      <c r="N391" s="1" t="s">
        <v>11822</v>
      </c>
    </row>
    <row r="392" spans="1:14" s="1" customFormat="1" x14ac:dyDescent="0.35">
      <c r="A392" s="1" t="s">
        <v>11760</v>
      </c>
      <c r="B392" s="1" t="s">
        <v>2368</v>
      </c>
      <c r="C392" s="1" t="s">
        <v>5335</v>
      </c>
      <c r="D392" s="1" t="s">
        <v>11821</v>
      </c>
      <c r="E392" s="1" t="str">
        <f>"6545"</f>
        <v>6545</v>
      </c>
      <c r="F392" s="1" t="str">
        <f>"015300929"</f>
        <v>015300929</v>
      </c>
      <c r="G392" s="1" t="s">
        <v>167</v>
      </c>
      <c r="H392" s="1" t="s">
        <v>168</v>
      </c>
      <c r="I392" s="1" t="str">
        <f>"2"</f>
        <v>2</v>
      </c>
      <c r="J392" s="3">
        <v>48.71</v>
      </c>
      <c r="K392" s="4">
        <v>46102</v>
      </c>
      <c r="L392" s="4">
        <v>46104</v>
      </c>
      <c r="M392" s="1" t="s">
        <v>11820</v>
      </c>
      <c r="N392" s="1" t="s">
        <v>11819</v>
      </c>
    </row>
    <row r="393" spans="1:14" s="1" customFormat="1" x14ac:dyDescent="0.35">
      <c r="A393" s="1" t="s">
        <v>11760</v>
      </c>
      <c r="B393" s="1" t="s">
        <v>73</v>
      </c>
      <c r="C393" s="1" t="s">
        <v>224</v>
      </c>
      <c r="D393" s="1" t="s">
        <v>11818</v>
      </c>
      <c r="E393" s="1" t="str">
        <f>"8430"</f>
        <v>8430</v>
      </c>
      <c r="F393" s="1" t="str">
        <f>"016324401"</f>
        <v>016324401</v>
      </c>
      <c r="G393" s="1" t="s">
        <v>905</v>
      </c>
      <c r="H393" s="1" t="s">
        <v>47</v>
      </c>
      <c r="I393" s="1" t="str">
        <f>"2"</f>
        <v>2</v>
      </c>
      <c r="J393" s="3">
        <v>118.5</v>
      </c>
      <c r="K393" s="4">
        <v>46070</v>
      </c>
      <c r="L393" s="4">
        <v>46070</v>
      </c>
      <c r="N393" s="1" t="s">
        <v>270</v>
      </c>
    </row>
    <row r="394" spans="1:14" s="1" customFormat="1" x14ac:dyDescent="0.35">
      <c r="A394" s="1" t="s">
        <v>11760</v>
      </c>
      <c r="B394" s="1" t="s">
        <v>1013</v>
      </c>
      <c r="C394" s="1" t="s">
        <v>5153</v>
      </c>
      <c r="D394" s="1" t="s">
        <v>11817</v>
      </c>
      <c r="E394" s="1" t="str">
        <f>"5855"</f>
        <v>5855</v>
      </c>
      <c r="F394" s="1" t="str">
        <f>"014199429"</f>
        <v>014199429</v>
      </c>
      <c r="G394" s="1" t="s">
        <v>614</v>
      </c>
      <c r="H394" s="1" t="s">
        <v>15</v>
      </c>
      <c r="I394" s="1" t="str">
        <f>"16"</f>
        <v>16</v>
      </c>
      <c r="J394" s="3" t="str">
        <f>"13003"</f>
        <v>13003</v>
      </c>
      <c r="K394" s="4">
        <v>46084</v>
      </c>
      <c r="L394" s="4">
        <v>46084</v>
      </c>
      <c r="M394" s="1" t="s">
        <v>11771</v>
      </c>
      <c r="N394" s="1" t="s">
        <v>11816</v>
      </c>
    </row>
    <row r="395" spans="1:14" s="1" customFormat="1" x14ac:dyDescent="0.35">
      <c r="A395" s="1" t="s">
        <v>11760</v>
      </c>
      <c r="B395" s="1" t="s">
        <v>861</v>
      </c>
      <c r="C395" s="1" t="s">
        <v>899</v>
      </c>
      <c r="D395" s="1" t="s">
        <v>11815</v>
      </c>
      <c r="E395" s="1" t="str">
        <f>"8405"</f>
        <v>8405</v>
      </c>
      <c r="F395" s="1" t="str">
        <f>"015472559"</f>
        <v>015472559</v>
      </c>
      <c r="G395" s="1" t="s">
        <v>893</v>
      </c>
      <c r="H395" s="1" t="s">
        <v>15</v>
      </c>
      <c r="I395" s="1" t="str">
        <f>"30"</f>
        <v>30</v>
      </c>
      <c r="J395" s="3">
        <v>38.4</v>
      </c>
      <c r="K395" s="4">
        <v>46049</v>
      </c>
      <c r="L395" s="4">
        <v>46051</v>
      </c>
      <c r="M395" s="1" t="s">
        <v>11789</v>
      </c>
      <c r="N395" s="1" t="s">
        <v>11814</v>
      </c>
    </row>
    <row r="396" spans="1:14" s="1" customFormat="1" x14ac:dyDescent="0.35">
      <c r="A396" s="1" t="s">
        <v>11760</v>
      </c>
      <c r="B396" s="1" t="s">
        <v>861</v>
      </c>
      <c r="C396" s="1" t="s">
        <v>899</v>
      </c>
      <c r="D396" s="1" t="s">
        <v>11813</v>
      </c>
      <c r="E396" s="1" t="str">
        <f>"8435"</f>
        <v>8435</v>
      </c>
      <c r="F396" s="1" t="str">
        <f>"016757973"</f>
        <v>016757973</v>
      </c>
      <c r="G396" s="1" t="s">
        <v>908</v>
      </c>
      <c r="H396" s="1" t="s">
        <v>47</v>
      </c>
      <c r="I396" s="1" t="str">
        <f>"1"</f>
        <v>1</v>
      </c>
      <c r="J396" s="3">
        <v>158.99</v>
      </c>
      <c r="K396" s="4">
        <v>46055</v>
      </c>
      <c r="L396" s="4">
        <v>46057</v>
      </c>
      <c r="M396" s="1" t="s">
        <v>11789</v>
      </c>
      <c r="N396" s="1" t="s">
        <v>11812</v>
      </c>
    </row>
    <row r="397" spans="1:14" s="1" customFormat="1" x14ac:dyDescent="0.35">
      <c r="A397" s="1" t="s">
        <v>11760</v>
      </c>
      <c r="B397" s="1" t="s">
        <v>861</v>
      </c>
      <c r="C397" s="1" t="s">
        <v>899</v>
      </c>
      <c r="D397" s="1" t="s">
        <v>11811</v>
      </c>
      <c r="E397" s="1" t="str">
        <f>"8415"</f>
        <v>8415</v>
      </c>
      <c r="F397" s="1" t="str">
        <f>"015386754"</f>
        <v>015386754</v>
      </c>
      <c r="G397" s="1" t="s">
        <v>761</v>
      </c>
      <c r="H397" s="1" t="s">
        <v>15</v>
      </c>
      <c r="I397" s="1" t="str">
        <f>"1"</f>
        <v>1</v>
      </c>
      <c r="J397" s="3">
        <v>63.88</v>
      </c>
      <c r="K397" s="4">
        <v>46100</v>
      </c>
      <c r="L397" s="4">
        <v>46104</v>
      </c>
      <c r="M397" s="1" t="s">
        <v>11810</v>
      </c>
      <c r="N397" s="1" t="s">
        <v>11809</v>
      </c>
    </row>
    <row r="398" spans="1:14" s="1" customFormat="1" x14ac:dyDescent="0.35">
      <c r="A398" s="1" t="s">
        <v>11760</v>
      </c>
      <c r="B398" s="1" t="s">
        <v>4883</v>
      </c>
      <c r="C398" s="1" t="s">
        <v>5132</v>
      </c>
      <c r="D398" s="1" t="s">
        <v>11808</v>
      </c>
      <c r="E398" s="1" t="str">
        <f>"5855"</f>
        <v>5855</v>
      </c>
      <c r="F398" s="1" t="str">
        <f>"015137561"</f>
        <v>015137561</v>
      </c>
      <c r="G398" s="1" t="s">
        <v>4264</v>
      </c>
      <c r="H398" s="1" t="s">
        <v>15</v>
      </c>
      <c r="I398" s="1" t="str">
        <f>"1"</f>
        <v>1</v>
      </c>
      <c r="J398" s="3">
        <v>3309.75</v>
      </c>
      <c r="K398" s="4">
        <v>46057</v>
      </c>
      <c r="L398" s="4">
        <v>46058</v>
      </c>
      <c r="M398" s="1" t="s">
        <v>11800</v>
      </c>
      <c r="N398" s="1" t="s">
        <v>11805</v>
      </c>
    </row>
    <row r="399" spans="1:14" s="1" customFormat="1" x14ac:dyDescent="0.35">
      <c r="A399" s="1" t="s">
        <v>11760</v>
      </c>
      <c r="B399" s="1" t="s">
        <v>4883</v>
      </c>
      <c r="C399" s="1" t="s">
        <v>5132</v>
      </c>
      <c r="D399" s="1" t="s">
        <v>11807</v>
      </c>
      <c r="E399" s="1" t="str">
        <f>"5855"</f>
        <v>5855</v>
      </c>
      <c r="F399" s="1" t="str">
        <f>"015137561"</f>
        <v>015137561</v>
      </c>
      <c r="G399" s="1" t="s">
        <v>4264</v>
      </c>
      <c r="H399" s="1" t="s">
        <v>15</v>
      </c>
      <c r="I399" s="1" t="str">
        <f>"1"</f>
        <v>1</v>
      </c>
      <c r="J399" s="3">
        <v>3309.75</v>
      </c>
      <c r="K399" s="4">
        <v>46057</v>
      </c>
      <c r="L399" s="4">
        <v>46058</v>
      </c>
      <c r="M399" s="1" t="s">
        <v>11800</v>
      </c>
      <c r="N399" s="1" t="s">
        <v>11805</v>
      </c>
    </row>
    <row r="400" spans="1:14" s="1" customFormat="1" x14ac:dyDescent="0.35">
      <c r="A400" s="1" t="s">
        <v>11760</v>
      </c>
      <c r="B400" s="1" t="s">
        <v>4883</v>
      </c>
      <c r="C400" s="1" t="s">
        <v>5132</v>
      </c>
      <c r="D400" s="1" t="s">
        <v>11806</v>
      </c>
      <c r="E400" s="1" t="str">
        <f>"5855"</f>
        <v>5855</v>
      </c>
      <c r="F400" s="1" t="str">
        <f>"015137561"</f>
        <v>015137561</v>
      </c>
      <c r="G400" s="1" t="s">
        <v>4264</v>
      </c>
      <c r="H400" s="1" t="s">
        <v>15</v>
      </c>
      <c r="I400" s="1" t="str">
        <f>"1"</f>
        <v>1</v>
      </c>
      <c r="J400" s="3">
        <v>3309.75</v>
      </c>
      <c r="K400" s="4">
        <v>46057</v>
      </c>
      <c r="L400" s="4">
        <v>46058</v>
      </c>
      <c r="M400" s="1" t="s">
        <v>11800</v>
      </c>
      <c r="N400" s="1" t="s">
        <v>11805</v>
      </c>
    </row>
    <row r="401" spans="1:14" s="1" customFormat="1" x14ac:dyDescent="0.35">
      <c r="A401" s="1" t="s">
        <v>11760</v>
      </c>
      <c r="B401" s="1" t="s">
        <v>913</v>
      </c>
      <c r="C401" s="1" t="s">
        <v>977</v>
      </c>
      <c r="D401" s="1" t="s">
        <v>11804</v>
      </c>
      <c r="E401" s="1" t="str">
        <f>"6650"</f>
        <v>6650</v>
      </c>
      <c r="F401" s="1" t="str">
        <f>"014537551"</f>
        <v>014537551</v>
      </c>
      <c r="G401" s="1" t="s">
        <v>1004</v>
      </c>
      <c r="H401" s="1" t="s">
        <v>15</v>
      </c>
      <c r="I401" s="1" t="str">
        <f>"2"</f>
        <v>2</v>
      </c>
      <c r="J401" s="3">
        <v>6393.6</v>
      </c>
      <c r="K401" s="4">
        <v>46071</v>
      </c>
      <c r="L401" s="4">
        <v>46071</v>
      </c>
      <c r="M401" s="1" t="s">
        <v>11800</v>
      </c>
      <c r="N401" s="1" t="s">
        <v>11803</v>
      </c>
    </row>
    <row r="402" spans="1:14" s="1" customFormat="1" x14ac:dyDescent="0.35">
      <c r="A402" s="1" t="s">
        <v>11760</v>
      </c>
      <c r="B402" s="1" t="s">
        <v>913</v>
      </c>
      <c r="C402" s="1" t="s">
        <v>977</v>
      </c>
      <c r="D402" s="1" t="s">
        <v>11802</v>
      </c>
      <c r="E402" s="1" t="str">
        <f>"5855"</f>
        <v>5855</v>
      </c>
      <c r="F402" s="1" t="s">
        <v>985</v>
      </c>
      <c r="G402" s="1" t="s">
        <v>986</v>
      </c>
      <c r="H402" s="1" t="s">
        <v>15</v>
      </c>
      <c r="I402" s="1" t="str">
        <f>"1"</f>
        <v>1</v>
      </c>
      <c r="J402" s="3" t="str">
        <f>"1000"</f>
        <v>1000</v>
      </c>
      <c r="K402" s="4">
        <v>46071</v>
      </c>
      <c r="L402" s="4">
        <v>46071</v>
      </c>
      <c r="M402" s="1" t="s">
        <v>11800</v>
      </c>
      <c r="N402" s="1" t="s">
        <v>5102</v>
      </c>
    </row>
    <row r="403" spans="1:14" s="1" customFormat="1" x14ac:dyDescent="0.35">
      <c r="A403" s="1" t="s">
        <v>11760</v>
      </c>
      <c r="B403" s="1" t="s">
        <v>913</v>
      </c>
      <c r="C403" s="1" t="s">
        <v>977</v>
      </c>
      <c r="D403" s="1" t="s">
        <v>11801</v>
      </c>
      <c r="E403" s="1" t="str">
        <f>"1240"</f>
        <v>1240</v>
      </c>
      <c r="F403" s="1" t="str">
        <f>"015515762"</f>
        <v>015515762</v>
      </c>
      <c r="G403" s="1" t="s">
        <v>71</v>
      </c>
      <c r="H403" s="1" t="s">
        <v>15</v>
      </c>
      <c r="I403" s="1" t="str">
        <f>"26"</f>
        <v>26</v>
      </c>
      <c r="J403" s="3" t="str">
        <f>"460"</f>
        <v>460</v>
      </c>
      <c r="K403" s="4">
        <v>46074</v>
      </c>
      <c r="L403" s="4">
        <v>46076</v>
      </c>
      <c r="M403" s="1" t="s">
        <v>11800</v>
      </c>
      <c r="N403" s="1" t="s">
        <v>11799</v>
      </c>
    </row>
    <row r="404" spans="1:14" s="1" customFormat="1" x14ac:dyDescent="0.35">
      <c r="A404" s="1" t="s">
        <v>11760</v>
      </c>
      <c r="B404" s="1" t="s">
        <v>913</v>
      </c>
      <c r="C404" s="1" t="s">
        <v>977</v>
      </c>
      <c r="D404" s="1" t="s">
        <v>11798</v>
      </c>
      <c r="E404" s="1" t="str">
        <f>"1240"</f>
        <v>1240</v>
      </c>
      <c r="F404" s="1" t="str">
        <f>"015515762"</f>
        <v>015515762</v>
      </c>
      <c r="G404" s="1" t="s">
        <v>71</v>
      </c>
      <c r="H404" s="1" t="s">
        <v>15</v>
      </c>
      <c r="I404" s="1" t="str">
        <f>"26"</f>
        <v>26</v>
      </c>
      <c r="J404" s="3" t="str">
        <f>"460"</f>
        <v>460</v>
      </c>
      <c r="K404" s="4">
        <v>46076</v>
      </c>
      <c r="L404" s="4">
        <v>46076</v>
      </c>
      <c r="M404" s="1" t="s">
        <v>11797</v>
      </c>
      <c r="N404" s="1" t="s">
        <v>11796</v>
      </c>
    </row>
    <row r="405" spans="1:14" s="1" customFormat="1" x14ac:dyDescent="0.35">
      <c r="A405" s="1" t="s">
        <v>11760</v>
      </c>
      <c r="B405" s="1" t="s">
        <v>1791</v>
      </c>
      <c r="C405" s="1" t="s">
        <v>5096</v>
      </c>
      <c r="D405" s="1" t="s">
        <v>11795</v>
      </c>
      <c r="E405" s="1" t="str">
        <f>"2320"</f>
        <v>2320</v>
      </c>
      <c r="F405" s="1" t="str">
        <f>"013808604"</f>
        <v>013808604</v>
      </c>
      <c r="G405" s="1" t="s">
        <v>1860</v>
      </c>
      <c r="H405" s="1" t="s">
        <v>15</v>
      </c>
      <c r="I405" s="1" t="str">
        <f>"1"</f>
        <v>1</v>
      </c>
      <c r="J405" s="3" t="str">
        <f>"89900"</f>
        <v>89900</v>
      </c>
      <c r="K405" s="4">
        <v>46085</v>
      </c>
      <c r="L405" s="4">
        <v>46086</v>
      </c>
      <c r="M405" s="1" t="s">
        <v>11794</v>
      </c>
      <c r="N405" s="1" t="s">
        <v>11791</v>
      </c>
    </row>
    <row r="406" spans="1:14" s="1" customFormat="1" x14ac:dyDescent="0.35">
      <c r="A406" s="1" t="s">
        <v>11760</v>
      </c>
      <c r="B406" s="1" t="s">
        <v>1791</v>
      </c>
      <c r="C406" s="1" t="s">
        <v>5096</v>
      </c>
      <c r="D406" s="1" t="s">
        <v>11793</v>
      </c>
      <c r="E406" s="1" t="str">
        <f>"2320"</f>
        <v>2320</v>
      </c>
      <c r="F406" s="1" t="str">
        <f>"013469317"</f>
        <v>013469317</v>
      </c>
      <c r="G406" s="1" t="s">
        <v>1860</v>
      </c>
      <c r="H406" s="1" t="s">
        <v>15</v>
      </c>
      <c r="I406" s="1" t="str">
        <f>"1"</f>
        <v>1</v>
      </c>
      <c r="J406" s="3" t="str">
        <f>"94171"</f>
        <v>94171</v>
      </c>
      <c r="K406" s="4">
        <v>46085</v>
      </c>
      <c r="L406" s="4">
        <v>46086</v>
      </c>
      <c r="M406" s="1" t="s">
        <v>11792</v>
      </c>
      <c r="N406" s="1" t="s">
        <v>11791</v>
      </c>
    </row>
    <row r="407" spans="1:14" s="1" customFormat="1" x14ac:dyDescent="0.35">
      <c r="A407" s="1" t="s">
        <v>11760</v>
      </c>
      <c r="B407" s="1" t="s">
        <v>3356</v>
      </c>
      <c r="C407" s="1" t="s">
        <v>3777</v>
      </c>
      <c r="D407" s="1" t="s">
        <v>11790</v>
      </c>
      <c r="E407" s="1" t="str">
        <f>"2320"</f>
        <v>2320</v>
      </c>
      <c r="F407" s="1" t="str">
        <f>"014823925"</f>
        <v>014823925</v>
      </c>
      <c r="G407" s="1" t="s">
        <v>1093</v>
      </c>
      <c r="H407" s="1" t="s">
        <v>15</v>
      </c>
      <c r="I407" s="1" t="str">
        <f>"1"</f>
        <v>1</v>
      </c>
      <c r="J407" s="3" t="str">
        <f>"39497"</f>
        <v>39497</v>
      </c>
      <c r="K407" s="4">
        <v>46038</v>
      </c>
      <c r="L407" s="4">
        <v>46042</v>
      </c>
      <c r="M407" s="1" t="s">
        <v>11789</v>
      </c>
      <c r="N407" s="1" t="s">
        <v>11788</v>
      </c>
    </row>
    <row r="408" spans="1:14" s="1" customFormat="1" x14ac:dyDescent="0.35">
      <c r="A408" s="1" t="s">
        <v>11760</v>
      </c>
      <c r="B408" s="1" t="s">
        <v>3356</v>
      </c>
      <c r="C408" s="1" t="s">
        <v>3777</v>
      </c>
      <c r="D408" s="1" t="s">
        <v>11787</v>
      </c>
      <c r="E408" s="1" t="str">
        <f>"5180"</f>
        <v>5180</v>
      </c>
      <c r="F408" s="1" t="str">
        <f>"000547522"</f>
        <v>000547522</v>
      </c>
      <c r="G408" s="1" t="s">
        <v>11786</v>
      </c>
      <c r="H408" s="1" t="s">
        <v>168</v>
      </c>
      <c r="I408" s="1" t="str">
        <f>"1"</f>
        <v>1</v>
      </c>
      <c r="J408" s="3">
        <v>412.5</v>
      </c>
      <c r="K408" s="4">
        <v>46055</v>
      </c>
      <c r="L408" s="4">
        <v>46056</v>
      </c>
      <c r="N408" s="1" t="s">
        <v>11785</v>
      </c>
    </row>
    <row r="409" spans="1:14" s="1" customFormat="1" x14ac:dyDescent="0.35">
      <c r="A409" s="1" t="s">
        <v>11760</v>
      </c>
      <c r="B409" s="1" t="s">
        <v>3356</v>
      </c>
      <c r="C409" s="1" t="s">
        <v>3777</v>
      </c>
      <c r="D409" s="1" t="s">
        <v>11784</v>
      </c>
      <c r="E409" s="1" t="str">
        <f>"2320"</f>
        <v>2320</v>
      </c>
      <c r="F409" s="1" t="s">
        <v>100</v>
      </c>
      <c r="G409" s="1" t="s">
        <v>101</v>
      </c>
      <c r="H409" s="1" t="s">
        <v>15</v>
      </c>
      <c r="I409" s="1" t="str">
        <f>"1"</f>
        <v>1</v>
      </c>
      <c r="J409" s="3" t="str">
        <f>"80000"</f>
        <v>80000</v>
      </c>
      <c r="K409" s="4">
        <v>46060</v>
      </c>
      <c r="L409" s="4">
        <v>46063</v>
      </c>
      <c r="M409" s="1" t="s">
        <v>11781</v>
      </c>
      <c r="N409" s="1" t="s">
        <v>11783</v>
      </c>
    </row>
    <row r="410" spans="1:14" s="1" customFormat="1" x14ac:dyDescent="0.35">
      <c r="A410" s="1" t="s">
        <v>11760</v>
      </c>
      <c r="B410" s="1" t="s">
        <v>3356</v>
      </c>
      <c r="C410" s="1" t="s">
        <v>3777</v>
      </c>
      <c r="D410" s="1" t="s">
        <v>11782</v>
      </c>
      <c r="E410" s="1" t="str">
        <f>"2320"</f>
        <v>2320</v>
      </c>
      <c r="F410" s="1" t="str">
        <f>"011519558"</f>
        <v>011519558</v>
      </c>
      <c r="G410" s="1" t="s">
        <v>930</v>
      </c>
      <c r="H410" s="1" t="s">
        <v>15</v>
      </c>
      <c r="I410" s="1" t="str">
        <f>"1"</f>
        <v>1</v>
      </c>
      <c r="J410" s="3" t="str">
        <f>"8823"</f>
        <v>8823</v>
      </c>
      <c r="K410" s="4">
        <v>46060</v>
      </c>
      <c r="L410" s="4">
        <v>46063</v>
      </c>
      <c r="M410" s="1" t="s">
        <v>11781</v>
      </c>
      <c r="N410" s="1" t="s">
        <v>11780</v>
      </c>
    </row>
    <row r="411" spans="1:14" s="1" customFormat="1" x14ac:dyDescent="0.35">
      <c r="A411" s="1" t="s">
        <v>11760</v>
      </c>
      <c r="B411" s="1" t="s">
        <v>3356</v>
      </c>
      <c r="C411" s="1" t="s">
        <v>3777</v>
      </c>
      <c r="D411" s="1" t="s">
        <v>11779</v>
      </c>
      <c r="E411" s="1" t="str">
        <f>"2320"</f>
        <v>2320</v>
      </c>
      <c r="F411" s="1" t="s">
        <v>100</v>
      </c>
      <c r="G411" s="1" t="s">
        <v>101</v>
      </c>
      <c r="H411" s="1" t="s">
        <v>15</v>
      </c>
      <c r="I411" s="1" t="str">
        <f>"1"</f>
        <v>1</v>
      </c>
      <c r="J411" s="3" t="str">
        <f>"80000"</f>
        <v>80000</v>
      </c>
      <c r="K411" s="4">
        <v>46083</v>
      </c>
      <c r="L411" s="4">
        <v>46084</v>
      </c>
      <c r="M411" s="1" t="s">
        <v>11778</v>
      </c>
      <c r="N411" s="1" t="s">
        <v>11777</v>
      </c>
    </row>
    <row r="412" spans="1:14" s="1" customFormat="1" x14ac:dyDescent="0.35">
      <c r="A412" s="1" t="s">
        <v>11760</v>
      </c>
      <c r="B412" s="1" t="s">
        <v>3356</v>
      </c>
      <c r="C412" s="1" t="s">
        <v>3777</v>
      </c>
      <c r="D412" s="1" t="s">
        <v>11776</v>
      </c>
      <c r="E412" s="1" t="str">
        <f>"2320"</f>
        <v>2320</v>
      </c>
      <c r="F412" s="1" t="s">
        <v>100</v>
      </c>
      <c r="G412" s="1" t="s">
        <v>101</v>
      </c>
      <c r="H412" s="1" t="s">
        <v>15</v>
      </c>
      <c r="I412" s="1" t="str">
        <f>"1"</f>
        <v>1</v>
      </c>
      <c r="J412" s="3" t="str">
        <f>"121000"</f>
        <v>121000</v>
      </c>
      <c r="K412" s="4">
        <v>46104</v>
      </c>
      <c r="L412" s="4">
        <v>46105</v>
      </c>
      <c r="M412" s="1" t="s">
        <v>11775</v>
      </c>
      <c r="N412" s="1" t="s">
        <v>11774</v>
      </c>
    </row>
    <row r="413" spans="1:14" s="1" customFormat="1" x14ac:dyDescent="0.35">
      <c r="A413" s="1" t="s">
        <v>11760</v>
      </c>
      <c r="B413" s="1" t="s">
        <v>3356</v>
      </c>
      <c r="C413" s="1" t="s">
        <v>3777</v>
      </c>
      <c r="D413" s="1" t="s">
        <v>11773</v>
      </c>
      <c r="E413" s="1" t="str">
        <f>"2340"</f>
        <v>2340</v>
      </c>
      <c r="F413" s="1" t="s">
        <v>179</v>
      </c>
      <c r="G413" s="1" t="s">
        <v>180</v>
      </c>
      <c r="H413" s="1" t="s">
        <v>15</v>
      </c>
      <c r="I413" s="1" t="str">
        <f>"1"</f>
        <v>1</v>
      </c>
      <c r="J413" s="3" t="str">
        <f>"14251"</f>
        <v>14251</v>
      </c>
      <c r="K413" s="4">
        <v>46104</v>
      </c>
      <c r="L413" s="4">
        <v>46105</v>
      </c>
      <c r="M413" s="1" t="s">
        <v>4556</v>
      </c>
      <c r="N413" s="1" t="s">
        <v>4884</v>
      </c>
    </row>
    <row r="414" spans="1:14" s="1" customFormat="1" x14ac:dyDescent="0.35">
      <c r="A414" s="1" t="s">
        <v>11760</v>
      </c>
      <c r="B414" s="1" t="s">
        <v>1176</v>
      </c>
      <c r="C414" s="1" t="s">
        <v>4846</v>
      </c>
      <c r="D414" s="1" t="s">
        <v>11772</v>
      </c>
      <c r="E414" s="1" t="str">
        <f>"5855"</f>
        <v>5855</v>
      </c>
      <c r="F414" s="1" t="str">
        <f>"015847217"</f>
        <v>015847217</v>
      </c>
      <c r="G414" s="1" t="s">
        <v>614</v>
      </c>
      <c r="H414" s="1" t="s">
        <v>15</v>
      </c>
      <c r="I414" s="1" t="str">
        <f>"12"</f>
        <v>12</v>
      </c>
      <c r="J414" s="3" t="str">
        <f>"34084"</f>
        <v>34084</v>
      </c>
      <c r="K414" s="4">
        <v>46070</v>
      </c>
      <c r="L414" s="4">
        <v>46071</v>
      </c>
      <c r="M414" s="1" t="s">
        <v>11771</v>
      </c>
      <c r="N414" s="1" t="s">
        <v>11770</v>
      </c>
    </row>
    <row r="415" spans="1:14" s="1" customFormat="1" x14ac:dyDescent="0.35">
      <c r="A415" s="1" t="s">
        <v>11760</v>
      </c>
      <c r="B415" s="1" t="s">
        <v>73</v>
      </c>
      <c r="C415" s="1" t="s">
        <v>308</v>
      </c>
      <c r="D415" s="1" t="s">
        <v>11769</v>
      </c>
      <c r="E415" s="1" t="str">
        <f>"2310"</f>
        <v>2310</v>
      </c>
      <c r="F415" s="1" t="str">
        <f>"014998019"</f>
        <v>014998019</v>
      </c>
      <c r="G415" s="1" t="s">
        <v>4671</v>
      </c>
      <c r="H415" s="1" t="s">
        <v>15</v>
      </c>
      <c r="I415" s="1" t="str">
        <f>"1"</f>
        <v>1</v>
      </c>
      <c r="J415" s="3" t="str">
        <f>"165000"</f>
        <v>165000</v>
      </c>
      <c r="K415" s="4">
        <v>46079</v>
      </c>
      <c r="L415" s="4">
        <v>46080</v>
      </c>
      <c r="M415" s="1" t="s">
        <v>11764</v>
      </c>
      <c r="N415" s="1" t="s">
        <v>11768</v>
      </c>
    </row>
    <row r="416" spans="1:14" s="1" customFormat="1" x14ac:dyDescent="0.35">
      <c r="A416" s="1" t="s">
        <v>11760</v>
      </c>
      <c r="B416" s="1" t="s">
        <v>73</v>
      </c>
      <c r="C416" s="1" t="s">
        <v>308</v>
      </c>
      <c r="D416" s="1" t="s">
        <v>11767</v>
      </c>
      <c r="E416" s="1" t="str">
        <f>"2330"</f>
        <v>2330</v>
      </c>
      <c r="F416" s="1" t="s">
        <v>104</v>
      </c>
      <c r="G416" s="1" t="s">
        <v>105</v>
      </c>
      <c r="H416" s="1" t="s">
        <v>15</v>
      </c>
      <c r="I416" s="1" t="str">
        <f>"1"</f>
        <v>1</v>
      </c>
      <c r="J416" s="3" t="str">
        <f>"3055"</f>
        <v>3055</v>
      </c>
      <c r="K416" s="4">
        <v>46079</v>
      </c>
      <c r="L416" s="4">
        <v>46080</v>
      </c>
      <c r="M416" s="1" t="s">
        <v>11764</v>
      </c>
      <c r="N416" s="1" t="s">
        <v>11766</v>
      </c>
    </row>
    <row r="417" spans="1:14" s="1" customFormat="1" x14ac:dyDescent="0.35">
      <c r="A417" s="1" t="s">
        <v>11760</v>
      </c>
      <c r="B417" s="1" t="s">
        <v>73</v>
      </c>
      <c r="C417" s="1" t="s">
        <v>308</v>
      </c>
      <c r="D417" s="1" t="s">
        <v>11765</v>
      </c>
      <c r="E417" s="1" t="str">
        <f>"2330"</f>
        <v>2330</v>
      </c>
      <c r="F417" s="1" t="s">
        <v>104</v>
      </c>
      <c r="G417" s="1" t="s">
        <v>105</v>
      </c>
      <c r="H417" s="1" t="s">
        <v>15</v>
      </c>
      <c r="I417" s="1" t="str">
        <f>"1"</f>
        <v>1</v>
      </c>
      <c r="J417" s="3" t="str">
        <f>"13000"</f>
        <v>13000</v>
      </c>
      <c r="K417" s="4">
        <v>46079</v>
      </c>
      <c r="L417" s="4">
        <v>46080</v>
      </c>
      <c r="M417" s="1" t="s">
        <v>11764</v>
      </c>
      <c r="N417" s="1" t="s">
        <v>11763</v>
      </c>
    </row>
    <row r="418" spans="1:14" s="1" customFormat="1" x14ac:dyDescent="0.35">
      <c r="A418" s="1" t="s">
        <v>11760</v>
      </c>
      <c r="B418" s="1" t="s">
        <v>2196</v>
      </c>
      <c r="C418" s="1" t="s">
        <v>2265</v>
      </c>
      <c r="D418" s="1" t="s">
        <v>11762</v>
      </c>
      <c r="E418" s="1" t="str">
        <f>"8415"</f>
        <v>8415</v>
      </c>
      <c r="F418" s="1" t="s">
        <v>1944</v>
      </c>
      <c r="G418" s="1" t="s">
        <v>1945</v>
      </c>
      <c r="H418" s="1" t="s">
        <v>15</v>
      </c>
      <c r="I418" s="1" t="str">
        <f>"850"</f>
        <v>850</v>
      </c>
      <c r="J418" s="3">
        <v>12.5</v>
      </c>
      <c r="K418" s="4">
        <v>46087</v>
      </c>
      <c r="L418" s="4">
        <v>46088</v>
      </c>
      <c r="N418" s="1" t="s">
        <v>11761</v>
      </c>
    </row>
    <row r="419" spans="1:14" s="1" customFormat="1" x14ac:dyDescent="0.35">
      <c r="A419" s="1" t="s">
        <v>11760</v>
      </c>
      <c r="B419" s="1" t="s">
        <v>2196</v>
      </c>
      <c r="C419" s="1" t="s">
        <v>2265</v>
      </c>
      <c r="D419" s="1" t="s">
        <v>11759</v>
      </c>
      <c r="E419" s="1" t="str">
        <f>"4240"</f>
        <v>4240</v>
      </c>
      <c r="F419" s="1" t="str">
        <f>"015253095"</f>
        <v>015253095</v>
      </c>
      <c r="G419" s="1" t="s">
        <v>3426</v>
      </c>
      <c r="H419" s="1" t="s">
        <v>15</v>
      </c>
      <c r="I419" s="1" t="str">
        <f>"17"</f>
        <v>17</v>
      </c>
      <c r="J419" s="3">
        <v>129.01</v>
      </c>
      <c r="K419" s="4">
        <v>46103</v>
      </c>
      <c r="L419" s="4">
        <v>46104</v>
      </c>
      <c r="M419" s="1" t="s">
        <v>11758</v>
      </c>
      <c r="N419" s="1" t="s">
        <v>4540</v>
      </c>
    </row>
    <row r="420" spans="1:14" s="1" customFormat="1" x14ac:dyDescent="0.35">
      <c r="A420" s="1" t="s">
        <v>0</v>
      </c>
      <c r="B420" s="1" t="s">
        <v>3356</v>
      </c>
      <c r="C420" s="1" t="s">
        <v>3357</v>
      </c>
      <c r="D420" s="1" t="s">
        <v>11757</v>
      </c>
      <c r="E420" s="1" t="str">
        <f>"2320"</f>
        <v>2320</v>
      </c>
      <c r="F420" s="1" t="s">
        <v>100</v>
      </c>
      <c r="G420" s="1" t="s">
        <v>101</v>
      </c>
      <c r="H420" s="1" t="s">
        <v>15</v>
      </c>
      <c r="I420" s="1" t="str">
        <f>"1"</f>
        <v>1</v>
      </c>
      <c r="J420" s="3" t="str">
        <f>"33000"</f>
        <v>33000</v>
      </c>
      <c r="K420" s="4">
        <v>46082</v>
      </c>
      <c r="L420" s="4">
        <v>46083</v>
      </c>
      <c r="M420" s="1" t="s">
        <v>11756</v>
      </c>
      <c r="N420" s="1" t="s">
        <v>11755</v>
      </c>
    </row>
    <row r="421" spans="1:14" s="1" customFormat="1" x14ac:dyDescent="0.35">
      <c r="A421" s="1" t="s">
        <v>0</v>
      </c>
      <c r="B421" s="1" t="s">
        <v>3356</v>
      </c>
      <c r="C421" s="1" t="s">
        <v>3357</v>
      </c>
      <c r="D421" s="1" t="s">
        <v>11754</v>
      </c>
      <c r="E421" s="1" t="str">
        <f>"2310"</f>
        <v>2310</v>
      </c>
      <c r="F421" s="1" t="s">
        <v>4332</v>
      </c>
      <c r="G421" s="1" t="s">
        <v>4333</v>
      </c>
      <c r="H421" s="1" t="s">
        <v>15</v>
      </c>
      <c r="I421" s="1" t="str">
        <f>"1"</f>
        <v>1</v>
      </c>
      <c r="J421" s="3" t="str">
        <f>"81369"</f>
        <v>81369</v>
      </c>
      <c r="K421" s="4">
        <v>46095</v>
      </c>
      <c r="L421" s="4">
        <v>46098</v>
      </c>
      <c r="M421" s="1" t="s">
        <v>11171</v>
      </c>
      <c r="N421" s="1" t="s">
        <v>11753</v>
      </c>
    </row>
    <row r="422" spans="1:14" s="1" customFormat="1" x14ac:dyDescent="0.35">
      <c r="A422" s="1" t="s">
        <v>0</v>
      </c>
      <c r="B422" s="1" t="s">
        <v>3268</v>
      </c>
      <c r="C422" s="1" t="s">
        <v>3269</v>
      </c>
      <c r="D422" s="1" t="s">
        <v>11752</v>
      </c>
      <c r="E422" s="1" t="str">
        <f>"8465"</f>
        <v>8465</v>
      </c>
      <c r="F422" s="1" t="str">
        <f>"009651675"</f>
        <v>009651675</v>
      </c>
      <c r="G422" s="1" t="s">
        <v>11751</v>
      </c>
      <c r="H422" s="1" t="s">
        <v>15</v>
      </c>
      <c r="I422" s="1" t="str">
        <f>"5"</f>
        <v>5</v>
      </c>
      <c r="J422" s="3">
        <v>157.94</v>
      </c>
      <c r="K422" s="4">
        <v>46068</v>
      </c>
      <c r="L422" s="4">
        <v>46072</v>
      </c>
      <c r="M422" s="1" t="s">
        <v>11741</v>
      </c>
      <c r="N422" s="1" t="s">
        <v>11750</v>
      </c>
    </row>
    <row r="423" spans="1:14" s="1" customFormat="1" x14ac:dyDescent="0.35">
      <c r="A423" s="1" t="s">
        <v>0</v>
      </c>
      <c r="B423" s="1" t="s">
        <v>3268</v>
      </c>
      <c r="C423" s="1" t="s">
        <v>3269</v>
      </c>
      <c r="D423" s="1" t="s">
        <v>11749</v>
      </c>
      <c r="E423" s="1" t="str">
        <f>"8415"</f>
        <v>8415</v>
      </c>
      <c r="F423" s="1" t="str">
        <f>"015387761"</f>
        <v>015387761</v>
      </c>
      <c r="G423" s="1" t="s">
        <v>18</v>
      </c>
      <c r="H423" s="1" t="s">
        <v>15</v>
      </c>
      <c r="I423" s="1" t="str">
        <f>"21"</f>
        <v>21</v>
      </c>
      <c r="J423" s="3">
        <v>111.26</v>
      </c>
      <c r="K423" s="4">
        <v>46068</v>
      </c>
      <c r="L423" s="4">
        <v>46072</v>
      </c>
      <c r="M423" s="1" t="s">
        <v>11741</v>
      </c>
      <c r="N423" s="1" t="s">
        <v>11746</v>
      </c>
    </row>
    <row r="424" spans="1:14" s="1" customFormat="1" x14ac:dyDescent="0.35">
      <c r="A424" s="1" t="s">
        <v>0</v>
      </c>
      <c r="B424" s="1" t="s">
        <v>3268</v>
      </c>
      <c r="C424" s="1" t="s">
        <v>3269</v>
      </c>
      <c r="D424" s="1" t="s">
        <v>11748</v>
      </c>
      <c r="E424" s="1" t="str">
        <f>"8415"</f>
        <v>8415</v>
      </c>
      <c r="F424" s="1" t="str">
        <f>"015387012"</f>
        <v>015387012</v>
      </c>
      <c r="G424" s="1" t="s">
        <v>18</v>
      </c>
      <c r="H424" s="1" t="s">
        <v>15</v>
      </c>
      <c r="I424" s="1" t="str">
        <f>"25"</f>
        <v>25</v>
      </c>
      <c r="J424" s="3">
        <v>111.26</v>
      </c>
      <c r="K424" s="4">
        <v>46068</v>
      </c>
      <c r="L424" s="4">
        <v>46072</v>
      </c>
      <c r="M424" s="1" t="s">
        <v>11741</v>
      </c>
      <c r="N424" s="1" t="s">
        <v>11746</v>
      </c>
    </row>
    <row r="425" spans="1:14" s="1" customFormat="1" x14ac:dyDescent="0.35">
      <c r="A425" s="1" t="s">
        <v>0</v>
      </c>
      <c r="B425" s="1" t="s">
        <v>3268</v>
      </c>
      <c r="C425" s="1" t="s">
        <v>3269</v>
      </c>
      <c r="D425" s="1" t="s">
        <v>11747</v>
      </c>
      <c r="E425" s="1" t="str">
        <f>"8415"</f>
        <v>8415</v>
      </c>
      <c r="F425" s="1" t="str">
        <f>"015387001"</f>
        <v>015387001</v>
      </c>
      <c r="G425" s="1" t="s">
        <v>18</v>
      </c>
      <c r="H425" s="1" t="s">
        <v>15</v>
      </c>
      <c r="I425" s="1" t="str">
        <f>"9"</f>
        <v>9</v>
      </c>
      <c r="J425" s="3">
        <v>111.26</v>
      </c>
      <c r="K425" s="4">
        <v>46068</v>
      </c>
      <c r="L425" s="4">
        <v>46072</v>
      </c>
      <c r="M425" s="1" t="s">
        <v>11741</v>
      </c>
      <c r="N425" s="1" t="s">
        <v>11746</v>
      </c>
    </row>
    <row r="426" spans="1:14" s="1" customFormat="1" x14ac:dyDescent="0.35">
      <c r="A426" s="1" t="s">
        <v>0</v>
      </c>
      <c r="B426" s="1" t="s">
        <v>3268</v>
      </c>
      <c r="C426" s="1" t="s">
        <v>3269</v>
      </c>
      <c r="D426" s="1" t="s">
        <v>11745</v>
      </c>
      <c r="E426" s="1" t="str">
        <f>"8405"</f>
        <v>8405</v>
      </c>
      <c r="F426" s="1" t="str">
        <f>"015472559"</f>
        <v>015472559</v>
      </c>
      <c r="G426" s="1" t="s">
        <v>893</v>
      </c>
      <c r="H426" s="1" t="s">
        <v>15</v>
      </c>
      <c r="I426" s="1" t="str">
        <f>"4"</f>
        <v>4</v>
      </c>
      <c r="J426" s="3">
        <v>38.4</v>
      </c>
      <c r="K426" s="4">
        <v>46068</v>
      </c>
      <c r="L426" s="4">
        <v>46072</v>
      </c>
      <c r="M426" s="1" t="s">
        <v>11741</v>
      </c>
      <c r="N426" s="1" t="s">
        <v>11743</v>
      </c>
    </row>
    <row r="427" spans="1:14" s="1" customFormat="1" x14ac:dyDescent="0.35">
      <c r="A427" s="1" t="s">
        <v>0</v>
      </c>
      <c r="B427" s="1" t="s">
        <v>3268</v>
      </c>
      <c r="C427" s="1" t="s">
        <v>3269</v>
      </c>
      <c r="D427" s="1" t="s">
        <v>11744</v>
      </c>
      <c r="E427" s="1" t="str">
        <f>"8405"</f>
        <v>8405</v>
      </c>
      <c r="F427" s="1" t="str">
        <f>"015472559"</f>
        <v>015472559</v>
      </c>
      <c r="G427" s="1" t="s">
        <v>893</v>
      </c>
      <c r="H427" s="1" t="s">
        <v>15</v>
      </c>
      <c r="I427" s="1" t="str">
        <f>"2"</f>
        <v>2</v>
      </c>
      <c r="J427" s="3">
        <v>38.4</v>
      </c>
      <c r="K427" s="4">
        <v>46068</v>
      </c>
      <c r="L427" s="4">
        <v>46072</v>
      </c>
      <c r="M427" s="1" t="s">
        <v>11741</v>
      </c>
      <c r="N427" s="1" t="s">
        <v>11743</v>
      </c>
    </row>
    <row r="428" spans="1:14" s="1" customFormat="1" x14ac:dyDescent="0.35">
      <c r="A428" s="1" t="s">
        <v>0</v>
      </c>
      <c r="B428" s="1" t="s">
        <v>3268</v>
      </c>
      <c r="C428" s="1" t="s">
        <v>3269</v>
      </c>
      <c r="D428" s="1" t="s">
        <v>11742</v>
      </c>
      <c r="E428" s="1" t="str">
        <f>"8340"</f>
        <v>8340</v>
      </c>
      <c r="F428" s="1" t="str">
        <f>"016004807"</f>
        <v>016004807</v>
      </c>
      <c r="G428" s="1" t="s">
        <v>2958</v>
      </c>
      <c r="H428" s="1" t="s">
        <v>15</v>
      </c>
      <c r="I428" s="1" t="str">
        <f>"25"</f>
        <v>25</v>
      </c>
      <c r="J428" s="3">
        <v>75.319999999999993</v>
      </c>
      <c r="K428" s="4">
        <v>46068</v>
      </c>
      <c r="L428" s="4">
        <v>46072</v>
      </c>
      <c r="M428" s="1" t="s">
        <v>11741</v>
      </c>
      <c r="N428" s="1" t="s">
        <v>11740</v>
      </c>
    </row>
    <row r="429" spans="1:14" s="1" customFormat="1" x14ac:dyDescent="0.35">
      <c r="A429" s="1" t="s">
        <v>0</v>
      </c>
      <c r="B429" s="1" t="s">
        <v>3268</v>
      </c>
      <c r="C429" s="1" t="s">
        <v>3269</v>
      </c>
      <c r="D429" s="1" t="s">
        <v>11739</v>
      </c>
      <c r="E429" s="1" t="str">
        <f>"3590"</f>
        <v>3590</v>
      </c>
      <c r="F429" s="1" t="s">
        <v>1052</v>
      </c>
      <c r="G429" s="1" t="s">
        <v>1053</v>
      </c>
      <c r="H429" s="1" t="s">
        <v>15</v>
      </c>
      <c r="I429" s="1" t="str">
        <f>"1"</f>
        <v>1</v>
      </c>
      <c r="J429" s="3" t="str">
        <f>"3751"</f>
        <v>3751</v>
      </c>
      <c r="K429" s="4">
        <v>46078</v>
      </c>
      <c r="L429" s="4">
        <v>46087</v>
      </c>
      <c r="M429" s="1" t="s">
        <v>11242</v>
      </c>
      <c r="N429" s="1" t="s">
        <v>11738</v>
      </c>
    </row>
    <row r="430" spans="1:14" s="1" customFormat="1" x14ac:dyDescent="0.35">
      <c r="A430" s="1" t="s">
        <v>0</v>
      </c>
      <c r="B430" s="1" t="s">
        <v>3268</v>
      </c>
      <c r="C430" s="1" t="s">
        <v>3269</v>
      </c>
      <c r="D430" s="1" t="s">
        <v>11737</v>
      </c>
      <c r="E430" s="1" t="str">
        <f>"7105"</f>
        <v>7105</v>
      </c>
      <c r="F430" s="1" t="str">
        <f>"015970476"</f>
        <v>015970476</v>
      </c>
      <c r="G430" s="1" t="s">
        <v>5208</v>
      </c>
      <c r="H430" s="1" t="s">
        <v>15</v>
      </c>
      <c r="I430" s="1" t="str">
        <f>"7"</f>
        <v>7</v>
      </c>
      <c r="J430" s="3" t="str">
        <f>"200"</f>
        <v>200</v>
      </c>
      <c r="K430" s="4">
        <v>46078</v>
      </c>
      <c r="L430" s="4">
        <v>46087</v>
      </c>
      <c r="M430" s="1" t="s">
        <v>11242</v>
      </c>
      <c r="N430" s="1" t="s">
        <v>11736</v>
      </c>
    </row>
    <row r="431" spans="1:14" s="1" customFormat="1" x14ac:dyDescent="0.35">
      <c r="A431" s="1" t="s">
        <v>0</v>
      </c>
      <c r="B431" s="1" t="s">
        <v>3268</v>
      </c>
      <c r="C431" s="1" t="s">
        <v>3269</v>
      </c>
      <c r="D431" s="1" t="s">
        <v>11735</v>
      </c>
      <c r="E431" s="1" t="str">
        <f>"4520"</f>
        <v>4520</v>
      </c>
      <c r="F431" s="1" t="str">
        <f>"014789207"</f>
        <v>014789207</v>
      </c>
      <c r="G431" s="1" t="s">
        <v>138</v>
      </c>
      <c r="H431" s="1" t="s">
        <v>15</v>
      </c>
      <c r="I431" s="1" t="str">
        <f>"4"</f>
        <v>4</v>
      </c>
      <c r="J431" s="3">
        <v>1451.86</v>
      </c>
      <c r="K431" s="4">
        <v>46078</v>
      </c>
      <c r="L431" s="4">
        <v>46087</v>
      </c>
      <c r="M431" s="1" t="s">
        <v>11242</v>
      </c>
      <c r="N431" s="1" t="s">
        <v>11734</v>
      </c>
    </row>
    <row r="432" spans="1:14" s="1" customFormat="1" x14ac:dyDescent="0.35">
      <c r="A432" s="1" t="s">
        <v>0</v>
      </c>
      <c r="B432" s="1" t="s">
        <v>3268</v>
      </c>
      <c r="C432" s="1" t="s">
        <v>3269</v>
      </c>
      <c r="D432" s="1" t="s">
        <v>11733</v>
      </c>
      <c r="E432" s="1" t="str">
        <f>"4940"</f>
        <v>4940</v>
      </c>
      <c r="F432" s="1" t="str">
        <f>"013619720"</f>
        <v>013619720</v>
      </c>
      <c r="G432" s="1" t="s">
        <v>1226</v>
      </c>
      <c r="H432" s="1" t="s">
        <v>15</v>
      </c>
      <c r="I432" s="1" t="str">
        <f>"1"</f>
        <v>1</v>
      </c>
      <c r="J432" s="3" t="str">
        <f>"137000"</f>
        <v>137000</v>
      </c>
      <c r="K432" s="4">
        <v>46078</v>
      </c>
      <c r="L432" s="4">
        <v>46087</v>
      </c>
      <c r="M432" s="1" t="s">
        <v>11242</v>
      </c>
      <c r="N432" s="1" t="s">
        <v>11732</v>
      </c>
    </row>
    <row r="433" spans="1:14" s="1" customFormat="1" x14ac:dyDescent="0.35">
      <c r="A433" s="1" t="s">
        <v>0</v>
      </c>
      <c r="B433" s="1" t="s">
        <v>3822</v>
      </c>
      <c r="C433" s="1" t="s">
        <v>3830</v>
      </c>
      <c r="D433" s="1" t="s">
        <v>11731</v>
      </c>
      <c r="E433" s="1" t="str">
        <f>"5110"</f>
        <v>5110</v>
      </c>
      <c r="F433" s="1" t="str">
        <f>"005858425"</f>
        <v>005858425</v>
      </c>
      <c r="G433" s="1" t="s">
        <v>3852</v>
      </c>
      <c r="H433" s="1" t="s">
        <v>15</v>
      </c>
      <c r="I433" s="1" t="str">
        <f>"1"</f>
        <v>1</v>
      </c>
      <c r="J433" s="3">
        <v>246.75</v>
      </c>
      <c r="K433" s="4">
        <v>46032</v>
      </c>
      <c r="L433" s="4">
        <v>46034</v>
      </c>
      <c r="M433" s="1" t="s">
        <v>11730</v>
      </c>
      <c r="N433" s="1" t="s">
        <v>11722</v>
      </c>
    </row>
    <row r="434" spans="1:14" s="1" customFormat="1" x14ac:dyDescent="0.35">
      <c r="A434" s="1" t="s">
        <v>0</v>
      </c>
      <c r="B434" s="1" t="s">
        <v>3822</v>
      </c>
      <c r="C434" s="1" t="s">
        <v>3830</v>
      </c>
      <c r="D434" s="1" t="s">
        <v>11729</v>
      </c>
      <c r="E434" s="1" t="str">
        <f>"5133"</f>
        <v>5133</v>
      </c>
      <c r="F434" s="1" t="str">
        <f>"008654229"</f>
        <v>008654229</v>
      </c>
      <c r="G434" s="1" t="s">
        <v>3982</v>
      </c>
      <c r="H434" s="1" t="s">
        <v>15</v>
      </c>
      <c r="I434" s="1" t="str">
        <f>"2"</f>
        <v>2</v>
      </c>
      <c r="J434" s="3">
        <v>4.7300000000000004</v>
      </c>
      <c r="K434" s="4">
        <v>46032</v>
      </c>
      <c r="L434" s="4">
        <v>46034</v>
      </c>
      <c r="M434" s="1" t="s">
        <v>11728</v>
      </c>
      <c r="N434" s="1" t="s">
        <v>10822</v>
      </c>
    </row>
    <row r="435" spans="1:14" s="1" customFormat="1" x14ac:dyDescent="0.35">
      <c r="A435" s="1" t="s">
        <v>0</v>
      </c>
      <c r="B435" s="1" t="s">
        <v>3822</v>
      </c>
      <c r="C435" s="1" t="s">
        <v>3830</v>
      </c>
      <c r="D435" s="1" t="s">
        <v>11727</v>
      </c>
      <c r="E435" s="1" t="str">
        <f>"5133"</f>
        <v>5133</v>
      </c>
      <c r="F435" s="1" t="str">
        <f>"008654227"</f>
        <v>008654227</v>
      </c>
      <c r="G435" s="1" t="s">
        <v>3982</v>
      </c>
      <c r="H435" s="1" t="s">
        <v>15</v>
      </c>
      <c r="I435" s="1" t="str">
        <f>"2"</f>
        <v>2</v>
      </c>
      <c r="J435" s="3">
        <v>4.6500000000000004</v>
      </c>
      <c r="K435" s="4">
        <v>46032</v>
      </c>
      <c r="L435" s="4">
        <v>46034</v>
      </c>
      <c r="M435" s="1" t="s">
        <v>11726</v>
      </c>
      <c r="N435" s="1" t="s">
        <v>10822</v>
      </c>
    </row>
    <row r="436" spans="1:14" s="1" customFormat="1" x14ac:dyDescent="0.35">
      <c r="A436" s="1" t="s">
        <v>0</v>
      </c>
      <c r="B436" s="1" t="s">
        <v>3822</v>
      </c>
      <c r="C436" s="1" t="s">
        <v>3830</v>
      </c>
      <c r="D436" s="1" t="s">
        <v>11725</v>
      </c>
      <c r="E436" s="1" t="str">
        <f>"5133"</f>
        <v>5133</v>
      </c>
      <c r="F436" s="1" t="str">
        <f>"008654228"</f>
        <v>008654228</v>
      </c>
      <c r="G436" s="1" t="s">
        <v>3982</v>
      </c>
      <c r="H436" s="1" t="s">
        <v>15</v>
      </c>
      <c r="I436" s="1" t="str">
        <f>"2"</f>
        <v>2</v>
      </c>
      <c r="J436" s="3">
        <v>6.64</v>
      </c>
      <c r="K436" s="4">
        <v>46032</v>
      </c>
      <c r="L436" s="4">
        <v>46034</v>
      </c>
      <c r="M436" s="1" t="s">
        <v>11724</v>
      </c>
      <c r="N436" s="1" t="s">
        <v>10822</v>
      </c>
    </row>
    <row r="437" spans="1:14" s="1" customFormat="1" x14ac:dyDescent="0.35">
      <c r="A437" s="1" t="s">
        <v>0</v>
      </c>
      <c r="B437" s="1" t="s">
        <v>3822</v>
      </c>
      <c r="C437" s="1" t="s">
        <v>3830</v>
      </c>
      <c r="D437" s="1" t="s">
        <v>11723</v>
      </c>
      <c r="E437" s="1" t="str">
        <f>"5110"</f>
        <v>5110</v>
      </c>
      <c r="F437" s="1" t="str">
        <f>"005858433"</f>
        <v>005858433</v>
      </c>
      <c r="G437" s="1" t="s">
        <v>3852</v>
      </c>
      <c r="H437" s="1" t="s">
        <v>15</v>
      </c>
      <c r="I437" s="1" t="str">
        <f>"2"</f>
        <v>2</v>
      </c>
      <c r="J437" s="3" t="str">
        <f>"10"</f>
        <v>10</v>
      </c>
      <c r="K437" s="4">
        <v>46032</v>
      </c>
      <c r="L437" s="4">
        <v>46034</v>
      </c>
      <c r="M437" s="1" t="s">
        <v>11719</v>
      </c>
      <c r="N437" s="1" t="s">
        <v>11722</v>
      </c>
    </row>
    <row r="438" spans="1:14" s="1" customFormat="1" x14ac:dyDescent="0.35">
      <c r="A438" s="1" t="s">
        <v>0</v>
      </c>
      <c r="B438" s="1" t="s">
        <v>3822</v>
      </c>
      <c r="C438" s="1" t="s">
        <v>3830</v>
      </c>
      <c r="D438" s="1" t="s">
        <v>11721</v>
      </c>
      <c r="E438" s="1" t="str">
        <f>"5120"</f>
        <v>5120</v>
      </c>
      <c r="F438" s="1" t="s">
        <v>542</v>
      </c>
      <c r="G438" s="1" t="s">
        <v>543</v>
      </c>
      <c r="H438" s="1" t="s">
        <v>15</v>
      </c>
      <c r="I438" s="1" t="str">
        <f>"2"</f>
        <v>2</v>
      </c>
      <c r="J438" s="3">
        <v>32.22</v>
      </c>
      <c r="K438" s="4">
        <v>46032</v>
      </c>
      <c r="L438" s="4">
        <v>46034</v>
      </c>
      <c r="M438" s="1" t="s">
        <v>11719</v>
      </c>
      <c r="N438" s="1" t="s">
        <v>3886</v>
      </c>
    </row>
    <row r="439" spans="1:14" s="1" customFormat="1" x14ac:dyDescent="0.35">
      <c r="A439" s="1" t="s">
        <v>0</v>
      </c>
      <c r="B439" s="1" t="s">
        <v>3822</v>
      </c>
      <c r="C439" s="1" t="s">
        <v>3830</v>
      </c>
      <c r="D439" s="1" t="s">
        <v>11720</v>
      </c>
      <c r="E439" s="1" t="str">
        <f>"5120"</f>
        <v>5120</v>
      </c>
      <c r="F439" s="1" t="s">
        <v>542</v>
      </c>
      <c r="G439" s="1" t="s">
        <v>543</v>
      </c>
      <c r="H439" s="1" t="s">
        <v>15</v>
      </c>
      <c r="I439" s="1" t="str">
        <f>"2"</f>
        <v>2</v>
      </c>
      <c r="J439" s="3">
        <v>25.34</v>
      </c>
      <c r="K439" s="4">
        <v>46032</v>
      </c>
      <c r="L439" s="4">
        <v>46034</v>
      </c>
      <c r="M439" s="1" t="s">
        <v>11719</v>
      </c>
      <c r="N439" s="1" t="s">
        <v>3886</v>
      </c>
    </row>
    <row r="440" spans="1:14" s="1" customFormat="1" x14ac:dyDescent="0.35">
      <c r="A440" s="1" t="s">
        <v>0</v>
      </c>
      <c r="B440" s="1" t="s">
        <v>1989</v>
      </c>
      <c r="C440" s="1" t="s">
        <v>11718</v>
      </c>
      <c r="D440" s="1" t="s">
        <v>11717</v>
      </c>
      <c r="E440" s="1" t="str">
        <f>"5855"</f>
        <v>5855</v>
      </c>
      <c r="F440" s="1" t="str">
        <f>"016800712"</f>
        <v>016800712</v>
      </c>
      <c r="G440" s="1" t="s">
        <v>5381</v>
      </c>
      <c r="H440" s="1" t="s">
        <v>15</v>
      </c>
      <c r="I440" s="1" t="str">
        <f>"3"</f>
        <v>3</v>
      </c>
      <c r="J440" s="3" t="str">
        <f>"3000"</f>
        <v>3000</v>
      </c>
      <c r="K440" s="4">
        <v>46024</v>
      </c>
      <c r="L440" s="4">
        <v>46027</v>
      </c>
      <c r="M440" s="1" t="s">
        <v>11499</v>
      </c>
      <c r="N440" s="1" t="s">
        <v>11716</v>
      </c>
    </row>
    <row r="441" spans="1:14" s="1" customFormat="1" x14ac:dyDescent="0.35">
      <c r="A441" s="1" t="s">
        <v>0</v>
      </c>
      <c r="B441" s="1" t="s">
        <v>3822</v>
      </c>
      <c r="C441" s="1" t="s">
        <v>4040</v>
      </c>
      <c r="D441" s="1" t="s">
        <v>11715</v>
      </c>
      <c r="E441" s="1" t="str">
        <f>"7025"</f>
        <v>7025</v>
      </c>
      <c r="F441" s="1" t="str">
        <f>"016003199"</f>
        <v>016003199</v>
      </c>
      <c r="G441" s="1" t="s">
        <v>4042</v>
      </c>
      <c r="H441" s="1" t="s">
        <v>15</v>
      </c>
      <c r="I441" s="1" t="str">
        <f>"4"</f>
        <v>4</v>
      </c>
      <c r="J441" s="3">
        <v>850.1</v>
      </c>
      <c r="K441" s="4">
        <v>46064</v>
      </c>
      <c r="L441" s="4">
        <v>46064</v>
      </c>
      <c r="M441" s="1" t="s">
        <v>11129</v>
      </c>
      <c r="N441" s="1" t="s">
        <v>11714</v>
      </c>
    </row>
    <row r="442" spans="1:14" s="1" customFormat="1" x14ac:dyDescent="0.35">
      <c r="A442" s="1" t="s">
        <v>0</v>
      </c>
      <c r="B442" s="1" t="s">
        <v>3356</v>
      </c>
      <c r="C442" s="1" t="s">
        <v>3368</v>
      </c>
      <c r="D442" s="1" t="s">
        <v>11713</v>
      </c>
      <c r="E442" s="1" t="str">
        <f>"2310"</f>
        <v>2310</v>
      </c>
      <c r="F442" s="1" t="str">
        <f>"010907741"</f>
        <v>010907741</v>
      </c>
      <c r="G442" s="1" t="s">
        <v>710</v>
      </c>
      <c r="H442" s="1" t="s">
        <v>15</v>
      </c>
      <c r="I442" s="1" t="str">
        <f>"1"</f>
        <v>1</v>
      </c>
      <c r="J442" s="3" t="str">
        <f>"30027"</f>
        <v>30027</v>
      </c>
      <c r="K442" s="4">
        <v>46039</v>
      </c>
      <c r="L442" s="4">
        <v>46042</v>
      </c>
      <c r="M442" s="1" t="s">
        <v>11712</v>
      </c>
      <c r="N442" s="1" t="s">
        <v>10679</v>
      </c>
    </row>
    <row r="443" spans="1:14" s="1" customFormat="1" x14ac:dyDescent="0.35">
      <c r="A443" s="1" t="s">
        <v>0</v>
      </c>
      <c r="B443" s="1" t="s">
        <v>3356</v>
      </c>
      <c r="C443" s="1" t="s">
        <v>3368</v>
      </c>
      <c r="D443" s="1" t="s">
        <v>11711</v>
      </c>
      <c r="E443" s="1" t="str">
        <f>"2310"</f>
        <v>2310</v>
      </c>
      <c r="F443" s="1" t="str">
        <f>"010907741"</f>
        <v>010907741</v>
      </c>
      <c r="G443" s="1" t="s">
        <v>710</v>
      </c>
      <c r="H443" s="1" t="s">
        <v>15</v>
      </c>
      <c r="I443" s="1" t="str">
        <f>"1"</f>
        <v>1</v>
      </c>
      <c r="J443" s="3" t="str">
        <f>"30027"</f>
        <v>30027</v>
      </c>
      <c r="K443" s="4">
        <v>46039</v>
      </c>
      <c r="L443" s="4">
        <v>46042</v>
      </c>
      <c r="M443" s="1" t="s">
        <v>11000</v>
      </c>
      <c r="N443" s="1" t="s">
        <v>10679</v>
      </c>
    </row>
    <row r="444" spans="1:14" s="1" customFormat="1" x14ac:dyDescent="0.35">
      <c r="A444" s="1" t="s">
        <v>0</v>
      </c>
      <c r="B444" s="1" t="s">
        <v>3356</v>
      </c>
      <c r="C444" s="1" t="s">
        <v>3368</v>
      </c>
      <c r="D444" s="1" t="s">
        <v>11710</v>
      </c>
      <c r="E444" s="1" t="str">
        <f>"2330"</f>
        <v>2330</v>
      </c>
      <c r="F444" s="1" t="s">
        <v>104</v>
      </c>
      <c r="G444" s="1" t="s">
        <v>105</v>
      </c>
      <c r="H444" s="1" t="s">
        <v>15</v>
      </c>
      <c r="I444" s="1" t="str">
        <f>"1"</f>
        <v>1</v>
      </c>
      <c r="J444" s="3" t="str">
        <f>"2695"</f>
        <v>2695</v>
      </c>
      <c r="K444" s="4">
        <v>46076</v>
      </c>
      <c r="L444" s="4">
        <v>46076</v>
      </c>
      <c r="M444" s="1" t="s">
        <v>11012</v>
      </c>
      <c r="N444" s="1" t="s">
        <v>11709</v>
      </c>
    </row>
    <row r="445" spans="1:14" s="1" customFormat="1" x14ac:dyDescent="0.35">
      <c r="A445" s="1" t="s">
        <v>0</v>
      </c>
      <c r="B445" s="1" t="s">
        <v>2630</v>
      </c>
      <c r="C445" s="1" t="s">
        <v>10653</v>
      </c>
      <c r="D445" s="1" t="s">
        <v>11708</v>
      </c>
      <c r="E445" s="1" t="str">
        <f>"5855"</f>
        <v>5855</v>
      </c>
      <c r="F445" s="1" t="str">
        <f>"015330555"</f>
        <v>015330555</v>
      </c>
      <c r="G445" s="1" t="s">
        <v>476</v>
      </c>
      <c r="H445" s="1" t="s">
        <v>15</v>
      </c>
      <c r="I445" s="1" t="str">
        <f>"9"</f>
        <v>9</v>
      </c>
      <c r="J445" s="3" t="str">
        <f>"1800"</f>
        <v>1800</v>
      </c>
      <c r="K445" s="4">
        <v>46035</v>
      </c>
      <c r="L445" s="4">
        <v>46036</v>
      </c>
      <c r="M445" s="1" t="s">
        <v>11705</v>
      </c>
      <c r="N445" s="1" t="s">
        <v>11707</v>
      </c>
    </row>
    <row r="446" spans="1:14" s="1" customFormat="1" x14ac:dyDescent="0.35">
      <c r="A446" s="1" t="s">
        <v>0</v>
      </c>
      <c r="B446" s="1" t="s">
        <v>2630</v>
      </c>
      <c r="C446" s="1" t="s">
        <v>10653</v>
      </c>
      <c r="D446" s="1" t="s">
        <v>11706</v>
      </c>
      <c r="E446" s="1" t="str">
        <f>"5855"</f>
        <v>5855</v>
      </c>
      <c r="F446" s="1" t="str">
        <f>"015345931"</f>
        <v>015345931</v>
      </c>
      <c r="G446" s="1" t="s">
        <v>742</v>
      </c>
      <c r="H446" s="1" t="s">
        <v>15</v>
      </c>
      <c r="I446" s="1" t="str">
        <f>"30"</f>
        <v>30</v>
      </c>
      <c r="J446" s="3" t="str">
        <f>"1040"</f>
        <v>1040</v>
      </c>
      <c r="K446" s="4">
        <v>46036</v>
      </c>
      <c r="L446" s="4">
        <v>46036</v>
      </c>
      <c r="M446" s="1" t="s">
        <v>11705</v>
      </c>
      <c r="N446" s="1" t="s">
        <v>11704</v>
      </c>
    </row>
    <row r="447" spans="1:14" s="1" customFormat="1" x14ac:dyDescent="0.35">
      <c r="A447" s="1" t="s">
        <v>0</v>
      </c>
      <c r="B447" s="1" t="s">
        <v>2630</v>
      </c>
      <c r="C447" s="1" t="s">
        <v>10653</v>
      </c>
      <c r="D447" s="1" t="s">
        <v>11703</v>
      </c>
      <c r="E447" s="1" t="str">
        <f>"5855"</f>
        <v>5855</v>
      </c>
      <c r="F447" s="1" t="str">
        <f>"015345931"</f>
        <v>015345931</v>
      </c>
      <c r="G447" s="1" t="s">
        <v>742</v>
      </c>
      <c r="H447" s="1" t="s">
        <v>15</v>
      </c>
      <c r="I447" s="1" t="str">
        <f>"18"</f>
        <v>18</v>
      </c>
      <c r="J447" s="3" t="str">
        <f>"970"</f>
        <v>970</v>
      </c>
      <c r="K447" s="4">
        <v>46083</v>
      </c>
      <c r="L447" s="4">
        <v>46086</v>
      </c>
      <c r="M447" s="1" t="s">
        <v>11702</v>
      </c>
      <c r="N447" s="1" t="s">
        <v>11701</v>
      </c>
    </row>
    <row r="448" spans="1:14" s="1" customFormat="1" x14ac:dyDescent="0.35">
      <c r="A448" s="1" t="s">
        <v>0</v>
      </c>
      <c r="B448" s="1" t="s">
        <v>1303</v>
      </c>
      <c r="C448" s="1" t="s">
        <v>10636</v>
      </c>
      <c r="D448" s="1" t="s">
        <v>11700</v>
      </c>
      <c r="E448" s="1" t="str">
        <f>"2320"</f>
        <v>2320</v>
      </c>
      <c r="F448" s="1" t="str">
        <f>"010747642"</f>
        <v>010747642</v>
      </c>
      <c r="G448" s="1" t="s">
        <v>7312</v>
      </c>
      <c r="H448" s="1" t="s">
        <v>15</v>
      </c>
      <c r="I448" s="1" t="str">
        <f>"1"</f>
        <v>1</v>
      </c>
      <c r="J448" s="3" t="str">
        <f>"65070"</f>
        <v>65070</v>
      </c>
      <c r="K448" s="4">
        <v>46033</v>
      </c>
      <c r="L448" s="4">
        <v>46034</v>
      </c>
      <c r="M448" s="1" t="s">
        <v>11699</v>
      </c>
      <c r="N448" s="1" t="s">
        <v>11698</v>
      </c>
    </row>
    <row r="449" spans="1:14" s="1" customFormat="1" x14ac:dyDescent="0.35">
      <c r="A449" s="1" t="s">
        <v>0</v>
      </c>
      <c r="B449" s="1" t="s">
        <v>1791</v>
      </c>
      <c r="C449" s="1" t="s">
        <v>10571</v>
      </c>
      <c r="D449" s="1" t="s">
        <v>11697</v>
      </c>
      <c r="E449" s="1" t="str">
        <f>"1095"</f>
        <v>1095</v>
      </c>
      <c r="F449" s="1" t="str">
        <f>"015432189"</f>
        <v>015432189</v>
      </c>
      <c r="G449" s="1" t="s">
        <v>704</v>
      </c>
      <c r="H449" s="1" t="s">
        <v>15</v>
      </c>
      <c r="I449" s="1" t="str">
        <f>"10"</f>
        <v>10</v>
      </c>
      <c r="J449" s="3" t="str">
        <f>"959"</f>
        <v>959</v>
      </c>
      <c r="K449" s="4">
        <v>46086</v>
      </c>
      <c r="L449" s="4">
        <v>46087</v>
      </c>
      <c r="M449" s="1" t="s">
        <v>11696</v>
      </c>
      <c r="N449" s="1" t="s">
        <v>11695</v>
      </c>
    </row>
    <row r="450" spans="1:14" s="1" customFormat="1" x14ac:dyDescent="0.35">
      <c r="A450" s="1" t="s">
        <v>0</v>
      </c>
      <c r="B450" s="1" t="s">
        <v>3356</v>
      </c>
      <c r="C450" s="1" t="s">
        <v>10531</v>
      </c>
      <c r="D450" s="1" t="s">
        <v>11694</v>
      </c>
      <c r="E450" s="1" t="str">
        <f>"2320"</f>
        <v>2320</v>
      </c>
      <c r="F450" s="1" t="str">
        <f>"015016635"</f>
        <v>015016635</v>
      </c>
      <c r="G450" s="1" t="s">
        <v>1765</v>
      </c>
      <c r="H450" s="1" t="s">
        <v>15</v>
      </c>
      <c r="I450" s="1" t="str">
        <f>"1"</f>
        <v>1</v>
      </c>
      <c r="J450" s="3" t="str">
        <f>"45602"</f>
        <v>45602</v>
      </c>
      <c r="K450" s="4">
        <v>46111</v>
      </c>
      <c r="L450" s="4">
        <v>46111</v>
      </c>
      <c r="M450" s="1" t="s">
        <v>11693</v>
      </c>
      <c r="N450" s="1" t="s">
        <v>11692</v>
      </c>
    </row>
    <row r="451" spans="1:14" s="1" customFormat="1" x14ac:dyDescent="0.35">
      <c r="A451" s="1" t="s">
        <v>0</v>
      </c>
      <c r="B451" s="1" t="s">
        <v>3356</v>
      </c>
      <c r="C451" s="1" t="s">
        <v>3371</v>
      </c>
      <c r="D451" s="1" t="s">
        <v>11691</v>
      </c>
      <c r="E451" s="1" t="str">
        <f>"2310"</f>
        <v>2310</v>
      </c>
      <c r="F451" s="1" t="str">
        <f>"014998019"</f>
        <v>014998019</v>
      </c>
      <c r="G451" s="1" t="s">
        <v>4671</v>
      </c>
      <c r="H451" s="1" t="s">
        <v>15</v>
      </c>
      <c r="I451" s="1" t="str">
        <f>"1"</f>
        <v>1</v>
      </c>
      <c r="J451" s="3" t="str">
        <f>"165000"</f>
        <v>165000</v>
      </c>
      <c r="K451" s="4">
        <v>46073</v>
      </c>
      <c r="L451" s="4">
        <v>46076</v>
      </c>
      <c r="M451" s="1" t="s">
        <v>11690</v>
      </c>
      <c r="N451" s="1" t="s">
        <v>11689</v>
      </c>
    </row>
    <row r="452" spans="1:14" s="1" customFormat="1" x14ac:dyDescent="0.35">
      <c r="A452" s="1" t="s">
        <v>0</v>
      </c>
      <c r="B452" s="1" t="s">
        <v>3356</v>
      </c>
      <c r="C452" s="1" t="s">
        <v>3371</v>
      </c>
      <c r="D452" s="1" t="s">
        <v>11688</v>
      </c>
      <c r="E452" s="1" t="str">
        <f>"2330"</f>
        <v>2330</v>
      </c>
      <c r="F452" s="1" t="s">
        <v>104</v>
      </c>
      <c r="G452" s="1" t="s">
        <v>105</v>
      </c>
      <c r="H452" s="1" t="s">
        <v>15</v>
      </c>
      <c r="I452" s="1" t="str">
        <f>"1"</f>
        <v>1</v>
      </c>
      <c r="J452" s="3" t="str">
        <f>"6111"</f>
        <v>6111</v>
      </c>
      <c r="K452" s="4">
        <v>46046</v>
      </c>
      <c r="L452" s="4">
        <v>46048</v>
      </c>
      <c r="M452" s="1" t="s">
        <v>11000</v>
      </c>
      <c r="N452" s="1" t="s">
        <v>11687</v>
      </c>
    </row>
    <row r="453" spans="1:14" s="1" customFormat="1" x14ac:dyDescent="0.35">
      <c r="A453" s="1" t="s">
        <v>0</v>
      </c>
      <c r="B453" s="1" t="s">
        <v>3356</v>
      </c>
      <c r="C453" s="1" t="s">
        <v>3371</v>
      </c>
      <c r="D453" s="1" t="s">
        <v>11686</v>
      </c>
      <c r="E453" s="1" t="str">
        <f>"2320"</f>
        <v>2320</v>
      </c>
      <c r="F453" s="1" t="s">
        <v>4526</v>
      </c>
      <c r="G453" s="1" t="s">
        <v>4525</v>
      </c>
      <c r="H453" s="1" t="s">
        <v>15</v>
      </c>
      <c r="I453" s="1" t="str">
        <f>"1"</f>
        <v>1</v>
      </c>
      <c r="J453" s="3">
        <v>610434.26</v>
      </c>
      <c r="K453" s="4">
        <v>46055</v>
      </c>
      <c r="L453" s="4">
        <v>46056</v>
      </c>
      <c r="M453" s="1" t="s">
        <v>11000</v>
      </c>
      <c r="N453" s="1" t="s">
        <v>11685</v>
      </c>
    </row>
    <row r="454" spans="1:14" s="1" customFormat="1" x14ac:dyDescent="0.35">
      <c r="A454" s="1" t="s">
        <v>0</v>
      </c>
      <c r="B454" s="1" t="s">
        <v>3356</v>
      </c>
      <c r="C454" s="1" t="s">
        <v>3371</v>
      </c>
      <c r="D454" s="1" t="s">
        <v>11684</v>
      </c>
      <c r="E454" s="1" t="str">
        <f>"2360"</f>
        <v>2360</v>
      </c>
      <c r="F454" s="1" t="str">
        <f>"016631082"</f>
        <v>016631082</v>
      </c>
      <c r="G454" s="1" t="s">
        <v>1275</v>
      </c>
      <c r="H454" s="1" t="s">
        <v>15</v>
      </c>
      <c r="I454" s="1" t="str">
        <f>"1"</f>
        <v>1</v>
      </c>
      <c r="J454" s="3" t="str">
        <f>"77060"</f>
        <v>77060</v>
      </c>
      <c r="K454" s="4">
        <v>46081</v>
      </c>
      <c r="L454" s="4">
        <v>46083</v>
      </c>
      <c r="M454" s="1" t="s">
        <v>11683</v>
      </c>
      <c r="N454" s="1" t="s">
        <v>11682</v>
      </c>
    </row>
    <row r="455" spans="1:14" s="1" customFormat="1" x14ac:dyDescent="0.35">
      <c r="A455" s="1" t="s">
        <v>0</v>
      </c>
      <c r="B455" s="1" t="s">
        <v>3356</v>
      </c>
      <c r="C455" s="1" t="s">
        <v>3371</v>
      </c>
      <c r="D455" s="1" t="s">
        <v>11681</v>
      </c>
      <c r="E455" s="1" t="str">
        <f>"2320"</f>
        <v>2320</v>
      </c>
      <c r="F455" s="1" t="s">
        <v>100</v>
      </c>
      <c r="G455" s="1" t="s">
        <v>101</v>
      </c>
      <c r="H455" s="1" t="s">
        <v>15</v>
      </c>
      <c r="I455" s="1" t="str">
        <f>"1"</f>
        <v>1</v>
      </c>
      <c r="J455" s="3" t="str">
        <f>"33000"</f>
        <v>33000</v>
      </c>
      <c r="K455" s="4">
        <v>46082</v>
      </c>
      <c r="L455" s="4">
        <v>46083</v>
      </c>
      <c r="M455" s="1" t="s">
        <v>11379</v>
      </c>
      <c r="N455" s="1" t="s">
        <v>11680</v>
      </c>
    </row>
    <row r="456" spans="1:14" s="1" customFormat="1" x14ac:dyDescent="0.35">
      <c r="A456" s="1" t="s">
        <v>0</v>
      </c>
      <c r="B456" s="1" t="s">
        <v>3356</v>
      </c>
      <c r="C456" s="1" t="s">
        <v>3371</v>
      </c>
      <c r="D456" s="1" t="s">
        <v>11679</v>
      </c>
      <c r="E456" s="1" t="str">
        <f>"2330"</f>
        <v>2330</v>
      </c>
      <c r="F456" s="1" t="str">
        <f>"010911710"</f>
        <v>010911710</v>
      </c>
      <c r="G456" s="1" t="s">
        <v>3511</v>
      </c>
      <c r="H456" s="1" t="s">
        <v>15</v>
      </c>
      <c r="I456" s="1" t="str">
        <f>"1"</f>
        <v>1</v>
      </c>
      <c r="J456" s="3" t="str">
        <f>"4200"</f>
        <v>4200</v>
      </c>
      <c r="K456" s="4">
        <v>46082</v>
      </c>
      <c r="L456" s="4">
        <v>46083</v>
      </c>
      <c r="M456" s="1" t="s">
        <v>11171</v>
      </c>
      <c r="N456" s="1" t="s">
        <v>11678</v>
      </c>
    </row>
    <row r="457" spans="1:14" s="1" customFormat="1" x14ac:dyDescent="0.35">
      <c r="A457" s="1" t="s">
        <v>0</v>
      </c>
      <c r="B457" s="1" t="s">
        <v>3356</v>
      </c>
      <c r="C457" s="1" t="s">
        <v>3371</v>
      </c>
      <c r="D457" s="1" t="s">
        <v>11677</v>
      </c>
      <c r="E457" s="1" t="str">
        <f>"2310"</f>
        <v>2310</v>
      </c>
      <c r="F457" s="1" t="s">
        <v>4332</v>
      </c>
      <c r="G457" s="1" t="s">
        <v>4333</v>
      </c>
      <c r="H457" s="1" t="s">
        <v>15</v>
      </c>
      <c r="I457" s="1" t="str">
        <f>"1"</f>
        <v>1</v>
      </c>
      <c r="J457" s="3">
        <v>26812.5</v>
      </c>
      <c r="K457" s="4">
        <v>46095</v>
      </c>
      <c r="L457" s="4">
        <v>46097</v>
      </c>
      <c r="M457" s="1" t="s">
        <v>11366</v>
      </c>
      <c r="N457" s="1" t="s">
        <v>11676</v>
      </c>
    </row>
    <row r="458" spans="1:14" s="1" customFormat="1" x14ac:dyDescent="0.35">
      <c r="A458" s="1" t="s">
        <v>0</v>
      </c>
      <c r="B458" s="1" t="s">
        <v>3356</v>
      </c>
      <c r="C458" s="1" t="s">
        <v>3371</v>
      </c>
      <c r="D458" s="1" t="s">
        <v>11675</v>
      </c>
      <c r="E458" s="1" t="str">
        <f>"2320"</f>
        <v>2320</v>
      </c>
      <c r="F458" s="1" t="s">
        <v>100</v>
      </c>
      <c r="G458" s="1" t="s">
        <v>101</v>
      </c>
      <c r="H458" s="1" t="s">
        <v>15</v>
      </c>
      <c r="I458" s="1" t="str">
        <f>"1"</f>
        <v>1</v>
      </c>
      <c r="J458" s="3" t="str">
        <f>"121000"</f>
        <v>121000</v>
      </c>
      <c r="K458" s="4">
        <v>46103</v>
      </c>
      <c r="L458" s="4">
        <v>46103</v>
      </c>
      <c r="M458" s="1" t="s">
        <v>11674</v>
      </c>
      <c r="N458" s="1" t="s">
        <v>11673</v>
      </c>
    </row>
    <row r="459" spans="1:14" s="1" customFormat="1" x14ac:dyDescent="0.35">
      <c r="A459" s="1" t="s">
        <v>0</v>
      </c>
      <c r="B459" s="1" t="s">
        <v>3356</v>
      </c>
      <c r="C459" s="1" t="s">
        <v>3371</v>
      </c>
      <c r="D459" s="1" t="s">
        <v>11672</v>
      </c>
      <c r="E459" s="1" t="str">
        <f>"2320"</f>
        <v>2320</v>
      </c>
      <c r="F459" s="1" t="s">
        <v>100</v>
      </c>
      <c r="G459" s="1" t="s">
        <v>101</v>
      </c>
      <c r="H459" s="1" t="s">
        <v>15</v>
      </c>
      <c r="I459" s="1" t="str">
        <f>"1"</f>
        <v>1</v>
      </c>
      <c r="J459" s="3" t="str">
        <f>"121000"</f>
        <v>121000</v>
      </c>
      <c r="K459" s="4">
        <v>46103</v>
      </c>
      <c r="L459" s="4">
        <v>46104</v>
      </c>
      <c r="M459" s="1" t="s">
        <v>11671</v>
      </c>
      <c r="N459" s="1" t="s">
        <v>11670</v>
      </c>
    </row>
    <row r="460" spans="1:14" s="1" customFormat="1" x14ac:dyDescent="0.35">
      <c r="A460" s="1" t="s">
        <v>0</v>
      </c>
      <c r="B460" s="1" t="s">
        <v>3356</v>
      </c>
      <c r="C460" s="1" t="s">
        <v>3371</v>
      </c>
      <c r="D460" s="1" t="s">
        <v>11669</v>
      </c>
      <c r="E460" s="1" t="str">
        <f>"3805"</f>
        <v>3805</v>
      </c>
      <c r="F460" s="1" t="s">
        <v>1020</v>
      </c>
      <c r="G460" s="1" t="s">
        <v>1021</v>
      </c>
      <c r="H460" s="1" t="s">
        <v>15</v>
      </c>
      <c r="I460" s="1" t="str">
        <f>"1"</f>
        <v>1</v>
      </c>
      <c r="J460" s="3" t="str">
        <f>"192000"</f>
        <v>192000</v>
      </c>
      <c r="K460" s="4">
        <v>46103</v>
      </c>
      <c r="L460" s="4">
        <v>46103</v>
      </c>
      <c r="M460" s="1" t="s">
        <v>11150</v>
      </c>
      <c r="N460" s="1" t="s">
        <v>11668</v>
      </c>
    </row>
    <row r="461" spans="1:14" s="1" customFormat="1" x14ac:dyDescent="0.35">
      <c r="A461" s="1" t="s">
        <v>0</v>
      </c>
      <c r="B461" s="1" t="s">
        <v>3356</v>
      </c>
      <c r="C461" s="1" t="s">
        <v>3371</v>
      </c>
      <c r="D461" s="1" t="s">
        <v>11667</v>
      </c>
      <c r="E461" s="1" t="str">
        <f>"2320"</f>
        <v>2320</v>
      </c>
      <c r="F461" s="1" t="str">
        <f>"015016635"</f>
        <v>015016635</v>
      </c>
      <c r="G461" s="1" t="s">
        <v>1765</v>
      </c>
      <c r="H461" s="1" t="s">
        <v>15</v>
      </c>
      <c r="I461" s="1" t="str">
        <f>"1"</f>
        <v>1</v>
      </c>
      <c r="J461" s="3" t="str">
        <f>"45602"</f>
        <v>45602</v>
      </c>
      <c r="K461" s="4">
        <v>46111</v>
      </c>
      <c r="L461" s="4">
        <v>46111</v>
      </c>
      <c r="M461" s="1" t="s">
        <v>11000</v>
      </c>
      <c r="N461" s="1" t="s">
        <v>11666</v>
      </c>
    </row>
    <row r="462" spans="1:14" s="1" customFormat="1" x14ac:dyDescent="0.35">
      <c r="A462" s="1" t="s">
        <v>0</v>
      </c>
      <c r="B462" s="1" t="s">
        <v>3356</v>
      </c>
      <c r="C462" s="1" t="s">
        <v>3371</v>
      </c>
      <c r="D462" s="1" t="s">
        <v>11665</v>
      </c>
      <c r="E462" s="1" t="str">
        <f>"2340"</f>
        <v>2340</v>
      </c>
      <c r="F462" s="1" t="s">
        <v>1071</v>
      </c>
      <c r="G462" s="1" t="s">
        <v>1072</v>
      </c>
      <c r="H462" s="1" t="s">
        <v>15</v>
      </c>
      <c r="I462" s="1" t="str">
        <f>"1"</f>
        <v>1</v>
      </c>
      <c r="J462" s="3">
        <v>16829.71</v>
      </c>
      <c r="K462" s="4">
        <v>46111</v>
      </c>
      <c r="L462" s="4">
        <v>46111</v>
      </c>
      <c r="M462" s="1" t="s">
        <v>11000</v>
      </c>
      <c r="N462" s="1" t="s">
        <v>11664</v>
      </c>
    </row>
    <row r="463" spans="1:14" s="1" customFormat="1" x14ac:dyDescent="0.35">
      <c r="A463" s="1" t="s">
        <v>0</v>
      </c>
      <c r="B463" s="1" t="s">
        <v>3822</v>
      </c>
      <c r="C463" s="1" t="s">
        <v>4057</v>
      </c>
      <c r="D463" s="1" t="s">
        <v>11663</v>
      </c>
      <c r="E463" s="1" t="str">
        <f>"5855"</f>
        <v>5855</v>
      </c>
      <c r="F463" s="1" t="str">
        <f>"015777174"</f>
        <v>015777174</v>
      </c>
      <c r="G463" s="1" t="s">
        <v>952</v>
      </c>
      <c r="H463" s="1" t="s">
        <v>15</v>
      </c>
      <c r="I463" s="1" t="str">
        <f>"6"</f>
        <v>6</v>
      </c>
      <c r="J463" s="3" t="str">
        <f>"1791"</f>
        <v>1791</v>
      </c>
      <c r="K463" s="4">
        <v>46100</v>
      </c>
      <c r="L463" s="4">
        <v>46100</v>
      </c>
      <c r="M463" s="1" t="s">
        <v>11662</v>
      </c>
      <c r="N463" s="1" t="s">
        <v>11661</v>
      </c>
    </row>
    <row r="464" spans="1:14" s="1" customFormat="1" x14ac:dyDescent="0.35">
      <c r="A464" s="1" t="s">
        <v>0</v>
      </c>
      <c r="B464" s="1" t="s">
        <v>2630</v>
      </c>
      <c r="C464" s="1" t="s">
        <v>2631</v>
      </c>
      <c r="D464" s="1" t="s">
        <v>11660</v>
      </c>
      <c r="E464" s="1" t="str">
        <f>"2320"</f>
        <v>2320</v>
      </c>
      <c r="F464" s="1" t="str">
        <f>"010747642"</f>
        <v>010747642</v>
      </c>
      <c r="G464" s="1" t="s">
        <v>7312</v>
      </c>
      <c r="H464" s="1" t="s">
        <v>15</v>
      </c>
      <c r="I464" s="1" t="str">
        <f>"1"</f>
        <v>1</v>
      </c>
      <c r="J464" s="3" t="str">
        <f>"65070"</f>
        <v>65070</v>
      </c>
      <c r="K464" s="4">
        <v>46099</v>
      </c>
      <c r="L464" s="4">
        <v>46104</v>
      </c>
      <c r="M464" s="1" t="s">
        <v>11659</v>
      </c>
      <c r="N464" s="1" t="s">
        <v>11658</v>
      </c>
    </row>
    <row r="465" spans="1:14" s="1" customFormat="1" x14ac:dyDescent="0.35">
      <c r="A465" s="1" t="s">
        <v>0</v>
      </c>
      <c r="B465" s="1" t="s">
        <v>4247</v>
      </c>
      <c r="C465" s="1" t="s">
        <v>10436</v>
      </c>
      <c r="D465" s="1" t="s">
        <v>11657</v>
      </c>
      <c r="E465" s="1" t="str">
        <f>"5855"</f>
        <v>5855</v>
      </c>
      <c r="F465" s="1" t="str">
        <f>"015137561"</f>
        <v>015137561</v>
      </c>
      <c r="G465" s="1" t="s">
        <v>4264</v>
      </c>
      <c r="H465" s="1" t="s">
        <v>15</v>
      </c>
      <c r="I465" s="1" t="str">
        <f>"1"</f>
        <v>1</v>
      </c>
      <c r="J465" s="3">
        <v>3309.75</v>
      </c>
      <c r="K465" s="4">
        <v>46056</v>
      </c>
      <c r="L465" s="4">
        <v>46057</v>
      </c>
      <c r="M465" s="1" t="s">
        <v>11036</v>
      </c>
      <c r="N465" s="1" t="s">
        <v>11654</v>
      </c>
    </row>
    <row r="466" spans="1:14" s="1" customFormat="1" x14ac:dyDescent="0.35">
      <c r="A466" s="1" t="s">
        <v>0</v>
      </c>
      <c r="B466" s="1" t="s">
        <v>4247</v>
      </c>
      <c r="C466" s="1" t="s">
        <v>10436</v>
      </c>
      <c r="D466" s="1" t="s">
        <v>11656</v>
      </c>
      <c r="E466" s="1" t="str">
        <f>"5855"</f>
        <v>5855</v>
      </c>
      <c r="F466" s="1" t="str">
        <f>"015137561"</f>
        <v>015137561</v>
      </c>
      <c r="G466" s="1" t="s">
        <v>4264</v>
      </c>
      <c r="H466" s="1" t="s">
        <v>15</v>
      </c>
      <c r="I466" s="1" t="str">
        <f>"1"</f>
        <v>1</v>
      </c>
      <c r="J466" s="3">
        <v>3309.75</v>
      </c>
      <c r="K466" s="4">
        <v>46056</v>
      </c>
      <c r="L466" s="4">
        <v>46057</v>
      </c>
      <c r="M466" s="1" t="s">
        <v>11036</v>
      </c>
      <c r="N466" s="1" t="s">
        <v>11654</v>
      </c>
    </row>
    <row r="467" spans="1:14" s="1" customFormat="1" x14ac:dyDescent="0.35">
      <c r="A467" s="1" t="s">
        <v>0</v>
      </c>
      <c r="B467" s="1" t="s">
        <v>4247</v>
      </c>
      <c r="C467" s="1" t="s">
        <v>10436</v>
      </c>
      <c r="D467" s="1" t="s">
        <v>11655</v>
      </c>
      <c r="E467" s="1" t="str">
        <f>"5855"</f>
        <v>5855</v>
      </c>
      <c r="F467" s="1" t="str">
        <f>"015137561"</f>
        <v>015137561</v>
      </c>
      <c r="G467" s="1" t="s">
        <v>4264</v>
      </c>
      <c r="H467" s="1" t="s">
        <v>15</v>
      </c>
      <c r="I467" s="1" t="str">
        <f>"1"</f>
        <v>1</v>
      </c>
      <c r="J467" s="3">
        <v>3309.75</v>
      </c>
      <c r="K467" s="4">
        <v>46056</v>
      </c>
      <c r="L467" s="4">
        <v>46057</v>
      </c>
      <c r="M467" s="1" t="s">
        <v>11036</v>
      </c>
      <c r="N467" s="1" t="s">
        <v>11654</v>
      </c>
    </row>
    <row r="468" spans="1:14" s="1" customFormat="1" x14ac:dyDescent="0.35">
      <c r="A468" s="1" t="s">
        <v>0</v>
      </c>
      <c r="B468" s="1" t="s">
        <v>1791</v>
      </c>
      <c r="C468" s="1" t="s">
        <v>10286</v>
      </c>
      <c r="D468" s="1" t="s">
        <v>11653</v>
      </c>
      <c r="E468" s="1" t="str">
        <f>"5820"</f>
        <v>5820</v>
      </c>
      <c r="F468" s="1" t="str">
        <f>"015726748"</f>
        <v>015726748</v>
      </c>
      <c r="G468" s="1" t="s">
        <v>10284</v>
      </c>
      <c r="H468" s="1" t="s">
        <v>15</v>
      </c>
      <c r="I468" s="1" t="str">
        <f>"2"</f>
        <v>2</v>
      </c>
      <c r="J468" s="3">
        <v>3420.62</v>
      </c>
      <c r="K468" s="4">
        <v>46049</v>
      </c>
      <c r="L468" s="4">
        <v>46049</v>
      </c>
      <c r="M468" s="1" t="s">
        <v>11652</v>
      </c>
      <c r="N468" s="1" t="s">
        <v>11651</v>
      </c>
    </row>
    <row r="469" spans="1:14" s="1" customFormat="1" x14ac:dyDescent="0.35">
      <c r="A469" s="1" t="s">
        <v>0</v>
      </c>
      <c r="B469" s="1" t="s">
        <v>1989</v>
      </c>
      <c r="C469" s="1" t="s">
        <v>11650</v>
      </c>
      <c r="D469" s="1" t="s">
        <v>11649</v>
      </c>
      <c r="E469" s="1" t="str">
        <f>"5855"</f>
        <v>5855</v>
      </c>
      <c r="F469" s="1" t="str">
        <f>"015485687"</f>
        <v>015485687</v>
      </c>
      <c r="G469" s="1" t="s">
        <v>798</v>
      </c>
      <c r="H469" s="1" t="s">
        <v>15</v>
      </c>
      <c r="I469" s="1" t="str">
        <f>"8"</f>
        <v>8</v>
      </c>
      <c r="J469" s="3" t="str">
        <f>"10402"</f>
        <v>10402</v>
      </c>
      <c r="K469" s="4">
        <v>46077</v>
      </c>
      <c r="L469" s="4">
        <v>46077</v>
      </c>
      <c r="M469" s="1" t="s">
        <v>11648</v>
      </c>
      <c r="N469" s="1" t="s">
        <v>11647</v>
      </c>
    </row>
    <row r="470" spans="1:14" s="1" customFormat="1" x14ac:dyDescent="0.35">
      <c r="A470" s="1" t="s">
        <v>0</v>
      </c>
      <c r="B470" s="1" t="s">
        <v>3268</v>
      </c>
      <c r="C470" s="1" t="s">
        <v>10271</v>
      </c>
      <c r="D470" s="1" t="s">
        <v>11646</v>
      </c>
      <c r="E470" s="1" t="str">
        <f>"3805"</f>
        <v>3805</v>
      </c>
      <c r="F470" s="1" t="s">
        <v>1020</v>
      </c>
      <c r="G470" s="1" t="s">
        <v>1021</v>
      </c>
      <c r="H470" s="1" t="s">
        <v>15</v>
      </c>
      <c r="I470" s="1" t="str">
        <f>"1"</f>
        <v>1</v>
      </c>
      <c r="J470" s="3" t="str">
        <f>"75000"</f>
        <v>75000</v>
      </c>
      <c r="K470" s="4">
        <v>46028</v>
      </c>
      <c r="L470" s="4">
        <v>46029</v>
      </c>
      <c r="M470" s="1" t="s">
        <v>11645</v>
      </c>
      <c r="N470" s="1" t="s">
        <v>11644</v>
      </c>
    </row>
    <row r="471" spans="1:14" s="1" customFormat="1" x14ac:dyDescent="0.35">
      <c r="A471" s="1" t="s">
        <v>0</v>
      </c>
      <c r="B471" s="1" t="s">
        <v>3268</v>
      </c>
      <c r="C471" s="1" t="s">
        <v>3275</v>
      </c>
      <c r="D471" s="1" t="s">
        <v>11643</v>
      </c>
      <c r="E471" s="1" t="str">
        <f>"1240"</f>
        <v>1240</v>
      </c>
      <c r="F471" s="1" t="str">
        <f>"014111265"</f>
        <v>014111265</v>
      </c>
      <c r="G471" s="1" t="s">
        <v>71</v>
      </c>
      <c r="H471" s="1" t="s">
        <v>15</v>
      </c>
      <c r="I471" s="1" t="str">
        <f>"3"</f>
        <v>3</v>
      </c>
      <c r="J471" s="3" t="str">
        <f>"339"</f>
        <v>339</v>
      </c>
      <c r="K471" s="4">
        <v>46029</v>
      </c>
      <c r="L471" s="4">
        <v>46030</v>
      </c>
      <c r="M471" s="1" t="s">
        <v>11242</v>
      </c>
      <c r="N471" s="1" t="s">
        <v>3279</v>
      </c>
    </row>
    <row r="472" spans="1:14" s="1" customFormat="1" x14ac:dyDescent="0.35">
      <c r="A472" s="1" t="s">
        <v>0</v>
      </c>
      <c r="B472" s="1" t="s">
        <v>3268</v>
      </c>
      <c r="C472" s="1" t="s">
        <v>3275</v>
      </c>
      <c r="D472" s="1" t="s">
        <v>11642</v>
      </c>
      <c r="E472" s="1" t="str">
        <f>"1240"</f>
        <v>1240</v>
      </c>
      <c r="F472" s="1" t="str">
        <f>"014111265"</f>
        <v>014111265</v>
      </c>
      <c r="G472" s="1" t="s">
        <v>71</v>
      </c>
      <c r="H472" s="1" t="s">
        <v>15</v>
      </c>
      <c r="I472" s="1" t="str">
        <f>"1"</f>
        <v>1</v>
      </c>
      <c r="J472" s="3" t="str">
        <f>"339"</f>
        <v>339</v>
      </c>
      <c r="K472" s="4">
        <v>46029</v>
      </c>
      <c r="L472" s="4">
        <v>46030</v>
      </c>
      <c r="M472" s="1" t="s">
        <v>11242</v>
      </c>
      <c r="N472" s="1" t="s">
        <v>3279</v>
      </c>
    </row>
    <row r="473" spans="1:14" s="1" customFormat="1" x14ac:dyDescent="0.35">
      <c r="A473" s="1" t="s">
        <v>0</v>
      </c>
      <c r="B473" s="1" t="s">
        <v>3268</v>
      </c>
      <c r="C473" s="1" t="s">
        <v>3275</v>
      </c>
      <c r="D473" s="1" t="s">
        <v>11641</v>
      </c>
      <c r="E473" s="1" t="str">
        <f>"2310"</f>
        <v>2310</v>
      </c>
      <c r="F473" s="1" t="str">
        <f>"014998019"</f>
        <v>014998019</v>
      </c>
      <c r="G473" s="1" t="s">
        <v>4671</v>
      </c>
      <c r="H473" s="1" t="s">
        <v>15</v>
      </c>
      <c r="I473" s="1" t="str">
        <f>"1"</f>
        <v>1</v>
      </c>
      <c r="J473" s="3" t="str">
        <f>"165000"</f>
        <v>165000</v>
      </c>
      <c r="K473" s="4">
        <v>46044</v>
      </c>
      <c r="L473" s="4">
        <v>46045</v>
      </c>
      <c r="M473" s="1" t="s">
        <v>11242</v>
      </c>
      <c r="N473" s="1" t="s">
        <v>11640</v>
      </c>
    </row>
    <row r="474" spans="1:14" s="1" customFormat="1" x14ac:dyDescent="0.35">
      <c r="A474" s="1" t="s">
        <v>0</v>
      </c>
      <c r="B474" s="1" t="s">
        <v>1989</v>
      </c>
      <c r="C474" s="1" t="s">
        <v>1990</v>
      </c>
      <c r="D474" s="1" t="s">
        <v>11639</v>
      </c>
      <c r="E474" s="1" t="str">
        <f>"2340"</f>
        <v>2340</v>
      </c>
      <c r="F474" s="1" t="s">
        <v>1071</v>
      </c>
      <c r="G474" s="1" t="s">
        <v>1072</v>
      </c>
      <c r="H474" s="1" t="s">
        <v>15</v>
      </c>
      <c r="I474" s="1" t="str">
        <f>"1"</f>
        <v>1</v>
      </c>
      <c r="J474" s="3" t="str">
        <f>"5000"</f>
        <v>5000</v>
      </c>
      <c r="K474" s="4">
        <v>46095</v>
      </c>
      <c r="L474" s="4">
        <v>46097</v>
      </c>
      <c r="M474" s="1" t="s">
        <v>11203</v>
      </c>
      <c r="N474" s="1" t="s">
        <v>11637</v>
      </c>
    </row>
    <row r="475" spans="1:14" s="1" customFormat="1" x14ac:dyDescent="0.35">
      <c r="A475" s="1" t="s">
        <v>0</v>
      </c>
      <c r="B475" s="1" t="s">
        <v>1989</v>
      </c>
      <c r="C475" s="1" t="s">
        <v>1990</v>
      </c>
      <c r="D475" s="1" t="s">
        <v>11638</v>
      </c>
      <c r="E475" s="1" t="str">
        <f>"2340"</f>
        <v>2340</v>
      </c>
      <c r="F475" s="1" t="s">
        <v>1071</v>
      </c>
      <c r="G475" s="1" t="s">
        <v>1072</v>
      </c>
      <c r="H475" s="1" t="s">
        <v>15</v>
      </c>
      <c r="I475" s="1" t="str">
        <f>"1"</f>
        <v>1</v>
      </c>
      <c r="J475" s="3" t="str">
        <f>"5000"</f>
        <v>5000</v>
      </c>
      <c r="K475" s="4">
        <v>46095</v>
      </c>
      <c r="L475" s="4">
        <v>46097</v>
      </c>
      <c r="M475" s="1" t="s">
        <v>11478</v>
      </c>
      <c r="N475" s="1" t="s">
        <v>11637</v>
      </c>
    </row>
    <row r="476" spans="1:14" s="1" customFormat="1" x14ac:dyDescent="0.35">
      <c r="A476" s="1" t="s">
        <v>0</v>
      </c>
      <c r="B476" s="1" t="s">
        <v>1176</v>
      </c>
      <c r="C476" s="1" t="s">
        <v>1190</v>
      </c>
      <c r="D476" s="1" t="s">
        <v>11636</v>
      </c>
      <c r="E476" s="1" t="str">
        <f>"1385"</f>
        <v>1385</v>
      </c>
      <c r="F476" s="1" t="str">
        <f>"016274491"</f>
        <v>016274491</v>
      </c>
      <c r="G476" s="1" t="s">
        <v>6169</v>
      </c>
      <c r="H476" s="1" t="s">
        <v>15</v>
      </c>
      <c r="I476" s="1" t="str">
        <f>"2"</f>
        <v>2</v>
      </c>
      <c r="J476" s="3">
        <v>11556.33</v>
      </c>
      <c r="K476" s="4">
        <v>46058</v>
      </c>
      <c r="L476" s="4">
        <v>46058</v>
      </c>
      <c r="M476" s="1" t="s">
        <v>11635</v>
      </c>
      <c r="N476" s="1" t="s">
        <v>11634</v>
      </c>
    </row>
    <row r="477" spans="1:14" s="1" customFormat="1" x14ac:dyDescent="0.35">
      <c r="A477" s="1" t="s">
        <v>0</v>
      </c>
      <c r="B477" s="1" t="s">
        <v>3268</v>
      </c>
      <c r="C477" s="1" t="s">
        <v>3297</v>
      </c>
      <c r="D477" s="1" t="s">
        <v>11633</v>
      </c>
      <c r="E477" s="1" t="str">
        <f>"1240"</f>
        <v>1240</v>
      </c>
      <c r="F477" s="1" t="str">
        <f>"014111265"</f>
        <v>014111265</v>
      </c>
      <c r="G477" s="1" t="s">
        <v>71</v>
      </c>
      <c r="H477" s="1" t="s">
        <v>15</v>
      </c>
      <c r="I477" s="1" t="str">
        <f>"4"</f>
        <v>4</v>
      </c>
      <c r="J477" s="3" t="str">
        <f>"339"</f>
        <v>339</v>
      </c>
      <c r="K477" s="4">
        <v>46073</v>
      </c>
      <c r="L477" s="4">
        <v>46085</v>
      </c>
      <c r="M477" s="1" t="s">
        <v>11242</v>
      </c>
      <c r="N477" s="1" t="s">
        <v>11632</v>
      </c>
    </row>
    <row r="478" spans="1:14" s="1" customFormat="1" x14ac:dyDescent="0.35">
      <c r="A478" s="1" t="s">
        <v>0</v>
      </c>
      <c r="B478" s="1" t="s">
        <v>3268</v>
      </c>
      <c r="C478" s="1" t="s">
        <v>3297</v>
      </c>
      <c r="D478" s="1" t="s">
        <v>11631</v>
      </c>
      <c r="E478" s="1" t="str">
        <f>"5855"</f>
        <v>5855</v>
      </c>
      <c r="F478" s="1" t="str">
        <f>"016085809"</f>
        <v>016085809</v>
      </c>
      <c r="G478" s="1" t="s">
        <v>8315</v>
      </c>
      <c r="H478" s="1" t="s">
        <v>168</v>
      </c>
      <c r="I478" s="1" t="str">
        <f>"2"</f>
        <v>2</v>
      </c>
      <c r="J478" s="3" t="str">
        <f>"8979"</f>
        <v>8979</v>
      </c>
      <c r="K478" s="4">
        <v>46105</v>
      </c>
      <c r="L478" s="4">
        <v>46106</v>
      </c>
      <c r="M478" s="1" t="s">
        <v>11242</v>
      </c>
      <c r="N478" s="1" t="s">
        <v>11630</v>
      </c>
    </row>
    <row r="479" spans="1:14" s="1" customFormat="1" x14ac:dyDescent="0.35">
      <c r="A479" s="1" t="s">
        <v>0</v>
      </c>
      <c r="B479" s="1" t="s">
        <v>3268</v>
      </c>
      <c r="C479" s="1" t="s">
        <v>3309</v>
      </c>
      <c r="D479" s="1" t="s">
        <v>11629</v>
      </c>
      <c r="E479" s="1" t="str">
        <f>"5855"</f>
        <v>5855</v>
      </c>
      <c r="F479" s="1" t="str">
        <f>"015350971"</f>
        <v>015350971</v>
      </c>
      <c r="G479" s="1" t="s">
        <v>3840</v>
      </c>
      <c r="H479" s="1" t="s">
        <v>15</v>
      </c>
      <c r="I479" s="1" t="str">
        <f>"6"</f>
        <v>6</v>
      </c>
      <c r="J479" s="3" t="str">
        <f>"11867"</f>
        <v>11867</v>
      </c>
      <c r="K479" s="4">
        <v>46026</v>
      </c>
      <c r="L479" s="4">
        <v>46027</v>
      </c>
      <c r="M479" s="1" t="s">
        <v>11628</v>
      </c>
      <c r="N479" s="1" t="s">
        <v>11619</v>
      </c>
    </row>
    <row r="480" spans="1:14" s="1" customFormat="1" x14ac:dyDescent="0.35">
      <c r="A480" s="1" t="s">
        <v>0</v>
      </c>
      <c r="B480" s="1" t="s">
        <v>3268</v>
      </c>
      <c r="C480" s="1" t="s">
        <v>3309</v>
      </c>
      <c r="D480" s="1" t="s">
        <v>11627</v>
      </c>
      <c r="E480" s="1" t="str">
        <f>"1005"</f>
        <v>1005</v>
      </c>
      <c r="F480" s="1" t="str">
        <f>"015697470"</f>
        <v>015697470</v>
      </c>
      <c r="G480" s="1" t="s">
        <v>11626</v>
      </c>
      <c r="H480" s="1" t="s">
        <v>15</v>
      </c>
      <c r="I480" s="1" t="str">
        <f>"5"</f>
        <v>5</v>
      </c>
      <c r="J480" s="3" t="str">
        <f>"1051"</f>
        <v>1051</v>
      </c>
      <c r="K480" s="4">
        <v>46026</v>
      </c>
      <c r="L480" s="4">
        <v>46028</v>
      </c>
      <c r="M480" s="1" t="s">
        <v>11242</v>
      </c>
      <c r="N480" s="1" t="s">
        <v>11619</v>
      </c>
    </row>
    <row r="481" spans="1:14" s="1" customFormat="1" x14ac:dyDescent="0.35">
      <c r="A481" s="1" t="s">
        <v>0</v>
      </c>
      <c r="B481" s="1" t="s">
        <v>3268</v>
      </c>
      <c r="C481" s="1" t="s">
        <v>3309</v>
      </c>
      <c r="D481" s="1" t="s">
        <v>11625</v>
      </c>
      <c r="E481" s="1" t="str">
        <f>"1240"</f>
        <v>1240</v>
      </c>
      <c r="F481" s="1" t="s">
        <v>1364</v>
      </c>
      <c r="G481" s="1" t="s">
        <v>1365</v>
      </c>
      <c r="H481" s="1" t="s">
        <v>15</v>
      </c>
      <c r="I481" s="1" t="str">
        <f>"1"</f>
        <v>1</v>
      </c>
      <c r="J481" s="3">
        <v>8996.4</v>
      </c>
      <c r="K481" s="4">
        <v>46035</v>
      </c>
      <c r="L481" s="4">
        <v>46042</v>
      </c>
      <c r="M481" s="1" t="s">
        <v>11244</v>
      </c>
      <c r="N481" s="1" t="s">
        <v>11619</v>
      </c>
    </row>
    <row r="482" spans="1:14" s="1" customFormat="1" x14ac:dyDescent="0.35">
      <c r="A482" s="1" t="s">
        <v>0</v>
      </c>
      <c r="B482" s="1" t="s">
        <v>3268</v>
      </c>
      <c r="C482" s="1" t="s">
        <v>3309</v>
      </c>
      <c r="D482" s="1" t="s">
        <v>11624</v>
      </c>
      <c r="E482" s="1" t="str">
        <f>"5855"</f>
        <v>5855</v>
      </c>
      <c r="F482" s="1" t="str">
        <f>"016996757"</f>
        <v>016996757</v>
      </c>
      <c r="G482" s="1" t="s">
        <v>5814</v>
      </c>
      <c r="H482" s="1" t="s">
        <v>168</v>
      </c>
      <c r="I482" s="1" t="str">
        <f>"1"</f>
        <v>1</v>
      </c>
      <c r="J482" s="3">
        <v>11949.6</v>
      </c>
      <c r="K482" s="4">
        <v>46039</v>
      </c>
      <c r="L482" s="4">
        <v>46045</v>
      </c>
      <c r="M482" s="1" t="s">
        <v>11623</v>
      </c>
      <c r="N482" s="1" t="s">
        <v>11619</v>
      </c>
    </row>
    <row r="483" spans="1:14" s="1" customFormat="1" x14ac:dyDescent="0.35">
      <c r="A483" s="1" t="s">
        <v>0</v>
      </c>
      <c r="B483" s="1" t="s">
        <v>3268</v>
      </c>
      <c r="C483" s="1" t="s">
        <v>3309</v>
      </c>
      <c r="D483" s="1" t="s">
        <v>11622</v>
      </c>
      <c r="E483" s="1" t="str">
        <f>"5855"</f>
        <v>5855</v>
      </c>
      <c r="F483" s="1" t="str">
        <f>"015096871"</f>
        <v>015096871</v>
      </c>
      <c r="G483" s="1" t="s">
        <v>7641</v>
      </c>
      <c r="H483" s="1" t="s">
        <v>15</v>
      </c>
      <c r="I483" s="1" t="str">
        <f>"1"</f>
        <v>1</v>
      </c>
      <c r="J483" s="3" t="str">
        <f>"15264"</f>
        <v>15264</v>
      </c>
      <c r="K483" s="4">
        <v>46041</v>
      </c>
      <c r="L483" s="4">
        <v>46042</v>
      </c>
      <c r="M483" s="1" t="s">
        <v>11244</v>
      </c>
      <c r="N483" s="1" t="s">
        <v>11619</v>
      </c>
    </row>
    <row r="484" spans="1:14" s="1" customFormat="1" x14ac:dyDescent="0.35">
      <c r="A484" s="1" t="s">
        <v>0</v>
      </c>
      <c r="B484" s="1" t="s">
        <v>3268</v>
      </c>
      <c r="C484" s="1" t="s">
        <v>3309</v>
      </c>
      <c r="D484" s="1" t="s">
        <v>11621</v>
      </c>
      <c r="E484" s="1" t="str">
        <f>"1240"</f>
        <v>1240</v>
      </c>
      <c r="F484" s="1" t="s">
        <v>1364</v>
      </c>
      <c r="G484" s="1" t="s">
        <v>1365</v>
      </c>
      <c r="H484" s="1" t="s">
        <v>15</v>
      </c>
      <c r="I484" s="1" t="str">
        <f>"1"</f>
        <v>1</v>
      </c>
      <c r="J484" s="3" t="str">
        <f>"2000"</f>
        <v>2000</v>
      </c>
      <c r="K484" s="4">
        <v>46056</v>
      </c>
      <c r="L484" s="4">
        <v>46059</v>
      </c>
      <c r="M484" s="1" t="s">
        <v>11242</v>
      </c>
      <c r="N484" s="1" t="s">
        <v>11619</v>
      </c>
    </row>
    <row r="485" spans="1:14" s="1" customFormat="1" x14ac:dyDescent="0.35">
      <c r="A485" s="1" t="s">
        <v>0</v>
      </c>
      <c r="B485" s="1" t="s">
        <v>3268</v>
      </c>
      <c r="C485" s="1" t="s">
        <v>3309</v>
      </c>
      <c r="D485" s="1" t="s">
        <v>11620</v>
      </c>
      <c r="E485" s="1" t="str">
        <f>"1240"</f>
        <v>1240</v>
      </c>
      <c r="F485" s="1" t="s">
        <v>1364</v>
      </c>
      <c r="G485" s="1" t="s">
        <v>1365</v>
      </c>
      <c r="H485" s="1" t="s">
        <v>15</v>
      </c>
      <c r="I485" s="1" t="str">
        <f>"1"</f>
        <v>1</v>
      </c>
      <c r="J485" s="3" t="str">
        <f>"2000"</f>
        <v>2000</v>
      </c>
      <c r="K485" s="4">
        <v>46056</v>
      </c>
      <c r="L485" s="4">
        <v>46059</v>
      </c>
      <c r="M485" s="1" t="s">
        <v>11242</v>
      </c>
      <c r="N485" s="1" t="s">
        <v>11619</v>
      </c>
    </row>
    <row r="486" spans="1:14" s="1" customFormat="1" x14ac:dyDescent="0.35">
      <c r="A486" s="1" t="s">
        <v>0</v>
      </c>
      <c r="B486" s="1" t="s">
        <v>3268</v>
      </c>
      <c r="C486" s="1" t="s">
        <v>3309</v>
      </c>
      <c r="D486" s="1" t="s">
        <v>11618</v>
      </c>
      <c r="E486" s="1" t="str">
        <f>"2320"</f>
        <v>2320</v>
      </c>
      <c r="F486" s="1" t="s">
        <v>4526</v>
      </c>
      <c r="G486" s="1" t="s">
        <v>4525</v>
      </c>
      <c r="H486" s="1" t="s">
        <v>15</v>
      </c>
      <c r="I486" s="1" t="str">
        <f>"1"</f>
        <v>1</v>
      </c>
      <c r="J486" s="3">
        <v>610434.26</v>
      </c>
      <c r="K486" s="4">
        <v>46056</v>
      </c>
      <c r="L486" s="4">
        <v>46056</v>
      </c>
      <c r="M486" s="1" t="s">
        <v>11482</v>
      </c>
      <c r="N486" s="1" t="s">
        <v>11617</v>
      </c>
    </row>
    <row r="487" spans="1:14" s="1" customFormat="1" x14ac:dyDescent="0.35">
      <c r="A487" s="1" t="s">
        <v>0</v>
      </c>
      <c r="B487" s="1" t="s">
        <v>3268</v>
      </c>
      <c r="C487" s="1" t="s">
        <v>3309</v>
      </c>
      <c r="D487" s="1" t="s">
        <v>11616</v>
      </c>
      <c r="E487" s="1" t="str">
        <f>"6230"</f>
        <v>6230</v>
      </c>
      <c r="F487" s="1" t="s">
        <v>3594</v>
      </c>
      <c r="G487" s="1" t="s">
        <v>3595</v>
      </c>
      <c r="H487" s="1" t="s">
        <v>15</v>
      </c>
      <c r="I487" s="1" t="str">
        <f>"6"</f>
        <v>6</v>
      </c>
      <c r="J487" s="3">
        <v>677.38</v>
      </c>
      <c r="K487" s="4">
        <v>46073</v>
      </c>
      <c r="L487" s="4">
        <v>46076</v>
      </c>
      <c r="M487" s="1" t="s">
        <v>11242</v>
      </c>
      <c r="N487" s="1" t="s">
        <v>9627</v>
      </c>
    </row>
    <row r="488" spans="1:14" s="1" customFormat="1" x14ac:dyDescent="0.35">
      <c r="A488" s="1" t="s">
        <v>0</v>
      </c>
      <c r="B488" s="1" t="s">
        <v>3268</v>
      </c>
      <c r="C488" s="1" t="s">
        <v>3309</v>
      </c>
      <c r="D488" s="1" t="s">
        <v>11615</v>
      </c>
      <c r="E488" s="1" t="str">
        <f>"5855"</f>
        <v>5855</v>
      </c>
      <c r="F488" s="1" t="s">
        <v>985</v>
      </c>
      <c r="G488" s="1" t="s">
        <v>986</v>
      </c>
      <c r="H488" s="1" t="s">
        <v>15</v>
      </c>
      <c r="I488" s="1" t="str">
        <f>"4"</f>
        <v>4</v>
      </c>
      <c r="J488" s="3" t="str">
        <f>"3595"</f>
        <v>3595</v>
      </c>
      <c r="K488" s="4">
        <v>46098</v>
      </c>
      <c r="L488" s="4">
        <v>46104</v>
      </c>
      <c r="M488" s="1" t="s">
        <v>11614</v>
      </c>
      <c r="N488" s="1" t="s">
        <v>11613</v>
      </c>
    </row>
    <row r="489" spans="1:14" s="1" customFormat="1" x14ac:dyDescent="0.35">
      <c r="A489" s="1" t="s">
        <v>0</v>
      </c>
      <c r="B489" s="1" t="s">
        <v>1284</v>
      </c>
      <c r="C489" s="1" t="s">
        <v>9534</v>
      </c>
      <c r="D489" s="1" t="s">
        <v>11612</v>
      </c>
      <c r="E489" s="1" t="str">
        <f>"6545"</f>
        <v>6545</v>
      </c>
      <c r="F489" s="1" t="str">
        <f>"015338202"</f>
        <v>015338202</v>
      </c>
      <c r="G489" s="1" t="s">
        <v>2862</v>
      </c>
      <c r="H489" s="1" t="s">
        <v>15</v>
      </c>
      <c r="I489" s="1" t="str">
        <f>"6"</f>
        <v>6</v>
      </c>
      <c r="J489" s="3">
        <v>1285.27</v>
      </c>
      <c r="K489" s="4">
        <v>46073</v>
      </c>
      <c r="L489" s="4">
        <v>46076</v>
      </c>
      <c r="M489" s="1" t="s">
        <v>11607</v>
      </c>
      <c r="N489" s="1" t="s">
        <v>11611</v>
      </c>
    </row>
    <row r="490" spans="1:14" s="1" customFormat="1" x14ac:dyDescent="0.35">
      <c r="A490" s="1" t="s">
        <v>0</v>
      </c>
      <c r="B490" s="1" t="s">
        <v>1284</v>
      </c>
      <c r="C490" s="1" t="s">
        <v>9534</v>
      </c>
      <c r="D490" s="1" t="s">
        <v>11610</v>
      </c>
      <c r="E490" s="1" t="str">
        <f>"8145"</f>
        <v>8145</v>
      </c>
      <c r="F490" s="1" t="s">
        <v>2453</v>
      </c>
      <c r="G490" s="1" t="s">
        <v>2454</v>
      </c>
      <c r="H490" s="1" t="s">
        <v>15</v>
      </c>
      <c r="I490" s="1" t="str">
        <f>"1"</f>
        <v>1</v>
      </c>
      <c r="J490" s="3" t="str">
        <f>"250"</f>
        <v>250</v>
      </c>
      <c r="K490" s="4">
        <v>46073</v>
      </c>
      <c r="L490" s="4">
        <v>46076</v>
      </c>
      <c r="M490" s="1" t="s">
        <v>11607</v>
      </c>
      <c r="N490" s="1" t="s">
        <v>11609</v>
      </c>
    </row>
    <row r="491" spans="1:14" s="1" customFormat="1" x14ac:dyDescent="0.35">
      <c r="A491" s="1" t="s">
        <v>0</v>
      </c>
      <c r="B491" s="1" t="s">
        <v>1284</v>
      </c>
      <c r="C491" s="1" t="s">
        <v>9534</v>
      </c>
      <c r="D491" s="1" t="s">
        <v>11608</v>
      </c>
      <c r="E491" s="1" t="str">
        <f>"8465"</f>
        <v>8465</v>
      </c>
      <c r="F491" s="1" t="str">
        <f>"015832203"</f>
        <v>015832203</v>
      </c>
      <c r="G491" s="1" t="s">
        <v>2054</v>
      </c>
      <c r="H491" s="1" t="s">
        <v>15</v>
      </c>
      <c r="I491" s="1" t="str">
        <f>"4"</f>
        <v>4</v>
      </c>
      <c r="J491" s="3">
        <v>13.43</v>
      </c>
      <c r="K491" s="4">
        <v>46073</v>
      </c>
      <c r="L491" s="4">
        <v>46076</v>
      </c>
      <c r="M491" s="1" t="s">
        <v>11607</v>
      </c>
      <c r="N491" s="1" t="s">
        <v>11606</v>
      </c>
    </row>
    <row r="492" spans="1:14" s="1" customFormat="1" x14ac:dyDescent="0.35">
      <c r="A492" s="1" t="s">
        <v>0</v>
      </c>
      <c r="B492" s="1" t="s">
        <v>1284</v>
      </c>
      <c r="C492" s="1" t="s">
        <v>9534</v>
      </c>
      <c r="D492" s="1" t="s">
        <v>11605</v>
      </c>
      <c r="E492" s="1" t="str">
        <f>"6545"</f>
        <v>6545</v>
      </c>
      <c r="F492" s="1" t="str">
        <f>"015338202"</f>
        <v>015338202</v>
      </c>
      <c r="G492" s="1" t="s">
        <v>2862</v>
      </c>
      <c r="H492" s="1" t="s">
        <v>15</v>
      </c>
      <c r="I492" s="1" t="str">
        <f>"2"</f>
        <v>2</v>
      </c>
      <c r="J492" s="3">
        <v>1285.27</v>
      </c>
      <c r="K492" s="4">
        <v>46080</v>
      </c>
      <c r="L492" s="4">
        <v>46083</v>
      </c>
      <c r="M492" s="1" t="s">
        <v>11597</v>
      </c>
      <c r="N492" s="1" t="s">
        <v>11603</v>
      </c>
    </row>
    <row r="493" spans="1:14" s="1" customFormat="1" x14ac:dyDescent="0.35">
      <c r="A493" s="1" t="s">
        <v>0</v>
      </c>
      <c r="B493" s="1" t="s">
        <v>1284</v>
      </c>
      <c r="C493" s="1" t="s">
        <v>9534</v>
      </c>
      <c r="D493" s="1" t="s">
        <v>11604</v>
      </c>
      <c r="E493" s="1" t="str">
        <f>"8115"</f>
        <v>8115</v>
      </c>
      <c r="F493" s="1" t="s">
        <v>412</v>
      </c>
      <c r="G493" s="1" t="s">
        <v>413</v>
      </c>
      <c r="H493" s="1" t="s">
        <v>15</v>
      </c>
      <c r="I493" s="1" t="str">
        <f>"1"</f>
        <v>1</v>
      </c>
      <c r="J493" s="3" t="str">
        <f>"63"</f>
        <v>63</v>
      </c>
      <c r="K493" s="4">
        <v>46080</v>
      </c>
      <c r="L493" s="4">
        <v>46083</v>
      </c>
      <c r="M493" s="1" t="s">
        <v>11597</v>
      </c>
      <c r="N493" s="1" t="s">
        <v>11603</v>
      </c>
    </row>
    <row r="494" spans="1:14" s="1" customFormat="1" x14ac:dyDescent="0.35">
      <c r="A494" s="1" t="s">
        <v>0</v>
      </c>
      <c r="B494" s="1" t="s">
        <v>1284</v>
      </c>
      <c r="C494" s="1" t="s">
        <v>9534</v>
      </c>
      <c r="D494" s="1" t="s">
        <v>11602</v>
      </c>
      <c r="E494" s="1" t="str">
        <f>"8465"</f>
        <v>8465</v>
      </c>
      <c r="F494" s="1" t="str">
        <f>"009356814"</f>
        <v>009356814</v>
      </c>
      <c r="G494" s="1" t="s">
        <v>11601</v>
      </c>
      <c r="H494" s="1" t="s">
        <v>15</v>
      </c>
      <c r="I494" s="1" t="str">
        <f>"3"</f>
        <v>3</v>
      </c>
      <c r="J494" s="3">
        <v>3.05</v>
      </c>
      <c r="K494" s="4">
        <v>46080</v>
      </c>
      <c r="L494" s="4">
        <v>46083</v>
      </c>
      <c r="M494" s="1" t="s">
        <v>11597</v>
      </c>
      <c r="N494" s="1" t="s">
        <v>11600</v>
      </c>
    </row>
    <row r="495" spans="1:14" s="1" customFormat="1" x14ac:dyDescent="0.35">
      <c r="A495" s="1" t="s">
        <v>0</v>
      </c>
      <c r="B495" s="1" t="s">
        <v>1284</v>
      </c>
      <c r="C495" s="1" t="s">
        <v>9534</v>
      </c>
      <c r="D495" s="1" t="s">
        <v>11599</v>
      </c>
      <c r="E495" s="1" t="str">
        <f>"4940"</f>
        <v>4940</v>
      </c>
      <c r="F495" s="1" t="str">
        <f>"016688956"</f>
        <v>016688956</v>
      </c>
      <c r="G495" s="1" t="s">
        <v>11598</v>
      </c>
      <c r="H495" s="1" t="s">
        <v>15</v>
      </c>
      <c r="I495" s="1" t="str">
        <f>"1"</f>
        <v>1</v>
      </c>
      <c r="J495" s="3">
        <v>2784.09</v>
      </c>
      <c r="K495" s="4">
        <v>46080</v>
      </c>
      <c r="L495" s="4">
        <v>46083</v>
      </c>
      <c r="M495" s="1" t="s">
        <v>11597</v>
      </c>
      <c r="N495" s="1" t="s">
        <v>11596</v>
      </c>
    </row>
    <row r="496" spans="1:14" s="1" customFormat="1" x14ac:dyDescent="0.35">
      <c r="A496" s="1" t="s">
        <v>0</v>
      </c>
      <c r="B496" s="1" t="s">
        <v>1284</v>
      </c>
      <c r="C496" s="1" t="s">
        <v>9534</v>
      </c>
      <c r="D496" s="1" t="s">
        <v>11595</v>
      </c>
      <c r="E496" s="1" t="str">
        <f>"8415"</f>
        <v>8415</v>
      </c>
      <c r="F496" s="1" t="str">
        <f>"015801341"</f>
        <v>015801341</v>
      </c>
      <c r="G496" s="1" t="s">
        <v>761</v>
      </c>
      <c r="H496" s="1" t="s">
        <v>15</v>
      </c>
      <c r="I496" s="1" t="str">
        <f>"1"</f>
        <v>1</v>
      </c>
      <c r="J496" s="3">
        <v>80.94</v>
      </c>
      <c r="K496" s="4">
        <v>46080</v>
      </c>
      <c r="L496" s="4">
        <v>46083</v>
      </c>
      <c r="M496" s="1" t="s">
        <v>11594</v>
      </c>
      <c r="N496" s="1" t="s">
        <v>11593</v>
      </c>
    </row>
    <row r="497" spans="1:14" s="1" customFormat="1" x14ac:dyDescent="0.35">
      <c r="A497" s="1" t="s">
        <v>0</v>
      </c>
      <c r="B497" s="1" t="s">
        <v>1284</v>
      </c>
      <c r="C497" s="1" t="s">
        <v>9534</v>
      </c>
      <c r="D497" s="1" t="s">
        <v>11592</v>
      </c>
      <c r="E497" s="1" t="str">
        <f>"4910"</f>
        <v>4910</v>
      </c>
      <c r="F497" s="1" t="str">
        <f>"013659304"</f>
        <v>013659304</v>
      </c>
      <c r="G497" s="1" t="s">
        <v>11591</v>
      </c>
      <c r="H497" s="1" t="s">
        <v>15</v>
      </c>
      <c r="I497" s="1" t="str">
        <f>"1"</f>
        <v>1</v>
      </c>
      <c r="J497" s="3" t="str">
        <f>"1932"</f>
        <v>1932</v>
      </c>
      <c r="K497" s="4">
        <v>46107</v>
      </c>
      <c r="L497" s="4">
        <v>46108</v>
      </c>
      <c r="M497" s="1" t="s">
        <v>11580</v>
      </c>
      <c r="N497" s="1" t="s">
        <v>11590</v>
      </c>
    </row>
    <row r="498" spans="1:14" s="1" customFormat="1" x14ac:dyDescent="0.35">
      <c r="A498" s="1" t="s">
        <v>0</v>
      </c>
      <c r="B498" s="1" t="s">
        <v>1284</v>
      </c>
      <c r="C498" s="1" t="s">
        <v>9534</v>
      </c>
      <c r="D498" s="1" t="s">
        <v>11589</v>
      </c>
      <c r="E498" s="1" t="str">
        <f>"2540"</f>
        <v>2540</v>
      </c>
      <c r="F498" s="1" t="str">
        <f>"013308062"</f>
        <v>013308062</v>
      </c>
      <c r="G498" s="1" t="s">
        <v>2958</v>
      </c>
      <c r="H498" s="1" t="s">
        <v>15</v>
      </c>
      <c r="I498" s="1" t="str">
        <f>"1"</f>
        <v>1</v>
      </c>
      <c r="J498" s="3">
        <v>316.10000000000002</v>
      </c>
      <c r="K498" s="4">
        <v>46106</v>
      </c>
      <c r="L498" s="4">
        <v>46108</v>
      </c>
      <c r="M498" s="1" t="s">
        <v>11580</v>
      </c>
      <c r="N498" s="1" t="s">
        <v>11588</v>
      </c>
    </row>
    <row r="499" spans="1:14" s="1" customFormat="1" x14ac:dyDescent="0.35">
      <c r="A499" s="1" t="s">
        <v>0</v>
      </c>
      <c r="B499" s="1" t="s">
        <v>1284</v>
      </c>
      <c r="C499" s="1" t="s">
        <v>9534</v>
      </c>
      <c r="D499" s="1" t="s">
        <v>11587</v>
      </c>
      <c r="E499" s="1" t="str">
        <f>"7240"</f>
        <v>7240</v>
      </c>
      <c r="F499" s="1" t="str">
        <f>"015167883"</f>
        <v>015167883</v>
      </c>
      <c r="G499" s="1" t="s">
        <v>11586</v>
      </c>
      <c r="H499" s="1" t="s">
        <v>15</v>
      </c>
      <c r="I499" s="1" t="str">
        <f>"1"</f>
        <v>1</v>
      </c>
      <c r="J499" s="3">
        <v>40.35</v>
      </c>
      <c r="K499" s="4">
        <v>46106</v>
      </c>
      <c r="L499" s="4">
        <v>46108</v>
      </c>
      <c r="M499" s="1" t="s">
        <v>11580</v>
      </c>
      <c r="N499" s="1" t="s">
        <v>11585</v>
      </c>
    </row>
    <row r="500" spans="1:14" s="1" customFormat="1" x14ac:dyDescent="0.35">
      <c r="A500" s="1" t="s">
        <v>0</v>
      </c>
      <c r="B500" s="1" t="s">
        <v>1284</v>
      </c>
      <c r="C500" s="1" t="s">
        <v>9534</v>
      </c>
      <c r="D500" s="1" t="s">
        <v>11584</v>
      </c>
      <c r="E500" s="1" t="str">
        <f>"8415"</f>
        <v>8415</v>
      </c>
      <c r="F500" s="1" t="str">
        <f>"015778425"</f>
        <v>015778425</v>
      </c>
      <c r="G500" s="1" t="s">
        <v>1463</v>
      </c>
      <c r="H500" s="1" t="s">
        <v>15</v>
      </c>
      <c r="I500" s="1" t="str">
        <f>"1"</f>
        <v>1</v>
      </c>
      <c r="J500" s="3">
        <v>134.36000000000001</v>
      </c>
      <c r="K500" s="4">
        <v>46106</v>
      </c>
      <c r="L500" s="4">
        <v>46108</v>
      </c>
      <c r="M500" s="1" t="s">
        <v>11580</v>
      </c>
      <c r="N500" s="1" t="s">
        <v>11583</v>
      </c>
    </row>
    <row r="501" spans="1:14" s="1" customFormat="1" x14ac:dyDescent="0.35">
      <c r="A501" s="1" t="s">
        <v>0</v>
      </c>
      <c r="B501" s="1" t="s">
        <v>1284</v>
      </c>
      <c r="C501" s="1" t="s">
        <v>9534</v>
      </c>
      <c r="D501" s="1" t="s">
        <v>11582</v>
      </c>
      <c r="E501" s="1" t="str">
        <f>"6115"</f>
        <v>6115</v>
      </c>
      <c r="F501" s="1" t="str">
        <f>"012747387"</f>
        <v>012747387</v>
      </c>
      <c r="G501" s="1" t="s">
        <v>383</v>
      </c>
      <c r="H501" s="1" t="s">
        <v>15</v>
      </c>
      <c r="I501" s="1" t="str">
        <f>"1"</f>
        <v>1</v>
      </c>
      <c r="J501" s="3">
        <v>12797.7</v>
      </c>
      <c r="K501" s="4">
        <v>46107</v>
      </c>
      <c r="L501" s="4">
        <v>46108</v>
      </c>
      <c r="M501" s="1" t="s">
        <v>11580</v>
      </c>
      <c r="N501" s="1" t="s">
        <v>11579</v>
      </c>
    </row>
    <row r="502" spans="1:14" s="1" customFormat="1" x14ac:dyDescent="0.35">
      <c r="A502" s="1" t="s">
        <v>0</v>
      </c>
      <c r="B502" s="1" t="s">
        <v>1284</v>
      </c>
      <c r="C502" s="1" t="s">
        <v>9534</v>
      </c>
      <c r="D502" s="1" t="s">
        <v>11581</v>
      </c>
      <c r="E502" s="1" t="str">
        <f>"6115"</f>
        <v>6115</v>
      </c>
      <c r="F502" s="1" t="str">
        <f>"012747387"</f>
        <v>012747387</v>
      </c>
      <c r="G502" s="1" t="s">
        <v>383</v>
      </c>
      <c r="H502" s="1" t="s">
        <v>15</v>
      </c>
      <c r="I502" s="1" t="str">
        <f>"1"</f>
        <v>1</v>
      </c>
      <c r="J502" s="3">
        <v>12797.7</v>
      </c>
      <c r="K502" s="4">
        <v>46107</v>
      </c>
      <c r="L502" s="4">
        <v>46108</v>
      </c>
      <c r="M502" s="1" t="s">
        <v>11580</v>
      </c>
      <c r="N502" s="1" t="s">
        <v>11579</v>
      </c>
    </row>
    <row r="503" spans="1:14" s="1" customFormat="1" x14ac:dyDescent="0.35">
      <c r="A503" s="1" t="s">
        <v>0</v>
      </c>
      <c r="B503" s="1" t="s">
        <v>1284</v>
      </c>
      <c r="C503" s="1" t="s">
        <v>9534</v>
      </c>
      <c r="D503" s="1" t="s">
        <v>11578</v>
      </c>
      <c r="E503" s="1" t="str">
        <f>"5140"</f>
        <v>5140</v>
      </c>
      <c r="F503" s="1" t="str">
        <f>"014401034"</f>
        <v>014401034</v>
      </c>
      <c r="G503" s="1" t="s">
        <v>3840</v>
      </c>
      <c r="H503" s="1" t="s">
        <v>15</v>
      </c>
      <c r="I503" s="1" t="str">
        <f>"1"</f>
        <v>1</v>
      </c>
      <c r="J503" s="3" t="str">
        <f>"193"</f>
        <v>193</v>
      </c>
      <c r="K503" s="4">
        <v>46104</v>
      </c>
      <c r="L503" s="4">
        <v>46104</v>
      </c>
      <c r="M503" s="1" t="s">
        <v>11577</v>
      </c>
      <c r="N503" s="1" t="s">
        <v>11576</v>
      </c>
    </row>
    <row r="504" spans="1:14" s="1" customFormat="1" x14ac:dyDescent="0.35">
      <c r="A504" s="1" t="s">
        <v>0</v>
      </c>
      <c r="B504" s="1" t="s">
        <v>1989</v>
      </c>
      <c r="C504" s="1" t="s">
        <v>9528</v>
      </c>
      <c r="D504" s="1" t="s">
        <v>11575</v>
      </c>
      <c r="E504" s="1" t="str">
        <f>"2330"</f>
        <v>2330</v>
      </c>
      <c r="F504" s="1" t="s">
        <v>104</v>
      </c>
      <c r="G504" s="1" t="s">
        <v>105</v>
      </c>
      <c r="H504" s="1" t="s">
        <v>15</v>
      </c>
      <c r="I504" s="1" t="str">
        <f>"1"</f>
        <v>1</v>
      </c>
      <c r="J504" s="3" t="str">
        <f>"10000"</f>
        <v>10000</v>
      </c>
      <c r="K504" s="4">
        <v>46095</v>
      </c>
      <c r="L504" s="4">
        <v>46097</v>
      </c>
      <c r="M504" s="1" t="s">
        <v>11478</v>
      </c>
      <c r="N504" s="1" t="s">
        <v>9525</v>
      </c>
    </row>
    <row r="505" spans="1:14" s="1" customFormat="1" x14ac:dyDescent="0.35">
      <c r="A505" s="1" t="s">
        <v>0</v>
      </c>
      <c r="B505" s="1" t="s">
        <v>1791</v>
      </c>
      <c r="C505" s="1" t="s">
        <v>9520</v>
      </c>
      <c r="D505" s="1" t="s">
        <v>11574</v>
      </c>
      <c r="E505" s="1" t="str">
        <f>"1240"</f>
        <v>1240</v>
      </c>
      <c r="F505" s="1" t="s">
        <v>1364</v>
      </c>
      <c r="G505" s="1" t="s">
        <v>1365</v>
      </c>
      <c r="H505" s="1" t="s">
        <v>15</v>
      </c>
      <c r="I505" s="1" t="str">
        <f>"4"</f>
        <v>4</v>
      </c>
      <c r="J505" s="3" t="str">
        <f>"1500"</f>
        <v>1500</v>
      </c>
      <c r="K505" s="4">
        <v>46107</v>
      </c>
      <c r="L505" s="4">
        <v>46107</v>
      </c>
      <c r="M505" s="1" t="s">
        <v>11571</v>
      </c>
      <c r="N505" s="1" t="s">
        <v>11573</v>
      </c>
    </row>
    <row r="506" spans="1:14" s="1" customFormat="1" x14ac:dyDescent="0.35">
      <c r="A506" s="1" t="s">
        <v>0</v>
      </c>
      <c r="B506" s="1" t="s">
        <v>1791</v>
      </c>
      <c r="C506" s="1" t="s">
        <v>9520</v>
      </c>
      <c r="D506" s="1" t="s">
        <v>11572</v>
      </c>
      <c r="E506" s="1" t="str">
        <f>"1240"</f>
        <v>1240</v>
      </c>
      <c r="F506" s="1" t="s">
        <v>1364</v>
      </c>
      <c r="G506" s="1" t="s">
        <v>1365</v>
      </c>
      <c r="H506" s="1" t="s">
        <v>15</v>
      </c>
      <c r="I506" s="1" t="str">
        <f>"10"</f>
        <v>10</v>
      </c>
      <c r="J506" s="3" t="str">
        <f>"1500"</f>
        <v>1500</v>
      </c>
      <c r="K506" s="4">
        <v>46107</v>
      </c>
      <c r="L506" s="4">
        <v>46107</v>
      </c>
      <c r="M506" s="1" t="s">
        <v>11571</v>
      </c>
      <c r="N506" s="1" t="s">
        <v>11570</v>
      </c>
    </row>
    <row r="507" spans="1:14" s="1" customFormat="1" x14ac:dyDescent="0.35">
      <c r="A507" s="1" t="s">
        <v>0</v>
      </c>
      <c r="B507" s="1" t="s">
        <v>3822</v>
      </c>
      <c r="C507" s="1" t="s">
        <v>9503</v>
      </c>
      <c r="D507" s="1" t="s">
        <v>11569</v>
      </c>
      <c r="E507" s="1" t="str">
        <f>"5855"</f>
        <v>5855</v>
      </c>
      <c r="F507" s="1" t="str">
        <f>"015847217"</f>
        <v>015847217</v>
      </c>
      <c r="G507" s="1" t="s">
        <v>614</v>
      </c>
      <c r="H507" s="1" t="s">
        <v>15</v>
      </c>
      <c r="I507" s="1" t="str">
        <f>"5"</f>
        <v>5</v>
      </c>
      <c r="J507" s="3" t="str">
        <f>"34084"</f>
        <v>34084</v>
      </c>
      <c r="K507" s="4">
        <v>46086</v>
      </c>
      <c r="L507" s="4">
        <v>46086</v>
      </c>
      <c r="M507" s="1" t="s">
        <v>11568</v>
      </c>
      <c r="N507" s="1" t="s">
        <v>11567</v>
      </c>
    </row>
    <row r="508" spans="1:14" s="1" customFormat="1" x14ac:dyDescent="0.35">
      <c r="A508" s="1" t="s">
        <v>0</v>
      </c>
      <c r="B508" s="1" t="s">
        <v>3822</v>
      </c>
      <c r="C508" s="1" t="s">
        <v>9503</v>
      </c>
      <c r="D508" s="1" t="s">
        <v>11566</v>
      </c>
      <c r="E508" s="1" t="str">
        <f>"1385"</f>
        <v>1385</v>
      </c>
      <c r="F508" s="1" t="str">
        <f>"015936219"</f>
        <v>015936219</v>
      </c>
      <c r="G508" s="1" t="s">
        <v>2079</v>
      </c>
      <c r="H508" s="1" t="s">
        <v>15</v>
      </c>
      <c r="I508" s="1" t="str">
        <f>"1"</f>
        <v>1</v>
      </c>
      <c r="J508" s="3" t="str">
        <f>"77000"</f>
        <v>77000</v>
      </c>
      <c r="K508" s="4">
        <v>46083</v>
      </c>
      <c r="L508" s="4">
        <v>46084</v>
      </c>
      <c r="M508" s="1" t="s">
        <v>11129</v>
      </c>
      <c r="N508" s="1" t="s">
        <v>11565</v>
      </c>
    </row>
    <row r="509" spans="1:14" s="1" customFormat="1" x14ac:dyDescent="0.35">
      <c r="A509" s="1" t="s">
        <v>0</v>
      </c>
      <c r="B509" s="1" t="s">
        <v>1516</v>
      </c>
      <c r="C509" s="1" t="s">
        <v>11564</v>
      </c>
      <c r="D509" s="1" t="s">
        <v>11563</v>
      </c>
      <c r="E509" s="1" t="str">
        <f>"2355"</f>
        <v>2355</v>
      </c>
      <c r="F509" s="1" t="str">
        <f>"015590791"</f>
        <v>015590791</v>
      </c>
      <c r="G509" s="1" t="s">
        <v>11092</v>
      </c>
      <c r="H509" s="1" t="s">
        <v>15</v>
      </c>
      <c r="I509" s="1" t="str">
        <f>"1"</f>
        <v>1</v>
      </c>
      <c r="J509" s="3" t="str">
        <f>"700000"</f>
        <v>700000</v>
      </c>
      <c r="K509" s="4">
        <v>46087</v>
      </c>
      <c r="L509" s="4">
        <v>46090</v>
      </c>
      <c r="M509" s="1" t="s">
        <v>11562</v>
      </c>
      <c r="N509" s="1" t="s">
        <v>11561</v>
      </c>
    </row>
    <row r="510" spans="1:14" s="1" customFormat="1" x14ac:dyDescent="0.35">
      <c r="A510" s="1" t="s">
        <v>0</v>
      </c>
      <c r="B510" s="1" t="s">
        <v>1791</v>
      </c>
      <c r="C510" s="1" t="s">
        <v>1811</v>
      </c>
      <c r="D510" s="1" t="s">
        <v>11560</v>
      </c>
      <c r="E510" s="1" t="str">
        <f>"5855"</f>
        <v>5855</v>
      </c>
      <c r="F510" s="1" t="str">
        <f>"014778738"</f>
        <v>014778738</v>
      </c>
      <c r="G510" s="1" t="s">
        <v>614</v>
      </c>
      <c r="H510" s="1" t="s">
        <v>15</v>
      </c>
      <c r="I510" s="1" t="str">
        <f>"1"</f>
        <v>1</v>
      </c>
      <c r="J510" s="3" t="str">
        <f>"7481"</f>
        <v>7481</v>
      </c>
      <c r="K510" s="4">
        <v>46072</v>
      </c>
      <c r="L510" s="4">
        <v>46072</v>
      </c>
      <c r="M510" s="1" t="s">
        <v>11559</v>
      </c>
      <c r="N510" s="1" t="s">
        <v>11558</v>
      </c>
    </row>
    <row r="511" spans="1:14" s="1" customFormat="1" x14ac:dyDescent="0.35">
      <c r="A511" s="1" t="s">
        <v>0</v>
      </c>
      <c r="B511" s="1" t="s">
        <v>1791</v>
      </c>
      <c r="C511" s="1" t="s">
        <v>1811</v>
      </c>
      <c r="D511" s="1" t="s">
        <v>11557</v>
      </c>
      <c r="E511" s="1" t="str">
        <f>"6545"</f>
        <v>6545</v>
      </c>
      <c r="F511" s="1" t="str">
        <f>"012549551"</f>
        <v>012549551</v>
      </c>
      <c r="G511" s="1" t="s">
        <v>1815</v>
      </c>
      <c r="H511" s="1" t="s">
        <v>15</v>
      </c>
      <c r="I511" s="1" t="str">
        <f>"3"</f>
        <v>3</v>
      </c>
      <c r="J511" s="3">
        <v>194.9</v>
      </c>
      <c r="K511" s="4">
        <v>46072</v>
      </c>
      <c r="L511" s="4">
        <v>46072</v>
      </c>
      <c r="M511" s="1" t="s">
        <v>11554</v>
      </c>
      <c r="N511" s="1" t="s">
        <v>11556</v>
      </c>
    </row>
    <row r="512" spans="1:14" s="1" customFormat="1" x14ac:dyDescent="0.35">
      <c r="A512" s="1" t="s">
        <v>0</v>
      </c>
      <c r="B512" s="1" t="s">
        <v>1791</v>
      </c>
      <c r="C512" s="1" t="s">
        <v>1811</v>
      </c>
      <c r="D512" s="1" t="s">
        <v>11555</v>
      </c>
      <c r="E512" s="1" t="str">
        <f>"8470"</f>
        <v>8470</v>
      </c>
      <c r="F512" s="1" t="str">
        <f>"016924305"</f>
        <v>016924305</v>
      </c>
      <c r="G512" s="1" t="s">
        <v>9476</v>
      </c>
      <c r="H512" s="1" t="s">
        <v>15</v>
      </c>
      <c r="I512" s="1" t="str">
        <f>"2"</f>
        <v>2</v>
      </c>
      <c r="J512" s="3">
        <v>651.54</v>
      </c>
      <c r="K512" s="4">
        <v>46072</v>
      </c>
      <c r="L512" s="4">
        <v>46072</v>
      </c>
      <c r="M512" s="1" t="s">
        <v>11554</v>
      </c>
      <c r="N512" s="1" t="s">
        <v>11553</v>
      </c>
    </row>
    <row r="513" spans="1:14" s="1" customFormat="1" x14ac:dyDescent="0.35">
      <c r="A513" s="1" t="s">
        <v>0</v>
      </c>
      <c r="B513" s="1" t="s">
        <v>3356</v>
      </c>
      <c r="C513" s="1" t="s">
        <v>3386</v>
      </c>
      <c r="D513" s="1" t="s">
        <v>11552</v>
      </c>
      <c r="E513" s="1" t="str">
        <f>"2330"</f>
        <v>2330</v>
      </c>
      <c r="F513" s="1" t="str">
        <f>"010911710"</f>
        <v>010911710</v>
      </c>
      <c r="G513" s="1" t="s">
        <v>3511</v>
      </c>
      <c r="H513" s="1" t="s">
        <v>15</v>
      </c>
      <c r="I513" s="1" t="str">
        <f>"1"</f>
        <v>1</v>
      </c>
      <c r="J513" s="3" t="str">
        <f>"4200"</f>
        <v>4200</v>
      </c>
      <c r="K513" s="4">
        <v>46084</v>
      </c>
      <c r="L513" s="4">
        <v>46084</v>
      </c>
      <c r="M513" s="1" t="s">
        <v>11171</v>
      </c>
      <c r="N513" s="1" t="s">
        <v>11551</v>
      </c>
    </row>
    <row r="514" spans="1:14" s="1" customFormat="1" x14ac:dyDescent="0.35">
      <c r="A514" s="1" t="s">
        <v>0</v>
      </c>
      <c r="B514" s="1" t="s">
        <v>1989</v>
      </c>
      <c r="C514" s="1" t="s">
        <v>11550</v>
      </c>
      <c r="D514" s="1" t="s">
        <v>11549</v>
      </c>
      <c r="E514" s="1" t="str">
        <f>"1240"</f>
        <v>1240</v>
      </c>
      <c r="F514" s="1" t="str">
        <f>"014111265"</f>
        <v>014111265</v>
      </c>
      <c r="G514" s="1" t="s">
        <v>71</v>
      </c>
      <c r="H514" s="1" t="s">
        <v>15</v>
      </c>
      <c r="I514" s="1" t="str">
        <f>"26"</f>
        <v>26</v>
      </c>
      <c r="J514" s="3" t="str">
        <f>"339"</f>
        <v>339</v>
      </c>
      <c r="K514" s="4">
        <v>46099</v>
      </c>
      <c r="L514" s="4">
        <v>46100</v>
      </c>
      <c r="M514" s="1" t="s">
        <v>11548</v>
      </c>
      <c r="N514" s="1" t="s">
        <v>11547</v>
      </c>
    </row>
    <row r="515" spans="1:14" s="1" customFormat="1" x14ac:dyDescent="0.35">
      <c r="A515" s="1" t="s">
        <v>0</v>
      </c>
      <c r="B515" s="1" t="s">
        <v>1989</v>
      </c>
      <c r="C515" s="1" t="s">
        <v>9369</v>
      </c>
      <c r="D515" s="1" t="s">
        <v>11546</v>
      </c>
      <c r="E515" s="1" t="str">
        <f>"2310"</f>
        <v>2310</v>
      </c>
      <c r="F515" s="1" t="s">
        <v>4332</v>
      </c>
      <c r="G515" s="1" t="s">
        <v>4333</v>
      </c>
      <c r="H515" s="1" t="s">
        <v>15</v>
      </c>
      <c r="I515" s="1" t="str">
        <f>"1"</f>
        <v>1</v>
      </c>
      <c r="J515" s="3" t="str">
        <f>"7500"</f>
        <v>7500</v>
      </c>
      <c r="K515" s="4">
        <v>46095</v>
      </c>
      <c r="L515" s="4">
        <v>46097</v>
      </c>
      <c r="M515" s="1" t="s">
        <v>11485</v>
      </c>
      <c r="N515" s="1" t="s">
        <v>11543</v>
      </c>
    </row>
    <row r="516" spans="1:14" s="1" customFormat="1" x14ac:dyDescent="0.35">
      <c r="A516" s="1" t="s">
        <v>0</v>
      </c>
      <c r="B516" s="1" t="s">
        <v>1989</v>
      </c>
      <c r="C516" s="1" t="s">
        <v>9369</v>
      </c>
      <c r="D516" s="1" t="s">
        <v>11545</v>
      </c>
      <c r="E516" s="1" t="str">
        <f>"2310"</f>
        <v>2310</v>
      </c>
      <c r="F516" s="1" t="s">
        <v>4332</v>
      </c>
      <c r="G516" s="1" t="s">
        <v>4333</v>
      </c>
      <c r="H516" s="1" t="s">
        <v>15</v>
      </c>
      <c r="I516" s="1" t="str">
        <f>"1"</f>
        <v>1</v>
      </c>
      <c r="J516" s="3" t="str">
        <f>"7500"</f>
        <v>7500</v>
      </c>
      <c r="K516" s="4">
        <v>46095</v>
      </c>
      <c r="L516" s="4">
        <v>46097</v>
      </c>
      <c r="M516" s="1" t="s">
        <v>11544</v>
      </c>
      <c r="N516" s="1" t="s">
        <v>11543</v>
      </c>
    </row>
    <row r="517" spans="1:14" s="1" customFormat="1" x14ac:dyDescent="0.35">
      <c r="A517" s="1" t="s">
        <v>0</v>
      </c>
      <c r="B517" s="1" t="s">
        <v>1989</v>
      </c>
      <c r="C517" s="1" t="s">
        <v>9369</v>
      </c>
      <c r="D517" s="1" t="s">
        <v>11542</v>
      </c>
      <c r="E517" s="1" t="str">
        <f>"6230"</f>
        <v>6230</v>
      </c>
      <c r="F517" s="1" t="s">
        <v>3594</v>
      </c>
      <c r="G517" s="1" t="s">
        <v>3595</v>
      </c>
      <c r="H517" s="1" t="s">
        <v>15</v>
      </c>
      <c r="I517" s="1" t="str">
        <f>"2"</f>
        <v>2</v>
      </c>
      <c r="J517" s="3" t="str">
        <f>"8000"</f>
        <v>8000</v>
      </c>
      <c r="K517" s="4">
        <v>46095</v>
      </c>
      <c r="L517" s="4">
        <v>46097</v>
      </c>
      <c r="M517" s="1" t="s">
        <v>11485</v>
      </c>
      <c r="N517" s="1" t="s">
        <v>11541</v>
      </c>
    </row>
    <row r="518" spans="1:14" s="1" customFormat="1" x14ac:dyDescent="0.35">
      <c r="A518" s="1" t="s">
        <v>0</v>
      </c>
      <c r="B518" s="1" t="s">
        <v>1989</v>
      </c>
      <c r="C518" s="1" t="s">
        <v>9369</v>
      </c>
      <c r="D518" s="1" t="s">
        <v>11540</v>
      </c>
      <c r="E518" s="1" t="str">
        <f>"2330"</f>
        <v>2330</v>
      </c>
      <c r="F518" s="1" t="s">
        <v>104</v>
      </c>
      <c r="G518" s="1" t="s">
        <v>105</v>
      </c>
      <c r="H518" s="1" t="s">
        <v>15</v>
      </c>
      <c r="I518" s="1" t="str">
        <f>"1"</f>
        <v>1</v>
      </c>
      <c r="J518" s="3" t="str">
        <f>"10000"</f>
        <v>10000</v>
      </c>
      <c r="K518" s="4">
        <v>46095</v>
      </c>
      <c r="L518" s="4">
        <v>46097</v>
      </c>
      <c r="M518" s="1" t="s">
        <v>11478</v>
      </c>
      <c r="N518" s="1" t="s">
        <v>11539</v>
      </c>
    </row>
    <row r="519" spans="1:14" s="1" customFormat="1" x14ac:dyDescent="0.35">
      <c r="A519" s="1" t="s">
        <v>0</v>
      </c>
      <c r="B519" s="1" t="s">
        <v>1989</v>
      </c>
      <c r="C519" s="1" t="s">
        <v>9369</v>
      </c>
      <c r="D519" s="1" t="s">
        <v>11538</v>
      </c>
      <c r="E519" s="1" t="str">
        <f>"2340"</f>
        <v>2340</v>
      </c>
      <c r="F519" s="1" t="s">
        <v>1071</v>
      </c>
      <c r="G519" s="1" t="s">
        <v>1072</v>
      </c>
      <c r="H519" s="1" t="s">
        <v>15</v>
      </c>
      <c r="I519" s="1" t="str">
        <f>"1"</f>
        <v>1</v>
      </c>
      <c r="J519" s="3" t="str">
        <f>"5000"</f>
        <v>5000</v>
      </c>
      <c r="K519" s="4">
        <v>46095</v>
      </c>
      <c r="L519" s="4">
        <v>46097</v>
      </c>
      <c r="M519" s="1" t="s">
        <v>11478</v>
      </c>
      <c r="N519" s="1" t="s">
        <v>9373</v>
      </c>
    </row>
    <row r="520" spans="1:14" s="1" customFormat="1" x14ac:dyDescent="0.35">
      <c r="A520" s="1" t="s">
        <v>0</v>
      </c>
      <c r="B520" s="1" t="s">
        <v>1989</v>
      </c>
      <c r="C520" s="1" t="s">
        <v>2026</v>
      </c>
      <c r="D520" s="1" t="s">
        <v>11537</v>
      </c>
      <c r="E520" s="1" t="str">
        <f>"7010"</f>
        <v>7010</v>
      </c>
      <c r="F520" s="1" t="str">
        <f>"017013083"</f>
        <v>017013083</v>
      </c>
      <c r="G520" s="1" t="s">
        <v>2149</v>
      </c>
      <c r="H520" s="1" t="s">
        <v>15</v>
      </c>
      <c r="I520" s="1" t="str">
        <f>"6"</f>
        <v>6</v>
      </c>
      <c r="J520" s="3">
        <v>1356.42</v>
      </c>
      <c r="K520" s="4">
        <v>46049</v>
      </c>
      <c r="L520" s="4">
        <v>46049</v>
      </c>
      <c r="M520" s="1" t="s">
        <v>11536</v>
      </c>
      <c r="N520" s="1" t="s">
        <v>11535</v>
      </c>
    </row>
    <row r="521" spans="1:14" s="1" customFormat="1" x14ac:dyDescent="0.35">
      <c r="A521" s="1" t="s">
        <v>0</v>
      </c>
      <c r="B521" s="1" t="s">
        <v>1989</v>
      </c>
      <c r="C521" s="1" t="s">
        <v>2026</v>
      </c>
      <c r="D521" s="1" t="s">
        <v>11534</v>
      </c>
      <c r="E521" s="1" t="str">
        <f>"4240"</f>
        <v>4240</v>
      </c>
      <c r="F521" s="1" t="s">
        <v>372</v>
      </c>
      <c r="G521" s="1" t="s">
        <v>373</v>
      </c>
      <c r="H521" s="1" t="s">
        <v>15</v>
      </c>
      <c r="I521" s="1" t="str">
        <f>"2"</f>
        <v>2</v>
      </c>
      <c r="J521" s="3" t="str">
        <f>"90"</f>
        <v>90</v>
      </c>
      <c r="K521" s="4">
        <v>46072</v>
      </c>
      <c r="L521" s="4">
        <v>46072</v>
      </c>
      <c r="M521" s="1" t="s">
        <v>11533</v>
      </c>
      <c r="N521" s="1" t="s">
        <v>11532</v>
      </c>
    </row>
    <row r="522" spans="1:14" s="1" customFormat="1" x14ac:dyDescent="0.35">
      <c r="A522" s="1" t="s">
        <v>0</v>
      </c>
      <c r="B522" s="1" t="s">
        <v>1989</v>
      </c>
      <c r="C522" s="1" t="s">
        <v>2026</v>
      </c>
      <c r="D522" s="1" t="s">
        <v>11531</v>
      </c>
      <c r="E522" s="1" t="str">
        <f>"6545"</f>
        <v>6545</v>
      </c>
      <c r="F522" s="1" t="str">
        <f>"015300929"</f>
        <v>015300929</v>
      </c>
      <c r="G522" s="1" t="s">
        <v>167</v>
      </c>
      <c r="H522" s="1" t="s">
        <v>168</v>
      </c>
      <c r="I522" s="1" t="str">
        <f>"6"</f>
        <v>6</v>
      </c>
      <c r="J522" s="3">
        <v>48.71</v>
      </c>
      <c r="K522" s="4">
        <v>46084</v>
      </c>
      <c r="L522" s="4">
        <v>46084</v>
      </c>
      <c r="M522" s="1" t="s">
        <v>11528</v>
      </c>
      <c r="N522" s="1" t="s">
        <v>2038</v>
      </c>
    </row>
    <row r="523" spans="1:14" s="1" customFormat="1" x14ac:dyDescent="0.35">
      <c r="A523" s="1" t="s">
        <v>0</v>
      </c>
      <c r="B523" s="1" t="s">
        <v>1989</v>
      </c>
      <c r="C523" s="1" t="s">
        <v>2026</v>
      </c>
      <c r="D523" s="1" t="s">
        <v>11530</v>
      </c>
      <c r="E523" s="1" t="str">
        <f>"6545"</f>
        <v>6545</v>
      </c>
      <c r="F523" s="1" t="str">
        <f>"015300929"</f>
        <v>015300929</v>
      </c>
      <c r="G523" s="1" t="s">
        <v>167</v>
      </c>
      <c r="H523" s="1" t="s">
        <v>168</v>
      </c>
      <c r="I523" s="1" t="str">
        <f>"8"</f>
        <v>8</v>
      </c>
      <c r="J523" s="3">
        <v>48.71</v>
      </c>
      <c r="K523" s="4">
        <v>46084</v>
      </c>
      <c r="L523" s="4">
        <v>46084</v>
      </c>
      <c r="M523" s="1" t="s">
        <v>11528</v>
      </c>
      <c r="N523" s="1" t="s">
        <v>2038</v>
      </c>
    </row>
    <row r="524" spans="1:14" s="1" customFormat="1" x14ac:dyDescent="0.35">
      <c r="A524" s="1" t="s">
        <v>0</v>
      </c>
      <c r="B524" s="1" t="s">
        <v>1989</v>
      </c>
      <c r="C524" s="1" t="s">
        <v>2026</v>
      </c>
      <c r="D524" s="1" t="s">
        <v>11529</v>
      </c>
      <c r="E524" s="1" t="str">
        <f>"6545"</f>
        <v>6545</v>
      </c>
      <c r="F524" s="1" t="str">
        <f>"015300929"</f>
        <v>015300929</v>
      </c>
      <c r="G524" s="1" t="s">
        <v>167</v>
      </c>
      <c r="H524" s="1" t="s">
        <v>168</v>
      </c>
      <c r="I524" s="1" t="str">
        <f>"7"</f>
        <v>7</v>
      </c>
      <c r="J524" s="3">
        <v>48.71</v>
      </c>
      <c r="K524" s="4">
        <v>46084</v>
      </c>
      <c r="L524" s="4">
        <v>46084</v>
      </c>
      <c r="M524" s="1" t="s">
        <v>11528</v>
      </c>
      <c r="N524" s="1" t="s">
        <v>2038</v>
      </c>
    </row>
    <row r="525" spans="1:14" s="1" customFormat="1" x14ac:dyDescent="0.35">
      <c r="A525" s="1" t="s">
        <v>0</v>
      </c>
      <c r="B525" s="1" t="s">
        <v>1989</v>
      </c>
      <c r="C525" s="1" t="s">
        <v>2026</v>
      </c>
      <c r="D525" s="1" t="s">
        <v>11527</v>
      </c>
      <c r="E525" s="1" t="str">
        <f>"2330"</f>
        <v>2330</v>
      </c>
      <c r="F525" s="1" t="s">
        <v>104</v>
      </c>
      <c r="G525" s="1" t="s">
        <v>105</v>
      </c>
      <c r="H525" s="1" t="s">
        <v>15</v>
      </c>
      <c r="I525" s="1" t="str">
        <f>"1"</f>
        <v>1</v>
      </c>
      <c r="J525" s="3" t="str">
        <f>"10000"</f>
        <v>10000</v>
      </c>
      <c r="K525" s="4">
        <v>46096</v>
      </c>
      <c r="L525" s="4">
        <v>46097</v>
      </c>
      <c r="M525" s="1" t="s">
        <v>11526</v>
      </c>
      <c r="N525" s="1" t="s">
        <v>11525</v>
      </c>
    </row>
    <row r="526" spans="1:14" s="1" customFormat="1" x14ac:dyDescent="0.35">
      <c r="A526" s="1" t="s">
        <v>0</v>
      </c>
      <c r="B526" s="1" t="s">
        <v>3356</v>
      </c>
      <c r="C526" s="1" t="s">
        <v>3392</v>
      </c>
      <c r="D526" s="1" t="s">
        <v>11524</v>
      </c>
      <c r="E526" s="1" t="str">
        <f>"6115"</f>
        <v>6115</v>
      </c>
      <c r="F526" s="1" t="str">
        <f>"014149697"</f>
        <v>014149697</v>
      </c>
      <c r="G526" s="1" t="s">
        <v>1218</v>
      </c>
      <c r="H526" s="1" t="s">
        <v>15</v>
      </c>
      <c r="I526" s="1" t="str">
        <f>"1"</f>
        <v>1</v>
      </c>
      <c r="J526" s="3" t="str">
        <f>"46322"</f>
        <v>46322</v>
      </c>
      <c r="K526" s="4">
        <v>46071</v>
      </c>
      <c r="L526" s="4">
        <v>46071</v>
      </c>
      <c r="M526" s="1" t="s">
        <v>11000</v>
      </c>
      <c r="N526" s="1" t="s">
        <v>11523</v>
      </c>
    </row>
    <row r="527" spans="1:14" s="1" customFormat="1" x14ac:dyDescent="0.35">
      <c r="A527" s="1" t="s">
        <v>0</v>
      </c>
      <c r="B527" s="1" t="s">
        <v>3356</v>
      </c>
      <c r="C527" s="1" t="s">
        <v>3392</v>
      </c>
      <c r="D527" s="1" t="s">
        <v>11522</v>
      </c>
      <c r="E527" s="1" t="str">
        <f>"2330"</f>
        <v>2330</v>
      </c>
      <c r="F527" s="1" t="str">
        <f>"010911710"</f>
        <v>010911710</v>
      </c>
      <c r="G527" s="1" t="s">
        <v>3511</v>
      </c>
      <c r="H527" s="1" t="s">
        <v>15</v>
      </c>
      <c r="I527" s="1" t="str">
        <f>"1"</f>
        <v>1</v>
      </c>
      <c r="J527" s="3" t="str">
        <f>"4200"</f>
        <v>4200</v>
      </c>
      <c r="K527" s="4">
        <v>46082</v>
      </c>
      <c r="L527" s="4">
        <v>46083</v>
      </c>
      <c r="M527" s="1" t="s">
        <v>11171</v>
      </c>
      <c r="N527" s="1" t="s">
        <v>11521</v>
      </c>
    </row>
    <row r="528" spans="1:14" s="1" customFormat="1" x14ac:dyDescent="0.35">
      <c r="A528" s="1" t="s">
        <v>0</v>
      </c>
      <c r="B528" s="1" t="s">
        <v>1013</v>
      </c>
      <c r="C528" s="1" t="s">
        <v>9225</v>
      </c>
      <c r="D528" s="1" t="s">
        <v>11520</v>
      </c>
      <c r="E528" s="1" t="str">
        <f>"5855"</f>
        <v>5855</v>
      </c>
      <c r="F528" s="1" t="str">
        <f>"015711258"</f>
        <v>015711258</v>
      </c>
      <c r="G528" s="1" t="s">
        <v>742</v>
      </c>
      <c r="H528" s="1" t="s">
        <v>15</v>
      </c>
      <c r="I528" s="1" t="str">
        <f>"16"</f>
        <v>16</v>
      </c>
      <c r="J528" s="3" t="str">
        <f>"1073"</f>
        <v>1073</v>
      </c>
      <c r="K528" s="4">
        <v>46108</v>
      </c>
      <c r="L528" s="4">
        <v>46108</v>
      </c>
      <c r="M528" s="1" t="s">
        <v>11519</v>
      </c>
      <c r="N528" s="1" t="s">
        <v>11518</v>
      </c>
    </row>
    <row r="529" spans="1:14" s="1" customFormat="1" x14ac:dyDescent="0.35">
      <c r="A529" s="1" t="s">
        <v>0</v>
      </c>
      <c r="B529" s="1" t="s">
        <v>3822</v>
      </c>
      <c r="C529" s="1" t="s">
        <v>4076</v>
      </c>
      <c r="D529" s="1" t="s">
        <v>11517</v>
      </c>
      <c r="E529" s="1" t="str">
        <f>"1240"</f>
        <v>1240</v>
      </c>
      <c r="F529" s="1" t="str">
        <f>"014111265"</f>
        <v>014111265</v>
      </c>
      <c r="G529" s="1" t="s">
        <v>71</v>
      </c>
      <c r="H529" s="1" t="s">
        <v>15</v>
      </c>
      <c r="I529" s="1" t="str">
        <f>"34"</f>
        <v>34</v>
      </c>
      <c r="J529" s="3" t="str">
        <f>"339"</f>
        <v>339</v>
      </c>
      <c r="K529" s="4">
        <v>46055</v>
      </c>
      <c r="L529" s="4">
        <v>46055</v>
      </c>
      <c r="N529" s="1" t="s">
        <v>11516</v>
      </c>
    </row>
    <row r="530" spans="1:14" s="1" customFormat="1" x14ac:dyDescent="0.35">
      <c r="A530" s="1" t="s">
        <v>0</v>
      </c>
      <c r="B530" s="1" t="s">
        <v>3356</v>
      </c>
      <c r="C530" s="1" t="s">
        <v>3400</v>
      </c>
      <c r="D530" s="1" t="s">
        <v>11515</v>
      </c>
      <c r="E530" s="1" t="str">
        <f>"2330"</f>
        <v>2330</v>
      </c>
      <c r="F530" s="1" t="s">
        <v>104</v>
      </c>
      <c r="G530" s="1" t="s">
        <v>105</v>
      </c>
      <c r="H530" s="1" t="s">
        <v>15</v>
      </c>
      <c r="I530" s="1" t="str">
        <f>"1"</f>
        <v>1</v>
      </c>
      <c r="J530" s="3" t="str">
        <f>"2695"</f>
        <v>2695</v>
      </c>
      <c r="K530" s="4">
        <v>46076</v>
      </c>
      <c r="L530" s="4">
        <v>46076</v>
      </c>
      <c r="M530" s="1" t="s">
        <v>11000</v>
      </c>
      <c r="N530" s="1" t="s">
        <v>11514</v>
      </c>
    </row>
    <row r="531" spans="1:14" s="1" customFormat="1" x14ac:dyDescent="0.35">
      <c r="A531" s="1" t="s">
        <v>0</v>
      </c>
      <c r="B531" s="1" t="s">
        <v>3356</v>
      </c>
      <c r="C531" s="1" t="s">
        <v>3400</v>
      </c>
      <c r="D531" s="1" t="s">
        <v>11513</v>
      </c>
      <c r="E531" s="1" t="str">
        <f>"2310"</f>
        <v>2310</v>
      </c>
      <c r="F531" s="1" t="s">
        <v>4332</v>
      </c>
      <c r="G531" s="1" t="s">
        <v>4333</v>
      </c>
      <c r="H531" s="1" t="s">
        <v>15</v>
      </c>
      <c r="I531" s="1" t="str">
        <f>"1"</f>
        <v>1</v>
      </c>
      <c r="J531" s="3" t="str">
        <f>"81369"</f>
        <v>81369</v>
      </c>
      <c r="K531" s="4">
        <v>46095</v>
      </c>
      <c r="L531" s="4">
        <v>46098</v>
      </c>
      <c r="M531" s="1" t="s">
        <v>11171</v>
      </c>
      <c r="N531" s="1" t="s">
        <v>11512</v>
      </c>
    </row>
    <row r="532" spans="1:14" s="1" customFormat="1" x14ac:dyDescent="0.35">
      <c r="A532" s="1" t="s">
        <v>0</v>
      </c>
      <c r="B532" s="1" t="s">
        <v>3356</v>
      </c>
      <c r="C532" s="1" t="s">
        <v>3400</v>
      </c>
      <c r="D532" s="1" t="s">
        <v>11511</v>
      </c>
      <c r="E532" s="1" t="str">
        <f>"2320"</f>
        <v>2320</v>
      </c>
      <c r="F532" s="1" t="str">
        <f>"015016635"</f>
        <v>015016635</v>
      </c>
      <c r="G532" s="1" t="s">
        <v>1765</v>
      </c>
      <c r="H532" s="1" t="s">
        <v>15</v>
      </c>
      <c r="I532" s="1" t="str">
        <f>"1"</f>
        <v>1</v>
      </c>
      <c r="J532" s="3" t="str">
        <f>"45602"</f>
        <v>45602</v>
      </c>
      <c r="K532" s="4">
        <v>46111</v>
      </c>
      <c r="L532" s="4">
        <v>46111</v>
      </c>
      <c r="M532" s="1" t="s">
        <v>11000</v>
      </c>
      <c r="N532" s="1" t="s">
        <v>11510</v>
      </c>
    </row>
    <row r="533" spans="1:14" s="1" customFormat="1" x14ac:dyDescent="0.35">
      <c r="A533" s="1" t="s">
        <v>0</v>
      </c>
      <c r="B533" s="1" t="s">
        <v>3356</v>
      </c>
      <c r="C533" s="1" t="s">
        <v>3501</v>
      </c>
      <c r="D533" s="1" t="s">
        <v>11509</v>
      </c>
      <c r="E533" s="1" t="str">
        <f>"2320"</f>
        <v>2320</v>
      </c>
      <c r="F533" s="1" t="s">
        <v>100</v>
      </c>
      <c r="G533" s="1" t="s">
        <v>101</v>
      </c>
      <c r="H533" s="1" t="s">
        <v>15</v>
      </c>
      <c r="I533" s="1" t="str">
        <f>"1"</f>
        <v>1</v>
      </c>
      <c r="J533" s="3" t="str">
        <f>"33000"</f>
        <v>33000</v>
      </c>
      <c r="K533" s="4">
        <v>46084</v>
      </c>
      <c r="L533" s="4">
        <v>46084</v>
      </c>
      <c r="M533" s="1" t="s">
        <v>11012</v>
      </c>
      <c r="N533" s="1" t="s">
        <v>11508</v>
      </c>
    </row>
    <row r="534" spans="1:14" s="1" customFormat="1" x14ac:dyDescent="0.35">
      <c r="A534" s="1" t="s">
        <v>0</v>
      </c>
      <c r="B534" s="1" t="s">
        <v>3268</v>
      </c>
      <c r="C534" s="1" t="s">
        <v>11507</v>
      </c>
      <c r="D534" s="1" t="s">
        <v>11506</v>
      </c>
      <c r="E534" s="1" t="str">
        <f>"5855"</f>
        <v>5855</v>
      </c>
      <c r="F534" s="1" t="str">
        <f>"015345931"</f>
        <v>015345931</v>
      </c>
      <c r="G534" s="1" t="s">
        <v>742</v>
      </c>
      <c r="H534" s="1" t="s">
        <v>15</v>
      </c>
      <c r="I534" s="1" t="str">
        <f>"18"</f>
        <v>18</v>
      </c>
      <c r="J534" s="3" t="str">
        <f>"970"</f>
        <v>970</v>
      </c>
      <c r="K534" s="4">
        <v>46084</v>
      </c>
      <c r="L534" s="4">
        <v>46085</v>
      </c>
      <c r="M534" s="1" t="s">
        <v>11242</v>
      </c>
      <c r="N534" s="1" t="s">
        <v>11505</v>
      </c>
    </row>
    <row r="535" spans="1:14" s="1" customFormat="1" x14ac:dyDescent="0.35">
      <c r="A535" s="1" t="s">
        <v>0</v>
      </c>
      <c r="B535" s="1" t="s">
        <v>3268</v>
      </c>
      <c r="C535" s="1" t="s">
        <v>9136</v>
      </c>
      <c r="D535" s="1" t="s">
        <v>11504</v>
      </c>
      <c r="E535" s="1" t="str">
        <f>"5855"</f>
        <v>5855</v>
      </c>
      <c r="F535" s="1" t="str">
        <f>"015847217"</f>
        <v>015847217</v>
      </c>
      <c r="G535" s="1" t="s">
        <v>614</v>
      </c>
      <c r="H535" s="1" t="s">
        <v>15</v>
      </c>
      <c r="I535" s="1" t="str">
        <f>"16"</f>
        <v>16</v>
      </c>
      <c r="J535" s="3" t="str">
        <f>"34084"</f>
        <v>34084</v>
      </c>
      <c r="K535" s="4">
        <v>46070</v>
      </c>
      <c r="L535" s="4">
        <v>46071</v>
      </c>
      <c r="M535" s="1" t="s">
        <v>11244</v>
      </c>
      <c r="N535" s="1" t="s">
        <v>11503</v>
      </c>
    </row>
    <row r="536" spans="1:14" s="1" customFormat="1" x14ac:dyDescent="0.35">
      <c r="A536" s="1" t="s">
        <v>0</v>
      </c>
      <c r="B536" s="1" t="s">
        <v>1303</v>
      </c>
      <c r="C536" s="1" t="s">
        <v>1338</v>
      </c>
      <c r="D536" s="1" t="s">
        <v>11502</v>
      </c>
      <c r="E536" s="1" t="str">
        <f>"5855"</f>
        <v>5855</v>
      </c>
      <c r="F536" s="1" t="str">
        <f>"015777174"</f>
        <v>015777174</v>
      </c>
      <c r="G536" s="1" t="s">
        <v>952</v>
      </c>
      <c r="H536" s="1" t="s">
        <v>15</v>
      </c>
      <c r="I536" s="1" t="str">
        <f>"35"</f>
        <v>35</v>
      </c>
      <c r="J536" s="3" t="str">
        <f>"1791"</f>
        <v>1791</v>
      </c>
      <c r="K536" s="4">
        <v>46022</v>
      </c>
      <c r="L536" s="4">
        <v>46023</v>
      </c>
      <c r="M536" s="1" t="s">
        <v>11221</v>
      </c>
      <c r="N536" s="1" t="s">
        <v>11501</v>
      </c>
    </row>
    <row r="537" spans="1:14" s="1" customFormat="1" x14ac:dyDescent="0.35">
      <c r="A537" s="1" t="s">
        <v>0</v>
      </c>
      <c r="B537" s="1" t="s">
        <v>1989</v>
      </c>
      <c r="C537" s="1" t="s">
        <v>2055</v>
      </c>
      <c r="D537" s="1" t="s">
        <v>11500</v>
      </c>
      <c r="E537" s="1" t="str">
        <f>"2320"</f>
        <v>2320</v>
      </c>
      <c r="F537" s="1" t="str">
        <f>"013601899"</f>
        <v>013601899</v>
      </c>
      <c r="G537" s="1" t="s">
        <v>930</v>
      </c>
      <c r="H537" s="1" t="s">
        <v>15</v>
      </c>
      <c r="I537" s="1" t="str">
        <f>"2"</f>
        <v>2</v>
      </c>
      <c r="J537" s="3" t="str">
        <f>"119166"</f>
        <v>119166</v>
      </c>
      <c r="K537" s="4">
        <v>46025</v>
      </c>
      <c r="L537" s="4">
        <v>46027</v>
      </c>
      <c r="M537" s="1" t="s">
        <v>11499</v>
      </c>
      <c r="N537" s="1" t="s">
        <v>2061</v>
      </c>
    </row>
    <row r="538" spans="1:14" s="1" customFormat="1" x14ac:dyDescent="0.35">
      <c r="A538" s="1" t="s">
        <v>0</v>
      </c>
      <c r="B538" s="1" t="s">
        <v>1989</v>
      </c>
      <c r="C538" s="1" t="s">
        <v>2055</v>
      </c>
      <c r="D538" s="1" t="s">
        <v>11498</v>
      </c>
      <c r="E538" s="1" t="str">
        <f>"2330"</f>
        <v>2330</v>
      </c>
      <c r="F538" s="1" t="s">
        <v>104</v>
      </c>
      <c r="G538" s="1" t="s">
        <v>105</v>
      </c>
      <c r="H538" s="1" t="s">
        <v>15</v>
      </c>
      <c r="I538" s="1" t="str">
        <f>"1"</f>
        <v>1</v>
      </c>
      <c r="J538" s="3" t="str">
        <f>"14555"</f>
        <v>14555</v>
      </c>
      <c r="K538" s="4">
        <v>46095</v>
      </c>
      <c r="L538" s="4">
        <v>46097</v>
      </c>
      <c r="M538" s="1" t="s">
        <v>11478</v>
      </c>
      <c r="N538" s="1" t="s">
        <v>11497</v>
      </c>
    </row>
    <row r="539" spans="1:14" s="1" customFormat="1" x14ac:dyDescent="0.35">
      <c r="A539" s="1" t="s">
        <v>0</v>
      </c>
      <c r="B539" s="1" t="s">
        <v>1989</v>
      </c>
      <c r="C539" s="1" t="s">
        <v>2055</v>
      </c>
      <c r="D539" s="1" t="s">
        <v>11496</v>
      </c>
      <c r="E539" s="1" t="str">
        <f>"2340"</f>
        <v>2340</v>
      </c>
      <c r="F539" s="1" t="s">
        <v>1071</v>
      </c>
      <c r="G539" s="1" t="s">
        <v>1072</v>
      </c>
      <c r="H539" s="1" t="s">
        <v>15</v>
      </c>
      <c r="I539" s="1" t="str">
        <f>"1"</f>
        <v>1</v>
      </c>
      <c r="J539" s="3" t="str">
        <f>"5000"</f>
        <v>5000</v>
      </c>
      <c r="K539" s="4">
        <v>46095</v>
      </c>
      <c r="L539" s="4">
        <v>46097</v>
      </c>
      <c r="M539" s="1" t="s">
        <v>11203</v>
      </c>
      <c r="N539" s="1" t="s">
        <v>11495</v>
      </c>
    </row>
    <row r="540" spans="1:14" s="1" customFormat="1" x14ac:dyDescent="0.35">
      <c r="A540" s="1" t="s">
        <v>0</v>
      </c>
      <c r="B540" s="1" t="s">
        <v>1989</v>
      </c>
      <c r="C540" s="1" t="s">
        <v>2055</v>
      </c>
      <c r="D540" s="1" t="s">
        <v>11494</v>
      </c>
      <c r="E540" s="1" t="str">
        <f>"4240"</f>
        <v>4240</v>
      </c>
      <c r="F540" s="1" t="str">
        <f>"016306064"</f>
        <v>016306064</v>
      </c>
      <c r="G540" s="1" t="s">
        <v>1404</v>
      </c>
      <c r="H540" s="1" t="s">
        <v>15</v>
      </c>
      <c r="I540" s="1" t="str">
        <f>"20"</f>
        <v>20</v>
      </c>
      <c r="J540" s="3">
        <v>128.97999999999999</v>
      </c>
      <c r="K540" s="4">
        <v>46103</v>
      </c>
      <c r="L540" s="4">
        <v>46104</v>
      </c>
      <c r="M540" s="1" t="s">
        <v>11493</v>
      </c>
      <c r="N540" s="1" t="s">
        <v>9069</v>
      </c>
    </row>
    <row r="541" spans="1:14" s="1" customFormat="1" x14ac:dyDescent="0.35">
      <c r="A541" s="1" t="s">
        <v>0</v>
      </c>
      <c r="B541" s="1" t="s">
        <v>3356</v>
      </c>
      <c r="C541" s="1" t="s">
        <v>9047</v>
      </c>
      <c r="D541" s="1" t="s">
        <v>11492</v>
      </c>
      <c r="E541" s="1" t="str">
        <f>"2320"</f>
        <v>2320</v>
      </c>
      <c r="F541" s="1" t="s">
        <v>4526</v>
      </c>
      <c r="G541" s="1" t="s">
        <v>4525</v>
      </c>
      <c r="H541" s="1" t="s">
        <v>15</v>
      </c>
      <c r="I541" s="1" t="str">
        <f>"1"</f>
        <v>1</v>
      </c>
      <c r="J541" s="3">
        <v>610434.26</v>
      </c>
      <c r="K541" s="4">
        <v>46056</v>
      </c>
      <c r="L541" s="4">
        <v>46056</v>
      </c>
      <c r="M541" s="1" t="s">
        <v>11491</v>
      </c>
      <c r="N541" s="1" t="s">
        <v>11490</v>
      </c>
    </row>
    <row r="542" spans="1:14" s="1" customFormat="1" x14ac:dyDescent="0.35">
      <c r="A542" s="1" t="s">
        <v>0</v>
      </c>
      <c r="B542" s="1" t="s">
        <v>1989</v>
      </c>
      <c r="C542" s="1" t="s">
        <v>9020</v>
      </c>
      <c r="D542" s="1" t="s">
        <v>11489</v>
      </c>
      <c r="E542" s="1" t="str">
        <f>"8145"</f>
        <v>8145</v>
      </c>
      <c r="F542" s="1" t="s">
        <v>2635</v>
      </c>
      <c r="G542" s="1" t="s">
        <v>2636</v>
      </c>
      <c r="H542" s="1" t="s">
        <v>15</v>
      </c>
      <c r="I542" s="1" t="str">
        <f>"2"</f>
        <v>2</v>
      </c>
      <c r="J542" s="3" t="str">
        <f>"100"</f>
        <v>100</v>
      </c>
      <c r="K542" s="4">
        <v>46084</v>
      </c>
      <c r="L542" s="4">
        <v>46084</v>
      </c>
      <c r="M542" s="1" t="s">
        <v>11485</v>
      </c>
      <c r="N542" s="1" t="s">
        <v>11488</v>
      </c>
    </row>
    <row r="543" spans="1:14" s="1" customFormat="1" x14ac:dyDescent="0.35">
      <c r="A543" s="1" t="s">
        <v>0</v>
      </c>
      <c r="B543" s="1" t="s">
        <v>1989</v>
      </c>
      <c r="C543" s="1" t="s">
        <v>9020</v>
      </c>
      <c r="D543" s="1" t="s">
        <v>11487</v>
      </c>
      <c r="E543" s="1" t="str">
        <f>"8145"</f>
        <v>8145</v>
      </c>
      <c r="F543" s="1" t="s">
        <v>2635</v>
      </c>
      <c r="G543" s="1" t="s">
        <v>2636</v>
      </c>
      <c r="H543" s="1" t="s">
        <v>15</v>
      </c>
      <c r="I543" s="1" t="str">
        <f>"1"</f>
        <v>1</v>
      </c>
      <c r="J543" s="3" t="str">
        <f>"8000"</f>
        <v>8000</v>
      </c>
      <c r="K543" s="4">
        <v>46084</v>
      </c>
      <c r="L543" s="4">
        <v>46084</v>
      </c>
      <c r="M543" s="1" t="s">
        <v>11485</v>
      </c>
      <c r="N543" s="1" t="s">
        <v>11484</v>
      </c>
    </row>
    <row r="544" spans="1:14" s="1" customFormat="1" x14ac:dyDescent="0.35">
      <c r="A544" s="1" t="s">
        <v>0</v>
      </c>
      <c r="B544" s="1" t="s">
        <v>1989</v>
      </c>
      <c r="C544" s="1" t="s">
        <v>9020</v>
      </c>
      <c r="D544" s="1" t="s">
        <v>11486</v>
      </c>
      <c r="E544" s="1" t="str">
        <f>"8145"</f>
        <v>8145</v>
      </c>
      <c r="F544" s="1" t="s">
        <v>2635</v>
      </c>
      <c r="G544" s="1" t="s">
        <v>2636</v>
      </c>
      <c r="H544" s="1" t="s">
        <v>15</v>
      </c>
      <c r="I544" s="1" t="str">
        <f>"1"</f>
        <v>1</v>
      </c>
      <c r="J544" s="3" t="str">
        <f>"8000"</f>
        <v>8000</v>
      </c>
      <c r="K544" s="4">
        <v>46084</v>
      </c>
      <c r="L544" s="4">
        <v>46084</v>
      </c>
      <c r="M544" s="1" t="s">
        <v>11485</v>
      </c>
      <c r="N544" s="1" t="s">
        <v>11484</v>
      </c>
    </row>
    <row r="545" spans="1:14" s="1" customFormat="1" x14ac:dyDescent="0.35">
      <c r="A545" s="1" t="s">
        <v>0</v>
      </c>
      <c r="B545" s="1" t="s">
        <v>3268</v>
      </c>
      <c r="C545" s="1" t="s">
        <v>8963</v>
      </c>
      <c r="D545" s="1" t="s">
        <v>11483</v>
      </c>
      <c r="E545" s="1" t="str">
        <f>"2340"</f>
        <v>2340</v>
      </c>
      <c r="F545" s="1" t="s">
        <v>2469</v>
      </c>
      <c r="G545" s="1" t="s">
        <v>2470</v>
      </c>
      <c r="H545" s="1" t="s">
        <v>15</v>
      </c>
      <c r="I545" s="1" t="str">
        <f>"1"</f>
        <v>1</v>
      </c>
      <c r="J545" s="3">
        <v>13213.65</v>
      </c>
      <c r="K545" s="4">
        <v>46027</v>
      </c>
      <c r="L545" s="4">
        <v>46028</v>
      </c>
      <c r="M545" s="1" t="s">
        <v>11482</v>
      </c>
      <c r="N545" s="1" t="s">
        <v>11481</v>
      </c>
    </row>
    <row r="546" spans="1:14" s="1" customFormat="1" x14ac:dyDescent="0.35">
      <c r="A546" s="1" t="s">
        <v>0</v>
      </c>
      <c r="B546" s="1" t="s">
        <v>1989</v>
      </c>
      <c r="C546" s="1" t="s">
        <v>8740</v>
      </c>
      <c r="D546" s="1" t="s">
        <v>11480</v>
      </c>
      <c r="E546" s="1" t="str">
        <f>"2320"</f>
        <v>2320</v>
      </c>
      <c r="F546" s="1" t="str">
        <f>"010907882"</f>
        <v>010907882</v>
      </c>
      <c r="G546" s="1" t="s">
        <v>930</v>
      </c>
      <c r="H546" s="1" t="s">
        <v>15</v>
      </c>
      <c r="I546" s="1" t="str">
        <f>"1"</f>
        <v>1</v>
      </c>
      <c r="J546" s="3" t="str">
        <f>"9408"</f>
        <v>9408</v>
      </c>
      <c r="K546" s="4">
        <v>46048</v>
      </c>
      <c r="L546" s="4">
        <v>46048</v>
      </c>
      <c r="M546" s="1" t="s">
        <v>11478</v>
      </c>
      <c r="N546" s="1" t="s">
        <v>8741</v>
      </c>
    </row>
    <row r="547" spans="1:14" s="1" customFormat="1" x14ac:dyDescent="0.35">
      <c r="A547" s="1" t="s">
        <v>0</v>
      </c>
      <c r="B547" s="1" t="s">
        <v>1989</v>
      </c>
      <c r="C547" s="1" t="s">
        <v>8740</v>
      </c>
      <c r="D547" s="1" t="s">
        <v>11479</v>
      </c>
      <c r="E547" s="1" t="str">
        <f>"2320"</f>
        <v>2320</v>
      </c>
      <c r="F547" s="1" t="str">
        <f>"010907882"</f>
        <v>010907882</v>
      </c>
      <c r="G547" s="1" t="s">
        <v>930</v>
      </c>
      <c r="H547" s="1" t="s">
        <v>15</v>
      </c>
      <c r="I547" s="1" t="str">
        <f>"1"</f>
        <v>1</v>
      </c>
      <c r="J547" s="3" t="str">
        <f>"9408"</f>
        <v>9408</v>
      </c>
      <c r="K547" s="4">
        <v>46048</v>
      </c>
      <c r="L547" s="4">
        <v>46048</v>
      </c>
      <c r="M547" s="1" t="s">
        <v>11478</v>
      </c>
      <c r="N547" s="1" t="s">
        <v>8741</v>
      </c>
    </row>
    <row r="548" spans="1:14" s="1" customFormat="1" x14ac:dyDescent="0.35">
      <c r="A548" s="1" t="s">
        <v>0</v>
      </c>
      <c r="B548" s="1" t="s">
        <v>3356</v>
      </c>
      <c r="C548" s="1" t="s">
        <v>3518</v>
      </c>
      <c r="D548" s="1" t="s">
        <v>11477</v>
      </c>
      <c r="E548" s="1" t="str">
        <f>"2320"</f>
        <v>2320</v>
      </c>
      <c r="F548" s="1" t="str">
        <f>"014133739"</f>
        <v>014133739</v>
      </c>
      <c r="G548" s="1" t="s">
        <v>1860</v>
      </c>
      <c r="H548" s="1" t="s">
        <v>15</v>
      </c>
      <c r="I548" s="1" t="str">
        <f>"1"</f>
        <v>1</v>
      </c>
      <c r="J548" s="3" t="str">
        <f>"192513"</f>
        <v>192513</v>
      </c>
      <c r="K548" s="4">
        <v>46054</v>
      </c>
      <c r="L548" s="4">
        <v>46055</v>
      </c>
      <c r="M548" s="1" t="s">
        <v>11476</v>
      </c>
      <c r="N548" s="1" t="s">
        <v>11475</v>
      </c>
    </row>
    <row r="549" spans="1:14" s="1" customFormat="1" x14ac:dyDescent="0.35">
      <c r="A549" s="1" t="s">
        <v>0</v>
      </c>
      <c r="B549" s="1" t="s">
        <v>3356</v>
      </c>
      <c r="C549" s="1" t="s">
        <v>3518</v>
      </c>
      <c r="D549" s="1" t="s">
        <v>11474</v>
      </c>
      <c r="E549" s="1" t="str">
        <f>"8465"</f>
        <v>8465</v>
      </c>
      <c r="F549" s="1" t="s">
        <v>11466</v>
      </c>
      <c r="G549" s="1" t="s">
        <v>11465</v>
      </c>
      <c r="H549" s="1" t="s">
        <v>15</v>
      </c>
      <c r="I549" s="1" t="str">
        <f>"2"</f>
        <v>2</v>
      </c>
      <c r="J549" s="3" t="str">
        <f>"25"</f>
        <v>25</v>
      </c>
      <c r="K549" s="4">
        <v>46059</v>
      </c>
      <c r="L549" s="4">
        <v>46062</v>
      </c>
      <c r="M549" s="1" t="s">
        <v>11464</v>
      </c>
      <c r="N549" s="1" t="s">
        <v>8691</v>
      </c>
    </row>
    <row r="550" spans="1:14" s="1" customFormat="1" x14ac:dyDescent="0.35">
      <c r="A550" s="1" t="s">
        <v>0</v>
      </c>
      <c r="B550" s="1" t="s">
        <v>3356</v>
      </c>
      <c r="C550" s="1" t="s">
        <v>3518</v>
      </c>
      <c r="D550" s="1" t="s">
        <v>11473</v>
      </c>
      <c r="E550" s="1" t="str">
        <f>"8465"</f>
        <v>8465</v>
      </c>
      <c r="F550" s="1" t="str">
        <f>"013936515"</f>
        <v>013936515</v>
      </c>
      <c r="G550" s="1" t="s">
        <v>975</v>
      </c>
      <c r="H550" s="1" t="s">
        <v>15</v>
      </c>
      <c r="I550" s="1" t="str">
        <f>"56"</f>
        <v>56</v>
      </c>
      <c r="J550" s="3">
        <v>68.81</v>
      </c>
      <c r="K550" s="4">
        <v>46059</v>
      </c>
      <c r="L550" s="4">
        <v>46062</v>
      </c>
      <c r="M550" s="1" t="s">
        <v>11062</v>
      </c>
      <c r="N550" s="1" t="s">
        <v>8691</v>
      </c>
    </row>
    <row r="551" spans="1:14" s="1" customFormat="1" x14ac:dyDescent="0.35">
      <c r="A551" s="1" t="s">
        <v>0</v>
      </c>
      <c r="B551" s="1" t="s">
        <v>3356</v>
      </c>
      <c r="C551" s="1" t="s">
        <v>3518</v>
      </c>
      <c r="D551" s="1" t="s">
        <v>11472</v>
      </c>
      <c r="E551" s="1" t="str">
        <f>"8465"</f>
        <v>8465</v>
      </c>
      <c r="F551" s="1" t="s">
        <v>11466</v>
      </c>
      <c r="G551" s="1" t="s">
        <v>11465</v>
      </c>
      <c r="H551" s="1" t="s">
        <v>15</v>
      </c>
      <c r="I551" s="1" t="str">
        <f>"2"</f>
        <v>2</v>
      </c>
      <c r="J551" s="3" t="str">
        <f>"25"</f>
        <v>25</v>
      </c>
      <c r="K551" s="4">
        <v>46059</v>
      </c>
      <c r="L551" s="4">
        <v>46062</v>
      </c>
      <c r="M551" s="1" t="s">
        <v>11464</v>
      </c>
      <c r="N551" s="1" t="s">
        <v>8691</v>
      </c>
    </row>
    <row r="552" spans="1:14" s="1" customFormat="1" x14ac:dyDescent="0.35">
      <c r="A552" s="1" t="s">
        <v>0</v>
      </c>
      <c r="B552" s="1" t="s">
        <v>3356</v>
      </c>
      <c r="C552" s="1" t="s">
        <v>3518</v>
      </c>
      <c r="D552" s="1" t="s">
        <v>11471</v>
      </c>
      <c r="E552" s="1" t="str">
        <f>"8465"</f>
        <v>8465</v>
      </c>
      <c r="F552" s="1" t="s">
        <v>11466</v>
      </c>
      <c r="G552" s="1" t="s">
        <v>11465</v>
      </c>
      <c r="H552" s="1" t="s">
        <v>15</v>
      </c>
      <c r="I552" s="1" t="str">
        <f>"2"</f>
        <v>2</v>
      </c>
      <c r="J552" s="3" t="str">
        <f>"25"</f>
        <v>25</v>
      </c>
      <c r="K552" s="4">
        <v>46059</v>
      </c>
      <c r="L552" s="4">
        <v>46062</v>
      </c>
      <c r="M552" s="1" t="s">
        <v>11470</v>
      </c>
      <c r="N552" s="1" t="s">
        <v>8691</v>
      </c>
    </row>
    <row r="553" spans="1:14" s="1" customFormat="1" x14ac:dyDescent="0.35">
      <c r="A553" s="1" t="s">
        <v>0</v>
      </c>
      <c r="B553" s="1" t="s">
        <v>3356</v>
      </c>
      <c r="C553" s="1" t="s">
        <v>3518</v>
      </c>
      <c r="D553" s="1" t="s">
        <v>11469</v>
      </c>
      <c r="E553" s="1" t="str">
        <f>"8465"</f>
        <v>8465</v>
      </c>
      <c r="F553" s="1" t="s">
        <v>11466</v>
      </c>
      <c r="G553" s="1" t="s">
        <v>11465</v>
      </c>
      <c r="H553" s="1" t="s">
        <v>15</v>
      </c>
      <c r="I553" s="1" t="str">
        <f>"1"</f>
        <v>1</v>
      </c>
      <c r="J553" s="3" t="str">
        <f>"50"</f>
        <v>50</v>
      </c>
      <c r="K553" s="4">
        <v>46059</v>
      </c>
      <c r="L553" s="4">
        <v>46062</v>
      </c>
      <c r="M553" s="1" t="s">
        <v>11464</v>
      </c>
      <c r="N553" s="1" t="s">
        <v>8691</v>
      </c>
    </row>
    <row r="554" spans="1:14" s="1" customFormat="1" x14ac:dyDescent="0.35">
      <c r="A554" s="1" t="s">
        <v>0</v>
      </c>
      <c r="B554" s="1" t="s">
        <v>3356</v>
      </c>
      <c r="C554" s="1" t="s">
        <v>3518</v>
      </c>
      <c r="D554" s="1" t="s">
        <v>11468</v>
      </c>
      <c r="E554" s="1" t="str">
        <f>"8465"</f>
        <v>8465</v>
      </c>
      <c r="F554" s="1" t="str">
        <f>"014456274"</f>
        <v>014456274</v>
      </c>
      <c r="G554" s="1" t="s">
        <v>3536</v>
      </c>
      <c r="H554" s="1" t="s">
        <v>15</v>
      </c>
      <c r="I554" s="1" t="str">
        <f>"1"</f>
        <v>1</v>
      </c>
      <c r="J554" s="3">
        <v>255.6</v>
      </c>
      <c r="K554" s="4">
        <v>46059</v>
      </c>
      <c r="L554" s="4">
        <v>46062</v>
      </c>
      <c r="M554" s="1" t="s">
        <v>11464</v>
      </c>
      <c r="N554" s="1" t="s">
        <v>8691</v>
      </c>
    </row>
    <row r="555" spans="1:14" s="1" customFormat="1" x14ac:dyDescent="0.35">
      <c r="A555" s="1" t="s">
        <v>0</v>
      </c>
      <c r="B555" s="1" t="s">
        <v>3356</v>
      </c>
      <c r="C555" s="1" t="s">
        <v>3518</v>
      </c>
      <c r="D555" s="1" t="s">
        <v>11467</v>
      </c>
      <c r="E555" s="1" t="str">
        <f>"8465"</f>
        <v>8465</v>
      </c>
      <c r="F555" s="1" t="s">
        <v>11466</v>
      </c>
      <c r="G555" s="1" t="s">
        <v>11465</v>
      </c>
      <c r="H555" s="1" t="s">
        <v>15</v>
      </c>
      <c r="I555" s="1" t="str">
        <f>"1"</f>
        <v>1</v>
      </c>
      <c r="J555" s="3" t="str">
        <f>"50"</f>
        <v>50</v>
      </c>
      <c r="K555" s="4">
        <v>46059</v>
      </c>
      <c r="L555" s="4">
        <v>46062</v>
      </c>
      <c r="M555" s="1" t="s">
        <v>11464</v>
      </c>
      <c r="N555" s="1" t="s">
        <v>8691</v>
      </c>
    </row>
    <row r="556" spans="1:14" s="1" customFormat="1" x14ac:dyDescent="0.35">
      <c r="A556" s="1" t="s">
        <v>0</v>
      </c>
      <c r="B556" s="1" t="s">
        <v>3356</v>
      </c>
      <c r="C556" s="1" t="s">
        <v>3518</v>
      </c>
      <c r="D556" s="1" t="s">
        <v>11463</v>
      </c>
      <c r="E556" s="1" t="str">
        <f>"2340"</f>
        <v>2340</v>
      </c>
      <c r="F556" s="1" t="str">
        <f>"013954293"</f>
        <v>013954293</v>
      </c>
      <c r="G556" s="1" t="s">
        <v>3527</v>
      </c>
      <c r="H556" s="1" t="s">
        <v>15</v>
      </c>
      <c r="I556" s="1" t="str">
        <f>"4"</f>
        <v>4</v>
      </c>
      <c r="J556" s="3">
        <v>5694.11</v>
      </c>
      <c r="K556" s="4">
        <v>46079</v>
      </c>
      <c r="L556" s="4">
        <v>46079</v>
      </c>
      <c r="M556" s="1" t="s">
        <v>11462</v>
      </c>
      <c r="N556" s="1" t="s">
        <v>3525</v>
      </c>
    </row>
    <row r="557" spans="1:14" s="1" customFormat="1" x14ac:dyDescent="0.35">
      <c r="A557" s="1" t="s">
        <v>0</v>
      </c>
      <c r="B557" s="1" t="s">
        <v>3356</v>
      </c>
      <c r="C557" s="1" t="s">
        <v>3518</v>
      </c>
      <c r="D557" s="1" t="s">
        <v>11461</v>
      </c>
      <c r="E557" s="1" t="str">
        <f>"2320"</f>
        <v>2320</v>
      </c>
      <c r="F557" s="1" t="str">
        <f>"015402038"</f>
        <v>015402038</v>
      </c>
      <c r="G557" s="1" t="s">
        <v>1860</v>
      </c>
      <c r="H557" s="1" t="s">
        <v>15</v>
      </c>
      <c r="I557" s="1" t="str">
        <f>"1"</f>
        <v>1</v>
      </c>
      <c r="J557" s="3" t="str">
        <f>"225121"</f>
        <v>225121</v>
      </c>
      <c r="K557" s="4">
        <v>46091</v>
      </c>
      <c r="L557" s="4">
        <v>46092</v>
      </c>
      <c r="M557" s="1" t="s">
        <v>11460</v>
      </c>
      <c r="N557" s="1" t="s">
        <v>8704</v>
      </c>
    </row>
    <row r="558" spans="1:14" s="1" customFormat="1" x14ac:dyDescent="0.35">
      <c r="A558" s="1" t="s">
        <v>0</v>
      </c>
      <c r="B558" s="1" t="s">
        <v>3356</v>
      </c>
      <c r="C558" s="1" t="s">
        <v>3542</v>
      </c>
      <c r="D558" s="1" t="s">
        <v>11459</v>
      </c>
      <c r="E558" s="1" t="str">
        <f>"1990"</f>
        <v>1990</v>
      </c>
      <c r="F558" s="1" t="s">
        <v>5830</v>
      </c>
      <c r="G558" s="1" t="s">
        <v>5829</v>
      </c>
      <c r="H558" s="1" t="s">
        <v>15</v>
      </c>
      <c r="I558" s="1" t="str">
        <f>"1"</f>
        <v>1</v>
      </c>
      <c r="J558" s="3" t="str">
        <f>"42624"</f>
        <v>42624</v>
      </c>
      <c r="K558" s="4">
        <v>46070</v>
      </c>
      <c r="L558" s="4">
        <v>46071</v>
      </c>
      <c r="M558" s="1" t="s">
        <v>11000</v>
      </c>
      <c r="N558" s="1" t="s">
        <v>11458</v>
      </c>
    </row>
    <row r="559" spans="1:14" s="1" customFormat="1" x14ac:dyDescent="0.35">
      <c r="A559" s="1" t="s">
        <v>0</v>
      </c>
      <c r="B559" s="1" t="s">
        <v>73</v>
      </c>
      <c r="C559" s="1" t="s">
        <v>98</v>
      </c>
      <c r="D559" s="1" t="s">
        <v>11457</v>
      </c>
      <c r="E559" s="1" t="str">
        <f>"3416"</f>
        <v>3416</v>
      </c>
      <c r="F559" s="1" t="s">
        <v>11456</v>
      </c>
      <c r="G559" s="1" t="s">
        <v>11455</v>
      </c>
      <c r="H559" s="1" t="s">
        <v>15</v>
      </c>
      <c r="I559" s="1" t="str">
        <f>"1"</f>
        <v>1</v>
      </c>
      <c r="J559" s="3" t="str">
        <f>"3000"</f>
        <v>3000</v>
      </c>
      <c r="K559" s="4">
        <v>46090</v>
      </c>
      <c r="L559" s="4">
        <v>46091</v>
      </c>
      <c r="M559" s="1" t="s">
        <v>11454</v>
      </c>
      <c r="N559" s="1" t="s">
        <v>11453</v>
      </c>
    </row>
    <row r="560" spans="1:14" s="1" customFormat="1" x14ac:dyDescent="0.35">
      <c r="A560" s="1" t="s">
        <v>0</v>
      </c>
      <c r="B560" s="1" t="s">
        <v>73</v>
      </c>
      <c r="C560" s="1" t="s">
        <v>98</v>
      </c>
      <c r="D560" s="1" t="s">
        <v>11452</v>
      </c>
      <c r="E560" s="1" t="str">
        <f>"2350"</f>
        <v>2350</v>
      </c>
      <c r="F560" s="1" t="str">
        <f>"014587410"</f>
        <v>014587410</v>
      </c>
      <c r="G560" s="1" t="s">
        <v>11333</v>
      </c>
      <c r="H560" s="1" t="s">
        <v>15</v>
      </c>
      <c r="I560" s="1" t="str">
        <f>"1"</f>
        <v>1</v>
      </c>
      <c r="J560" s="3" t="str">
        <f>"3500000"</f>
        <v>3500000</v>
      </c>
      <c r="K560" s="4">
        <v>46097</v>
      </c>
      <c r="L560" s="4">
        <v>46097</v>
      </c>
      <c r="M560" s="1" t="s">
        <v>11451</v>
      </c>
      <c r="N560" s="1" t="s">
        <v>11450</v>
      </c>
    </row>
    <row r="561" spans="1:14" s="1" customFormat="1" x14ac:dyDescent="0.35">
      <c r="A561" s="1" t="s">
        <v>0</v>
      </c>
      <c r="B561" s="1" t="s">
        <v>435</v>
      </c>
      <c r="C561" s="1" t="s">
        <v>11449</v>
      </c>
      <c r="D561" s="1" t="s">
        <v>11448</v>
      </c>
      <c r="E561" s="1" t="str">
        <f>"2355"</f>
        <v>2355</v>
      </c>
      <c r="F561" s="1" t="str">
        <f>"015590791"</f>
        <v>015590791</v>
      </c>
      <c r="G561" s="1" t="s">
        <v>11092</v>
      </c>
      <c r="H561" s="1" t="s">
        <v>15</v>
      </c>
      <c r="I561" s="1" t="str">
        <f>"1"</f>
        <v>1</v>
      </c>
      <c r="J561" s="3" t="str">
        <f>"700000"</f>
        <v>700000</v>
      </c>
      <c r="K561" s="4">
        <v>46094</v>
      </c>
      <c r="L561" s="4">
        <v>46094</v>
      </c>
      <c r="M561" s="1" t="s">
        <v>11447</v>
      </c>
      <c r="N561" s="1" t="s">
        <v>11446</v>
      </c>
    </row>
    <row r="562" spans="1:14" s="1" customFormat="1" x14ac:dyDescent="0.35">
      <c r="A562" s="1" t="s">
        <v>0</v>
      </c>
      <c r="B562" s="1" t="s">
        <v>1989</v>
      </c>
      <c r="C562" s="1" t="s">
        <v>11445</v>
      </c>
      <c r="D562" s="1" t="s">
        <v>11444</v>
      </c>
      <c r="E562" s="1" t="str">
        <f>"2320"</f>
        <v>2320</v>
      </c>
      <c r="F562" s="1" t="str">
        <f>"013469317"</f>
        <v>013469317</v>
      </c>
      <c r="G562" s="1" t="s">
        <v>1860</v>
      </c>
      <c r="H562" s="1" t="s">
        <v>15</v>
      </c>
      <c r="I562" s="1" t="str">
        <f>"1"</f>
        <v>1</v>
      </c>
      <c r="J562" s="3" t="str">
        <f>"94171"</f>
        <v>94171</v>
      </c>
      <c r="K562" s="4">
        <v>46104</v>
      </c>
      <c r="L562" s="4">
        <v>46104</v>
      </c>
      <c r="M562" s="1" t="s">
        <v>11443</v>
      </c>
      <c r="N562" s="1" t="s">
        <v>11442</v>
      </c>
    </row>
    <row r="563" spans="1:14" s="1" customFormat="1" x14ac:dyDescent="0.35">
      <c r="A563" s="1" t="s">
        <v>0</v>
      </c>
      <c r="B563" s="1" t="s">
        <v>3356</v>
      </c>
      <c r="C563" s="1" t="s">
        <v>3575</v>
      </c>
      <c r="D563" s="1" t="s">
        <v>11441</v>
      </c>
      <c r="E563" s="1" t="str">
        <f>"2310"</f>
        <v>2310</v>
      </c>
      <c r="F563" s="1" t="str">
        <f>"014998019"</f>
        <v>014998019</v>
      </c>
      <c r="G563" s="1" t="s">
        <v>4671</v>
      </c>
      <c r="H563" s="1" t="s">
        <v>15</v>
      </c>
      <c r="I563" s="1" t="str">
        <f>"1"</f>
        <v>1</v>
      </c>
      <c r="J563" s="3" t="str">
        <f>"165000"</f>
        <v>165000</v>
      </c>
      <c r="K563" s="4">
        <v>46079</v>
      </c>
      <c r="L563" s="4">
        <v>46079</v>
      </c>
      <c r="M563" s="1" t="s">
        <v>11000</v>
      </c>
      <c r="N563" s="1" t="s">
        <v>11440</v>
      </c>
    </row>
    <row r="564" spans="1:14" s="1" customFormat="1" x14ac:dyDescent="0.35">
      <c r="A564" s="1" t="s">
        <v>0</v>
      </c>
      <c r="B564" s="1" t="s">
        <v>3356</v>
      </c>
      <c r="C564" s="1" t="s">
        <v>3575</v>
      </c>
      <c r="D564" s="1" t="s">
        <v>11439</v>
      </c>
      <c r="E564" s="1" t="str">
        <f>"2330"</f>
        <v>2330</v>
      </c>
      <c r="F564" s="1" t="s">
        <v>104</v>
      </c>
      <c r="G564" s="1" t="s">
        <v>105</v>
      </c>
      <c r="H564" s="1" t="s">
        <v>15</v>
      </c>
      <c r="I564" s="1" t="str">
        <f>"1"</f>
        <v>1</v>
      </c>
      <c r="J564" s="3">
        <v>968678.86</v>
      </c>
      <c r="K564" s="4">
        <v>46074</v>
      </c>
      <c r="L564" s="4">
        <v>46076</v>
      </c>
      <c r="M564" s="1" t="s">
        <v>11000</v>
      </c>
      <c r="N564" s="1" t="s">
        <v>11438</v>
      </c>
    </row>
    <row r="565" spans="1:14" s="1" customFormat="1" x14ac:dyDescent="0.35">
      <c r="A565" s="1" t="s">
        <v>0</v>
      </c>
      <c r="B565" s="1" t="s">
        <v>3356</v>
      </c>
      <c r="C565" s="1" t="s">
        <v>3575</v>
      </c>
      <c r="D565" s="1" t="s">
        <v>11437</v>
      </c>
      <c r="E565" s="1" t="str">
        <f>"2320"</f>
        <v>2320</v>
      </c>
      <c r="F565" s="1" t="str">
        <f>"010911597"</f>
        <v>010911597</v>
      </c>
      <c r="G565" s="1" t="s">
        <v>4468</v>
      </c>
      <c r="H565" s="1" t="s">
        <v>15</v>
      </c>
      <c r="I565" s="1" t="str">
        <f>"1"</f>
        <v>1</v>
      </c>
      <c r="J565" s="3" t="str">
        <f>"150120"</f>
        <v>150120</v>
      </c>
      <c r="K565" s="4">
        <v>46074</v>
      </c>
      <c r="L565" s="4">
        <v>46076</v>
      </c>
      <c r="M565" s="1" t="s">
        <v>11086</v>
      </c>
      <c r="N565" s="1" t="s">
        <v>11436</v>
      </c>
    </row>
    <row r="566" spans="1:14" s="1" customFormat="1" x14ac:dyDescent="0.35">
      <c r="A566" s="1" t="s">
        <v>0</v>
      </c>
      <c r="B566" s="1" t="s">
        <v>3356</v>
      </c>
      <c r="C566" s="1" t="s">
        <v>3575</v>
      </c>
      <c r="D566" s="1" t="s">
        <v>11435</v>
      </c>
      <c r="E566" s="1" t="str">
        <f>"2320"</f>
        <v>2320</v>
      </c>
      <c r="F566" s="1" t="s">
        <v>1016</v>
      </c>
      <c r="G566" s="1" t="s">
        <v>1017</v>
      </c>
      <c r="H566" s="1" t="s">
        <v>15</v>
      </c>
      <c r="I566" s="1" t="str">
        <f>"1"</f>
        <v>1</v>
      </c>
      <c r="J566" s="3" t="str">
        <f>"165000"</f>
        <v>165000</v>
      </c>
      <c r="K566" s="4">
        <v>46082</v>
      </c>
      <c r="L566" s="4">
        <v>46083</v>
      </c>
      <c r="M566" s="1" t="s">
        <v>11000</v>
      </c>
      <c r="N566" s="1" t="s">
        <v>11434</v>
      </c>
    </row>
    <row r="567" spans="1:14" s="1" customFormat="1" x14ac:dyDescent="0.35">
      <c r="A567" s="1" t="s">
        <v>0</v>
      </c>
      <c r="B567" s="1" t="s">
        <v>3356</v>
      </c>
      <c r="C567" s="1" t="s">
        <v>3575</v>
      </c>
      <c r="D567" s="1" t="s">
        <v>11433</v>
      </c>
      <c r="E567" s="1" t="str">
        <f>"2330"</f>
        <v>2330</v>
      </c>
      <c r="F567" s="1" t="s">
        <v>104</v>
      </c>
      <c r="G567" s="1" t="s">
        <v>105</v>
      </c>
      <c r="H567" s="1" t="s">
        <v>15</v>
      </c>
      <c r="I567" s="1" t="str">
        <f>"1"</f>
        <v>1</v>
      </c>
      <c r="J567" s="3" t="str">
        <f>"10000"</f>
        <v>10000</v>
      </c>
      <c r="K567" s="4">
        <v>46095</v>
      </c>
      <c r="L567" s="4">
        <v>46097</v>
      </c>
      <c r="M567" s="1" t="s">
        <v>11376</v>
      </c>
      <c r="N567" s="1" t="s">
        <v>11432</v>
      </c>
    </row>
    <row r="568" spans="1:14" s="1" customFormat="1" x14ac:dyDescent="0.35">
      <c r="A568" s="1" t="s">
        <v>0</v>
      </c>
      <c r="B568" s="1" t="s">
        <v>3356</v>
      </c>
      <c r="C568" s="1" t="s">
        <v>3575</v>
      </c>
      <c r="D568" s="1" t="s">
        <v>11431</v>
      </c>
      <c r="E568" s="1" t="str">
        <f>"2310"</f>
        <v>2310</v>
      </c>
      <c r="F568" s="1" t="s">
        <v>4332</v>
      </c>
      <c r="G568" s="1" t="s">
        <v>4333</v>
      </c>
      <c r="H568" s="1" t="s">
        <v>15</v>
      </c>
      <c r="I568" s="1" t="str">
        <f>"1"</f>
        <v>1</v>
      </c>
      <c r="J568" s="3" t="str">
        <f>"81369"</f>
        <v>81369</v>
      </c>
      <c r="K568" s="4">
        <v>46095</v>
      </c>
      <c r="L568" s="4">
        <v>46098</v>
      </c>
      <c r="M568" s="1" t="s">
        <v>11171</v>
      </c>
      <c r="N568" s="1" t="s">
        <v>11430</v>
      </c>
    </row>
    <row r="569" spans="1:14" s="1" customFormat="1" x14ac:dyDescent="0.35">
      <c r="A569" s="1" t="s">
        <v>0</v>
      </c>
      <c r="B569" s="1" t="s">
        <v>3356</v>
      </c>
      <c r="C569" s="1" t="s">
        <v>3575</v>
      </c>
      <c r="D569" s="1" t="s">
        <v>11429</v>
      </c>
      <c r="E569" s="1" t="str">
        <f>"1940"</f>
        <v>1940</v>
      </c>
      <c r="F569" s="1" t="s">
        <v>1898</v>
      </c>
      <c r="G569" s="1" t="s">
        <v>1899</v>
      </c>
      <c r="H569" s="1" t="s">
        <v>15</v>
      </c>
      <c r="I569" s="1" t="str">
        <f>"1"</f>
        <v>1</v>
      </c>
      <c r="J569" s="3" t="str">
        <f>"65000"</f>
        <v>65000</v>
      </c>
      <c r="K569" s="4">
        <v>46110</v>
      </c>
      <c r="L569" s="4">
        <v>46111</v>
      </c>
      <c r="M569" s="1" t="s">
        <v>11000</v>
      </c>
      <c r="N569" s="1" t="s">
        <v>11428</v>
      </c>
    </row>
    <row r="570" spans="1:14" s="1" customFormat="1" x14ac:dyDescent="0.35">
      <c r="A570" s="1" t="s">
        <v>0</v>
      </c>
      <c r="B570" s="1" t="s">
        <v>1293</v>
      </c>
      <c r="C570" s="1" t="s">
        <v>11427</v>
      </c>
      <c r="D570" s="1" t="s">
        <v>11426</v>
      </c>
      <c r="E570" s="1" t="str">
        <f>"3930"</f>
        <v>3930</v>
      </c>
      <c r="F570" s="1" t="s">
        <v>95</v>
      </c>
      <c r="G570" s="1" t="s">
        <v>96</v>
      </c>
      <c r="H570" s="1" t="s">
        <v>15</v>
      </c>
      <c r="I570" s="1" t="str">
        <f>"1"</f>
        <v>1</v>
      </c>
      <c r="J570" s="3" t="str">
        <f>"3000"</f>
        <v>3000</v>
      </c>
      <c r="K570" s="4">
        <v>46052</v>
      </c>
      <c r="L570" s="4">
        <v>46059</v>
      </c>
      <c r="M570" s="1" t="s">
        <v>11425</v>
      </c>
      <c r="N570" s="1" t="s">
        <v>11424</v>
      </c>
    </row>
    <row r="571" spans="1:14" s="1" customFormat="1" x14ac:dyDescent="0.35">
      <c r="A571" s="1" t="s">
        <v>0</v>
      </c>
      <c r="B571" s="1" t="s">
        <v>1293</v>
      </c>
      <c r="C571" s="1" t="s">
        <v>7899</v>
      </c>
      <c r="D571" s="1" t="s">
        <v>11423</v>
      </c>
      <c r="E571" s="1" t="str">
        <f>"2320"</f>
        <v>2320</v>
      </c>
      <c r="F571" s="1" t="str">
        <f>"013469317"</f>
        <v>013469317</v>
      </c>
      <c r="G571" s="1" t="s">
        <v>1860</v>
      </c>
      <c r="H571" s="1" t="s">
        <v>15</v>
      </c>
      <c r="I571" s="1" t="str">
        <f>"1"</f>
        <v>1</v>
      </c>
      <c r="J571" s="3" t="str">
        <f>"94171"</f>
        <v>94171</v>
      </c>
      <c r="K571" s="4">
        <v>46083</v>
      </c>
      <c r="L571" s="4">
        <v>46092</v>
      </c>
      <c r="M571" s="1" t="s">
        <v>11407</v>
      </c>
      <c r="N571" s="1" t="s">
        <v>11421</v>
      </c>
    </row>
    <row r="572" spans="1:14" s="1" customFormat="1" x14ac:dyDescent="0.35">
      <c r="A572" s="1" t="s">
        <v>0</v>
      </c>
      <c r="B572" s="1" t="s">
        <v>1293</v>
      </c>
      <c r="C572" s="1" t="s">
        <v>7899</v>
      </c>
      <c r="D572" s="1" t="s">
        <v>11422</v>
      </c>
      <c r="E572" s="1" t="str">
        <f>"2320"</f>
        <v>2320</v>
      </c>
      <c r="F572" s="1" t="str">
        <f>"013469317"</f>
        <v>013469317</v>
      </c>
      <c r="G572" s="1" t="s">
        <v>1860</v>
      </c>
      <c r="H572" s="1" t="s">
        <v>15</v>
      </c>
      <c r="I572" s="1" t="str">
        <f>"1"</f>
        <v>1</v>
      </c>
      <c r="J572" s="3" t="str">
        <f>"94171"</f>
        <v>94171</v>
      </c>
      <c r="K572" s="4">
        <v>46083</v>
      </c>
      <c r="L572" s="4">
        <v>46092</v>
      </c>
      <c r="M572" s="1" t="s">
        <v>11407</v>
      </c>
      <c r="N572" s="1" t="s">
        <v>11421</v>
      </c>
    </row>
    <row r="573" spans="1:14" s="1" customFormat="1" x14ac:dyDescent="0.35">
      <c r="A573" s="1" t="s">
        <v>0</v>
      </c>
      <c r="B573" s="1" t="s">
        <v>1989</v>
      </c>
      <c r="C573" s="1" t="s">
        <v>7895</v>
      </c>
      <c r="D573" s="1" t="s">
        <v>11420</v>
      </c>
      <c r="E573" s="1" t="str">
        <f>"2310"</f>
        <v>2310</v>
      </c>
      <c r="F573" s="1" t="s">
        <v>4332</v>
      </c>
      <c r="G573" s="1" t="s">
        <v>4333</v>
      </c>
      <c r="H573" s="1" t="s">
        <v>15</v>
      </c>
      <c r="I573" s="1" t="str">
        <f>"1"</f>
        <v>1</v>
      </c>
      <c r="J573" s="3" t="str">
        <f>"38900"</f>
        <v>38900</v>
      </c>
      <c r="K573" s="4">
        <v>46104</v>
      </c>
      <c r="L573" s="4">
        <v>46104</v>
      </c>
      <c r="M573" s="1" t="s">
        <v>11418</v>
      </c>
      <c r="N573" s="1" t="s">
        <v>11417</v>
      </c>
    </row>
    <row r="574" spans="1:14" s="1" customFormat="1" x14ac:dyDescent="0.35">
      <c r="A574" s="1" t="s">
        <v>0</v>
      </c>
      <c r="B574" s="1" t="s">
        <v>1989</v>
      </c>
      <c r="C574" s="1" t="s">
        <v>7895</v>
      </c>
      <c r="D574" s="1" t="s">
        <v>11419</v>
      </c>
      <c r="E574" s="1" t="str">
        <f>"2310"</f>
        <v>2310</v>
      </c>
      <c r="F574" s="1" t="s">
        <v>4332</v>
      </c>
      <c r="G574" s="1" t="s">
        <v>4333</v>
      </c>
      <c r="H574" s="1" t="s">
        <v>15</v>
      </c>
      <c r="I574" s="1" t="str">
        <f>"1"</f>
        <v>1</v>
      </c>
      <c r="J574" s="3" t="str">
        <f>"24000"</f>
        <v>24000</v>
      </c>
      <c r="K574" s="4">
        <v>46104</v>
      </c>
      <c r="L574" s="4">
        <v>46104</v>
      </c>
      <c r="M574" s="1" t="s">
        <v>11418</v>
      </c>
      <c r="N574" s="1" t="s">
        <v>11417</v>
      </c>
    </row>
    <row r="575" spans="1:14" s="1" customFormat="1" x14ac:dyDescent="0.35">
      <c r="A575" s="1" t="s">
        <v>0</v>
      </c>
      <c r="B575" s="1" t="s">
        <v>1303</v>
      </c>
      <c r="C575" s="1" t="s">
        <v>1384</v>
      </c>
      <c r="D575" s="1" t="s">
        <v>11416</v>
      </c>
      <c r="E575" s="1" t="str">
        <f>"5855"</f>
        <v>5855</v>
      </c>
      <c r="F575" s="1" t="s">
        <v>1390</v>
      </c>
      <c r="G575" s="1" t="s">
        <v>1391</v>
      </c>
      <c r="H575" s="1" t="s">
        <v>15</v>
      </c>
      <c r="I575" s="1" t="str">
        <f>"6"</f>
        <v>6</v>
      </c>
      <c r="J575" s="3" t="str">
        <f>"13500"</f>
        <v>13500</v>
      </c>
      <c r="K575" s="4">
        <v>46051</v>
      </c>
      <c r="L575" s="4">
        <v>46052</v>
      </c>
      <c r="M575" s="1" t="s">
        <v>11221</v>
      </c>
      <c r="N575" s="1" t="s">
        <v>1394</v>
      </c>
    </row>
    <row r="576" spans="1:14" s="1" customFormat="1" x14ac:dyDescent="0.35">
      <c r="A576" s="1" t="s">
        <v>0</v>
      </c>
      <c r="B576" s="1" t="s">
        <v>1303</v>
      </c>
      <c r="C576" s="1" t="s">
        <v>1384</v>
      </c>
      <c r="D576" s="1" t="s">
        <v>11415</v>
      </c>
      <c r="E576" s="1" t="str">
        <f>"5855"</f>
        <v>5855</v>
      </c>
      <c r="F576" s="1" t="s">
        <v>1390</v>
      </c>
      <c r="G576" s="1" t="s">
        <v>1391</v>
      </c>
      <c r="H576" s="1" t="s">
        <v>15</v>
      </c>
      <c r="I576" s="1" t="str">
        <f>"1"</f>
        <v>1</v>
      </c>
      <c r="J576" s="3" t="str">
        <f>"34500"</f>
        <v>34500</v>
      </c>
      <c r="K576" s="4">
        <v>46051</v>
      </c>
      <c r="L576" s="4">
        <v>46052</v>
      </c>
      <c r="M576" s="1" t="s">
        <v>11221</v>
      </c>
      <c r="N576" s="1" t="s">
        <v>1394</v>
      </c>
    </row>
    <row r="577" spans="1:14" s="1" customFormat="1" x14ac:dyDescent="0.35">
      <c r="A577" s="1" t="s">
        <v>0</v>
      </c>
      <c r="B577" s="1" t="s">
        <v>1303</v>
      </c>
      <c r="C577" s="1" t="s">
        <v>1384</v>
      </c>
      <c r="D577" s="1" t="s">
        <v>11414</v>
      </c>
      <c r="E577" s="1" t="str">
        <f>"5855"</f>
        <v>5855</v>
      </c>
      <c r="F577" s="1" t="str">
        <f>"015345931"</f>
        <v>015345931</v>
      </c>
      <c r="G577" s="1" t="s">
        <v>742</v>
      </c>
      <c r="H577" s="1" t="s">
        <v>15</v>
      </c>
      <c r="I577" s="1" t="str">
        <f>"5"</f>
        <v>5</v>
      </c>
      <c r="J577" s="3" t="str">
        <f>"970"</f>
        <v>970</v>
      </c>
      <c r="K577" s="4">
        <v>46051</v>
      </c>
      <c r="L577" s="4">
        <v>46052</v>
      </c>
      <c r="M577" s="1" t="s">
        <v>11221</v>
      </c>
      <c r="N577" s="1" t="s">
        <v>11413</v>
      </c>
    </row>
    <row r="578" spans="1:14" s="1" customFormat="1" x14ac:dyDescent="0.35">
      <c r="A578" s="1" t="s">
        <v>0</v>
      </c>
      <c r="B578" s="1" t="s">
        <v>3356</v>
      </c>
      <c r="C578" s="1" t="s">
        <v>3578</v>
      </c>
      <c r="D578" s="1" t="s">
        <v>11412</v>
      </c>
      <c r="E578" s="1" t="str">
        <f>"2320"</f>
        <v>2320</v>
      </c>
      <c r="F578" s="1" t="str">
        <f>"010907892"</f>
        <v>010907892</v>
      </c>
      <c r="G578" s="1" t="s">
        <v>930</v>
      </c>
      <c r="H578" s="1" t="s">
        <v>15</v>
      </c>
      <c r="I578" s="1" t="str">
        <f>"2"</f>
        <v>2</v>
      </c>
      <c r="J578" s="3" t="str">
        <f>"23000"</f>
        <v>23000</v>
      </c>
      <c r="K578" s="4">
        <v>46095</v>
      </c>
      <c r="L578" s="4">
        <v>46098</v>
      </c>
      <c r="M578" s="1" t="s">
        <v>11012</v>
      </c>
      <c r="N578" s="1" t="s">
        <v>11411</v>
      </c>
    </row>
    <row r="579" spans="1:14" s="1" customFormat="1" x14ac:dyDescent="0.35">
      <c r="A579" s="1" t="s">
        <v>0</v>
      </c>
      <c r="B579" s="1" t="s">
        <v>3356</v>
      </c>
      <c r="C579" s="1" t="s">
        <v>3578</v>
      </c>
      <c r="D579" s="1" t="s">
        <v>11410</v>
      </c>
      <c r="E579" s="1" t="str">
        <f>"1005"</f>
        <v>1005</v>
      </c>
      <c r="F579" s="1" t="str">
        <f>"015912160"</f>
        <v>015912160</v>
      </c>
      <c r="G579" s="1" t="s">
        <v>7785</v>
      </c>
      <c r="H579" s="1" t="s">
        <v>15</v>
      </c>
      <c r="I579" s="1" t="str">
        <f>"7"</f>
        <v>7</v>
      </c>
      <c r="J579" s="3">
        <v>2426.7399999999998</v>
      </c>
      <c r="K579" s="4">
        <v>46104</v>
      </c>
      <c r="L579" s="4">
        <v>46105</v>
      </c>
      <c r="M579" s="1" t="s">
        <v>11062</v>
      </c>
      <c r="N579" s="1" t="s">
        <v>11409</v>
      </c>
    </row>
    <row r="580" spans="1:14" s="1" customFormat="1" x14ac:dyDescent="0.35">
      <c r="A580" s="1" t="s">
        <v>0</v>
      </c>
      <c r="B580" s="1" t="s">
        <v>1293</v>
      </c>
      <c r="C580" s="1" t="s">
        <v>1294</v>
      </c>
      <c r="D580" s="1" t="s">
        <v>11408</v>
      </c>
      <c r="E580" s="1" t="str">
        <f>"3990"</f>
        <v>3990</v>
      </c>
      <c r="F580" s="1" t="s">
        <v>2283</v>
      </c>
      <c r="G580" s="1" t="s">
        <v>2284</v>
      </c>
      <c r="H580" s="1" t="s">
        <v>15</v>
      </c>
      <c r="I580" s="1" t="str">
        <f>"1"</f>
        <v>1</v>
      </c>
      <c r="J580" s="3">
        <v>13605.44</v>
      </c>
      <c r="K580" s="4">
        <v>46042</v>
      </c>
      <c r="L580" s="4">
        <v>46050</v>
      </c>
      <c r="M580" s="1" t="s">
        <v>11407</v>
      </c>
      <c r="N580" s="1" t="s">
        <v>11406</v>
      </c>
    </row>
    <row r="581" spans="1:14" s="1" customFormat="1" x14ac:dyDescent="0.35">
      <c r="A581" s="1" t="s">
        <v>0</v>
      </c>
      <c r="B581" s="1" t="s">
        <v>3356</v>
      </c>
      <c r="C581" s="1" t="s">
        <v>3601</v>
      </c>
      <c r="D581" s="1" t="s">
        <v>11405</v>
      </c>
      <c r="E581" s="1" t="str">
        <f>"6115"</f>
        <v>6115</v>
      </c>
      <c r="F581" s="1" t="str">
        <f>"015873878"</f>
        <v>015873878</v>
      </c>
      <c r="G581" s="1" t="s">
        <v>1179</v>
      </c>
      <c r="H581" s="1" t="s">
        <v>15</v>
      </c>
      <c r="I581" s="1" t="str">
        <f>"1"</f>
        <v>1</v>
      </c>
      <c r="J581" s="3" t="str">
        <f>"23738"</f>
        <v>23738</v>
      </c>
      <c r="K581" s="4">
        <v>46042</v>
      </c>
      <c r="L581" s="4">
        <v>46042</v>
      </c>
      <c r="M581" s="1" t="s">
        <v>11404</v>
      </c>
      <c r="N581" s="1" t="s">
        <v>3626</v>
      </c>
    </row>
    <row r="582" spans="1:14" s="1" customFormat="1" x14ac:dyDescent="0.35">
      <c r="A582" s="1" t="s">
        <v>0</v>
      </c>
      <c r="B582" s="1" t="s">
        <v>3356</v>
      </c>
      <c r="C582" s="1" t="s">
        <v>3601</v>
      </c>
      <c r="D582" s="1" t="s">
        <v>11403</v>
      </c>
      <c r="E582" s="1" t="str">
        <f>"2320"</f>
        <v>2320</v>
      </c>
      <c r="F582" s="1" t="str">
        <f>"015016635"</f>
        <v>015016635</v>
      </c>
      <c r="G582" s="1" t="s">
        <v>1765</v>
      </c>
      <c r="H582" s="1" t="s">
        <v>15</v>
      </c>
      <c r="I582" s="1" t="str">
        <f>"1"</f>
        <v>1</v>
      </c>
      <c r="J582" s="3" t="str">
        <f>"45602"</f>
        <v>45602</v>
      </c>
      <c r="K582" s="4">
        <v>46111</v>
      </c>
      <c r="L582" s="4">
        <v>46111</v>
      </c>
      <c r="M582" s="1" t="s">
        <v>11000</v>
      </c>
      <c r="N582" s="1" t="s">
        <v>11402</v>
      </c>
    </row>
    <row r="583" spans="1:14" s="1" customFormat="1" x14ac:dyDescent="0.35">
      <c r="A583" s="1" t="s">
        <v>0</v>
      </c>
      <c r="B583" s="1" t="s">
        <v>319</v>
      </c>
      <c r="C583" s="1" t="s">
        <v>328</v>
      </c>
      <c r="D583" s="1" t="s">
        <v>11401</v>
      </c>
      <c r="E583" s="1" t="str">
        <f>"5855"</f>
        <v>5855</v>
      </c>
      <c r="F583" s="1" t="str">
        <f>"015345931"</f>
        <v>015345931</v>
      </c>
      <c r="G583" s="1" t="s">
        <v>742</v>
      </c>
      <c r="H583" s="1" t="s">
        <v>15</v>
      </c>
      <c r="I583" s="1" t="str">
        <f>"10"</f>
        <v>10</v>
      </c>
      <c r="J583" s="3" t="str">
        <f>"970"</f>
        <v>970</v>
      </c>
      <c r="K583" s="4">
        <v>46057</v>
      </c>
      <c r="L583" s="4">
        <v>46057</v>
      </c>
      <c r="M583" s="1" t="s">
        <v>11400</v>
      </c>
      <c r="N583" s="1" t="s">
        <v>11399</v>
      </c>
    </row>
    <row r="584" spans="1:14" s="1" customFormat="1" x14ac:dyDescent="0.35">
      <c r="A584" s="1" t="s">
        <v>0</v>
      </c>
      <c r="B584" s="1" t="s">
        <v>319</v>
      </c>
      <c r="C584" s="1" t="s">
        <v>328</v>
      </c>
      <c r="D584" s="1" t="s">
        <v>11398</v>
      </c>
      <c r="E584" s="1" t="str">
        <f>"8145"</f>
        <v>8145</v>
      </c>
      <c r="F584" s="1" t="str">
        <f>"014862408"</f>
        <v>014862408</v>
      </c>
      <c r="G584" s="1" t="s">
        <v>337</v>
      </c>
      <c r="H584" s="1" t="s">
        <v>15</v>
      </c>
      <c r="I584" s="1" t="str">
        <f>"1"</f>
        <v>1</v>
      </c>
      <c r="J584" s="3">
        <v>21558.55</v>
      </c>
      <c r="K584" s="4">
        <v>46057</v>
      </c>
      <c r="L584" s="4">
        <v>46057</v>
      </c>
      <c r="M584" s="1" t="s">
        <v>11396</v>
      </c>
      <c r="N584" s="1" t="s">
        <v>11395</v>
      </c>
    </row>
    <row r="585" spans="1:14" s="1" customFormat="1" x14ac:dyDescent="0.35">
      <c r="A585" s="1" t="s">
        <v>0</v>
      </c>
      <c r="B585" s="1" t="s">
        <v>319</v>
      </c>
      <c r="C585" s="1" t="s">
        <v>328</v>
      </c>
      <c r="D585" s="1" t="s">
        <v>11397</v>
      </c>
      <c r="E585" s="1" t="str">
        <f>"8145"</f>
        <v>8145</v>
      </c>
      <c r="F585" s="1" t="str">
        <f>"014842909"</f>
        <v>014842909</v>
      </c>
      <c r="G585" s="1" t="s">
        <v>753</v>
      </c>
      <c r="H585" s="1" t="s">
        <v>15</v>
      </c>
      <c r="I585" s="1" t="str">
        <f>"1"</f>
        <v>1</v>
      </c>
      <c r="J585" s="3">
        <v>23287.62</v>
      </c>
      <c r="K585" s="4">
        <v>46057</v>
      </c>
      <c r="L585" s="4">
        <v>46057</v>
      </c>
      <c r="M585" s="1" t="s">
        <v>11396</v>
      </c>
      <c r="N585" s="1" t="s">
        <v>11395</v>
      </c>
    </row>
    <row r="586" spans="1:14" s="1" customFormat="1" x14ac:dyDescent="0.35">
      <c r="A586" s="1" t="s">
        <v>0</v>
      </c>
      <c r="B586" s="1" t="s">
        <v>319</v>
      </c>
      <c r="C586" s="1" t="s">
        <v>328</v>
      </c>
      <c r="D586" s="1" t="s">
        <v>11394</v>
      </c>
      <c r="E586" s="1" t="str">
        <f>"2320"</f>
        <v>2320</v>
      </c>
      <c r="F586" s="1" t="str">
        <f>"013469317"</f>
        <v>013469317</v>
      </c>
      <c r="G586" s="1" t="s">
        <v>1860</v>
      </c>
      <c r="H586" s="1" t="s">
        <v>15</v>
      </c>
      <c r="I586" s="1" t="str">
        <f>"1"</f>
        <v>1</v>
      </c>
      <c r="J586" s="3" t="str">
        <f>"94171"</f>
        <v>94171</v>
      </c>
      <c r="K586" s="4">
        <v>46057</v>
      </c>
      <c r="L586" s="4">
        <v>46057</v>
      </c>
      <c r="M586" s="1" t="s">
        <v>11393</v>
      </c>
      <c r="N586" s="1" t="s">
        <v>11392</v>
      </c>
    </row>
    <row r="587" spans="1:14" s="1" customFormat="1" x14ac:dyDescent="0.35">
      <c r="A587" s="1" t="s">
        <v>0</v>
      </c>
      <c r="B587" s="1" t="s">
        <v>3356</v>
      </c>
      <c r="C587" s="1" t="s">
        <v>3643</v>
      </c>
      <c r="D587" s="1" t="s">
        <v>11391</v>
      </c>
      <c r="E587" s="1" t="str">
        <f>"2805"</f>
        <v>2805</v>
      </c>
      <c r="F587" s="1" t="str">
        <f>"016279670"</f>
        <v>016279670</v>
      </c>
      <c r="G587" s="1" t="s">
        <v>4158</v>
      </c>
      <c r="H587" s="1" t="s">
        <v>15</v>
      </c>
      <c r="I587" s="1" t="str">
        <f>"1"</f>
        <v>1</v>
      </c>
      <c r="J587" s="3" t="str">
        <f>"14944"</f>
        <v>14944</v>
      </c>
      <c r="K587" s="4">
        <v>46047</v>
      </c>
      <c r="L587" s="4">
        <v>46048</v>
      </c>
      <c r="M587" s="1" t="s">
        <v>11390</v>
      </c>
      <c r="N587" s="1" t="s">
        <v>7598</v>
      </c>
    </row>
    <row r="588" spans="1:14" s="1" customFormat="1" x14ac:dyDescent="0.35">
      <c r="A588" s="1" t="s">
        <v>0</v>
      </c>
      <c r="B588" s="1" t="s">
        <v>3356</v>
      </c>
      <c r="C588" s="1" t="s">
        <v>3643</v>
      </c>
      <c r="D588" s="1" t="s">
        <v>11389</v>
      </c>
      <c r="E588" s="1" t="str">
        <f>"2805"</f>
        <v>2805</v>
      </c>
      <c r="F588" s="1" t="str">
        <f>"016279670"</f>
        <v>016279670</v>
      </c>
      <c r="G588" s="1" t="s">
        <v>4158</v>
      </c>
      <c r="H588" s="1" t="s">
        <v>15</v>
      </c>
      <c r="I588" s="1" t="str">
        <f>"1"</f>
        <v>1</v>
      </c>
      <c r="J588" s="3" t="str">
        <f>"14944"</f>
        <v>14944</v>
      </c>
      <c r="K588" s="4">
        <v>46047</v>
      </c>
      <c r="L588" s="4">
        <v>46048</v>
      </c>
      <c r="M588" s="1" t="s">
        <v>11388</v>
      </c>
      <c r="N588" s="1" t="s">
        <v>7598</v>
      </c>
    </row>
    <row r="589" spans="1:14" s="1" customFormat="1" x14ac:dyDescent="0.35">
      <c r="A589" s="1" t="s">
        <v>0</v>
      </c>
      <c r="B589" s="1" t="s">
        <v>3356</v>
      </c>
      <c r="C589" s="1" t="s">
        <v>3643</v>
      </c>
      <c r="D589" s="1" t="s">
        <v>11387</v>
      </c>
      <c r="E589" s="1" t="str">
        <f>"2310"</f>
        <v>2310</v>
      </c>
      <c r="F589" s="1" t="str">
        <f>"014998019"</f>
        <v>014998019</v>
      </c>
      <c r="G589" s="1" t="s">
        <v>4671</v>
      </c>
      <c r="H589" s="1" t="s">
        <v>15</v>
      </c>
      <c r="I589" s="1" t="str">
        <f>"1"</f>
        <v>1</v>
      </c>
      <c r="J589" s="3" t="str">
        <f>"165000"</f>
        <v>165000</v>
      </c>
      <c r="K589" s="4">
        <v>46080</v>
      </c>
      <c r="L589" s="4">
        <v>46080</v>
      </c>
      <c r="M589" s="1" t="s">
        <v>11000</v>
      </c>
      <c r="N589" s="1" t="s">
        <v>11386</v>
      </c>
    </row>
    <row r="590" spans="1:14" s="1" customFormat="1" x14ac:dyDescent="0.35">
      <c r="A590" s="1" t="s">
        <v>0</v>
      </c>
      <c r="B590" s="1" t="s">
        <v>3356</v>
      </c>
      <c r="C590" s="1" t="s">
        <v>3643</v>
      </c>
      <c r="D590" s="1" t="s">
        <v>11385</v>
      </c>
      <c r="E590" s="1" t="str">
        <f>"2330"</f>
        <v>2330</v>
      </c>
      <c r="F590" s="1" t="s">
        <v>104</v>
      </c>
      <c r="G590" s="1" t="s">
        <v>105</v>
      </c>
      <c r="H590" s="1" t="s">
        <v>15</v>
      </c>
      <c r="I590" s="1" t="str">
        <f>"1"</f>
        <v>1</v>
      </c>
      <c r="J590" s="3" t="str">
        <f>"5000"</f>
        <v>5000</v>
      </c>
      <c r="K590" s="4">
        <v>46080</v>
      </c>
      <c r="L590" s="4">
        <v>46080</v>
      </c>
      <c r="M590" s="1" t="s">
        <v>11384</v>
      </c>
      <c r="N590" s="1" t="s">
        <v>11383</v>
      </c>
    </row>
    <row r="591" spans="1:14" s="1" customFormat="1" x14ac:dyDescent="0.35">
      <c r="A591" s="1" t="s">
        <v>0</v>
      </c>
      <c r="B591" s="1" t="s">
        <v>3356</v>
      </c>
      <c r="C591" s="1" t="s">
        <v>3643</v>
      </c>
      <c r="D591" s="1" t="s">
        <v>11382</v>
      </c>
      <c r="E591" s="1" t="str">
        <f>"2330"</f>
        <v>2330</v>
      </c>
      <c r="F591" s="1" t="str">
        <f>"010911710"</f>
        <v>010911710</v>
      </c>
      <c r="G591" s="1" t="s">
        <v>3511</v>
      </c>
      <c r="H591" s="1" t="s">
        <v>15</v>
      </c>
      <c r="I591" s="1" t="str">
        <f>"1"</f>
        <v>1</v>
      </c>
      <c r="J591" s="3" t="str">
        <f>"4200"</f>
        <v>4200</v>
      </c>
      <c r="K591" s="4">
        <v>46082</v>
      </c>
      <c r="L591" s="4">
        <v>46083</v>
      </c>
      <c r="M591" s="1" t="s">
        <v>11171</v>
      </c>
      <c r="N591" s="1" t="s">
        <v>11381</v>
      </c>
    </row>
    <row r="592" spans="1:14" s="1" customFormat="1" x14ac:dyDescent="0.35">
      <c r="A592" s="1" t="s">
        <v>0</v>
      </c>
      <c r="B592" s="1" t="s">
        <v>3356</v>
      </c>
      <c r="C592" s="1" t="s">
        <v>3643</v>
      </c>
      <c r="D592" s="1" t="s">
        <v>11380</v>
      </c>
      <c r="E592" s="1" t="str">
        <f>"2320"</f>
        <v>2320</v>
      </c>
      <c r="F592" s="1" t="str">
        <f>"014225414"</f>
        <v>014225414</v>
      </c>
      <c r="G592" s="1" t="s">
        <v>1762</v>
      </c>
      <c r="H592" s="1" t="s">
        <v>15</v>
      </c>
      <c r="I592" s="1" t="str">
        <f>"1"</f>
        <v>1</v>
      </c>
      <c r="J592" s="3" t="str">
        <f>"182215"</f>
        <v>182215</v>
      </c>
      <c r="K592" s="4">
        <v>46082</v>
      </c>
      <c r="L592" s="4">
        <v>46083</v>
      </c>
      <c r="M592" s="1" t="s">
        <v>11379</v>
      </c>
      <c r="N592" s="1" t="s">
        <v>11378</v>
      </c>
    </row>
    <row r="593" spans="1:14" s="1" customFormat="1" x14ac:dyDescent="0.35">
      <c r="A593" s="1" t="s">
        <v>0</v>
      </c>
      <c r="B593" s="1" t="s">
        <v>3356</v>
      </c>
      <c r="C593" s="1" t="s">
        <v>3643</v>
      </c>
      <c r="D593" s="1" t="s">
        <v>11377</v>
      </c>
      <c r="E593" s="1" t="str">
        <f>"2330"</f>
        <v>2330</v>
      </c>
      <c r="F593" s="1" t="s">
        <v>104</v>
      </c>
      <c r="G593" s="1" t="s">
        <v>105</v>
      </c>
      <c r="H593" s="1" t="s">
        <v>15</v>
      </c>
      <c r="I593" s="1" t="str">
        <f>"1"</f>
        <v>1</v>
      </c>
      <c r="J593" s="3" t="str">
        <f>"10000"</f>
        <v>10000</v>
      </c>
      <c r="K593" s="4">
        <v>46095</v>
      </c>
      <c r="L593" s="4">
        <v>46097</v>
      </c>
      <c r="M593" s="1" t="s">
        <v>11376</v>
      </c>
      <c r="N593" s="1" t="s">
        <v>11375</v>
      </c>
    </row>
    <row r="594" spans="1:14" s="1" customFormat="1" x14ac:dyDescent="0.35">
      <c r="A594" s="1" t="s">
        <v>0</v>
      </c>
      <c r="B594" s="1" t="s">
        <v>3356</v>
      </c>
      <c r="C594" s="1" t="s">
        <v>3643</v>
      </c>
      <c r="D594" s="1" t="s">
        <v>11374</v>
      </c>
      <c r="E594" s="1" t="str">
        <f>"2320"</f>
        <v>2320</v>
      </c>
      <c r="F594" s="1" t="s">
        <v>100</v>
      </c>
      <c r="G594" s="1" t="s">
        <v>101</v>
      </c>
      <c r="H594" s="1" t="s">
        <v>15</v>
      </c>
      <c r="I594" s="1" t="str">
        <f>"1"</f>
        <v>1</v>
      </c>
      <c r="J594" s="3" t="str">
        <f>"61735"</f>
        <v>61735</v>
      </c>
      <c r="K594" s="4">
        <v>46095</v>
      </c>
      <c r="L594" s="4">
        <v>46097</v>
      </c>
      <c r="M594" s="1" t="s">
        <v>11373</v>
      </c>
      <c r="N594" s="1" t="s">
        <v>11372</v>
      </c>
    </row>
    <row r="595" spans="1:14" s="1" customFormat="1" x14ac:dyDescent="0.35">
      <c r="A595" s="1" t="s">
        <v>0</v>
      </c>
      <c r="B595" s="1" t="s">
        <v>3356</v>
      </c>
      <c r="C595" s="1" t="s">
        <v>3643</v>
      </c>
      <c r="D595" s="1" t="s">
        <v>11371</v>
      </c>
      <c r="E595" s="1" t="str">
        <f>"2320"</f>
        <v>2320</v>
      </c>
      <c r="F595" s="1" t="str">
        <f>"010907892"</f>
        <v>010907892</v>
      </c>
      <c r="G595" s="1" t="s">
        <v>930</v>
      </c>
      <c r="H595" s="1" t="s">
        <v>15</v>
      </c>
      <c r="I595" s="1" t="str">
        <f>"2"</f>
        <v>2</v>
      </c>
      <c r="J595" s="3" t="str">
        <f>"23000"</f>
        <v>23000</v>
      </c>
      <c r="K595" s="4">
        <v>46095</v>
      </c>
      <c r="L595" s="4">
        <v>46098</v>
      </c>
      <c r="M595" s="1" t="s">
        <v>11171</v>
      </c>
      <c r="N595" s="1" t="s">
        <v>11370</v>
      </c>
    </row>
    <row r="596" spans="1:14" s="1" customFormat="1" x14ac:dyDescent="0.35">
      <c r="A596" s="1" t="s">
        <v>0</v>
      </c>
      <c r="B596" s="1" t="s">
        <v>3356</v>
      </c>
      <c r="C596" s="1" t="s">
        <v>3643</v>
      </c>
      <c r="D596" s="1" t="s">
        <v>11369</v>
      </c>
      <c r="E596" s="1" t="str">
        <f>"1940"</f>
        <v>1940</v>
      </c>
      <c r="F596" s="1" t="s">
        <v>1898</v>
      </c>
      <c r="G596" s="1" t="s">
        <v>1899</v>
      </c>
      <c r="H596" s="1" t="s">
        <v>15</v>
      </c>
      <c r="I596" s="1" t="str">
        <f>"1"</f>
        <v>1</v>
      </c>
      <c r="J596" s="3" t="str">
        <f>"259000"</f>
        <v>259000</v>
      </c>
      <c r="K596" s="4">
        <v>46095</v>
      </c>
      <c r="L596" s="4">
        <v>46097</v>
      </c>
      <c r="M596" s="1" t="s">
        <v>11162</v>
      </c>
      <c r="N596" s="1" t="s">
        <v>11368</v>
      </c>
    </row>
    <row r="597" spans="1:14" s="1" customFormat="1" x14ac:dyDescent="0.35">
      <c r="A597" s="1" t="s">
        <v>0</v>
      </c>
      <c r="B597" s="1" t="s">
        <v>3356</v>
      </c>
      <c r="C597" s="1" t="s">
        <v>3643</v>
      </c>
      <c r="D597" s="1" t="s">
        <v>11367</v>
      </c>
      <c r="E597" s="1" t="str">
        <f>"2310"</f>
        <v>2310</v>
      </c>
      <c r="F597" s="1" t="s">
        <v>4332</v>
      </c>
      <c r="G597" s="1" t="s">
        <v>4333</v>
      </c>
      <c r="H597" s="1" t="s">
        <v>15</v>
      </c>
      <c r="I597" s="1" t="str">
        <f>"1"</f>
        <v>1</v>
      </c>
      <c r="J597" s="3">
        <v>26812.5</v>
      </c>
      <c r="K597" s="4">
        <v>46095</v>
      </c>
      <c r="L597" s="4">
        <v>46097</v>
      </c>
      <c r="M597" s="1" t="s">
        <v>11366</v>
      </c>
      <c r="N597" s="1" t="s">
        <v>11365</v>
      </c>
    </row>
    <row r="598" spans="1:14" s="1" customFormat="1" x14ac:dyDescent="0.35">
      <c r="A598" s="1" t="s">
        <v>0</v>
      </c>
      <c r="B598" s="1" t="s">
        <v>3356</v>
      </c>
      <c r="C598" s="1" t="s">
        <v>3643</v>
      </c>
      <c r="D598" s="1" t="s">
        <v>11364</v>
      </c>
      <c r="E598" s="1" t="str">
        <f>"2340"</f>
        <v>2340</v>
      </c>
      <c r="F598" s="1" t="s">
        <v>1071</v>
      </c>
      <c r="G598" s="1" t="s">
        <v>1072</v>
      </c>
      <c r="H598" s="1" t="s">
        <v>15</v>
      </c>
      <c r="I598" s="1" t="str">
        <f>"1"</f>
        <v>1</v>
      </c>
      <c r="J598" s="3" t="str">
        <f>"5000"</f>
        <v>5000</v>
      </c>
      <c r="K598" s="4">
        <v>46095</v>
      </c>
      <c r="L598" s="4">
        <v>46097</v>
      </c>
      <c r="M598" s="1" t="s">
        <v>11168</v>
      </c>
      <c r="N598" s="1" t="s">
        <v>7569</v>
      </c>
    </row>
    <row r="599" spans="1:14" s="1" customFormat="1" x14ac:dyDescent="0.35">
      <c r="A599" s="1" t="s">
        <v>0</v>
      </c>
      <c r="B599" s="1" t="s">
        <v>3356</v>
      </c>
      <c r="C599" s="1" t="s">
        <v>3643</v>
      </c>
      <c r="D599" s="1" t="s">
        <v>11363</v>
      </c>
      <c r="E599" s="1" t="str">
        <f>"2340"</f>
        <v>2340</v>
      </c>
      <c r="F599" s="1" t="s">
        <v>1071</v>
      </c>
      <c r="G599" s="1" t="s">
        <v>1072</v>
      </c>
      <c r="H599" s="1" t="s">
        <v>15</v>
      </c>
      <c r="I599" s="1" t="str">
        <f>"1"</f>
        <v>1</v>
      </c>
      <c r="J599" s="3" t="str">
        <f>"5000"</f>
        <v>5000</v>
      </c>
      <c r="K599" s="4">
        <v>46095</v>
      </c>
      <c r="L599" s="4">
        <v>46097</v>
      </c>
      <c r="M599" s="1" t="s">
        <v>11168</v>
      </c>
      <c r="N599" s="1" t="s">
        <v>7569</v>
      </c>
    </row>
    <row r="600" spans="1:14" s="1" customFormat="1" x14ac:dyDescent="0.35">
      <c r="A600" s="1" t="s">
        <v>0</v>
      </c>
      <c r="B600" s="1" t="s">
        <v>3356</v>
      </c>
      <c r="C600" s="1" t="s">
        <v>3643</v>
      </c>
      <c r="D600" s="1" t="s">
        <v>11362</v>
      </c>
      <c r="E600" s="1" t="str">
        <f>"3805"</f>
        <v>3805</v>
      </c>
      <c r="F600" s="1" t="s">
        <v>1020</v>
      </c>
      <c r="G600" s="1" t="s">
        <v>1021</v>
      </c>
      <c r="H600" s="1" t="s">
        <v>15</v>
      </c>
      <c r="I600" s="1" t="str">
        <f>"1"</f>
        <v>1</v>
      </c>
      <c r="J600" s="3">
        <v>102143.01</v>
      </c>
      <c r="K600" s="4">
        <v>46103</v>
      </c>
      <c r="L600" s="4">
        <v>46103</v>
      </c>
      <c r="M600" s="1" t="s">
        <v>11150</v>
      </c>
      <c r="N600" s="1" t="s">
        <v>11361</v>
      </c>
    </row>
    <row r="601" spans="1:14" s="1" customFormat="1" x14ac:dyDescent="0.35">
      <c r="A601" s="1" t="s">
        <v>0</v>
      </c>
      <c r="B601" s="1" t="s">
        <v>1989</v>
      </c>
      <c r="C601" s="1" t="s">
        <v>7508</v>
      </c>
      <c r="D601" s="1" t="s">
        <v>11360</v>
      </c>
      <c r="E601" s="1" t="str">
        <f>"2340"</f>
        <v>2340</v>
      </c>
      <c r="F601" s="1" t="s">
        <v>1071</v>
      </c>
      <c r="G601" s="1" t="s">
        <v>1072</v>
      </c>
      <c r="H601" s="1" t="s">
        <v>15</v>
      </c>
      <c r="I601" s="1" t="str">
        <f>"1"</f>
        <v>1</v>
      </c>
      <c r="J601" s="3" t="str">
        <f>"5000"</f>
        <v>5000</v>
      </c>
      <c r="K601" s="4">
        <v>46097</v>
      </c>
      <c r="L601" s="4">
        <v>46098</v>
      </c>
      <c r="M601" s="1" t="s">
        <v>11298</v>
      </c>
      <c r="N601" s="1" t="s">
        <v>7505</v>
      </c>
    </row>
    <row r="602" spans="1:14" s="1" customFormat="1" x14ac:dyDescent="0.35">
      <c r="A602" s="1" t="s">
        <v>0</v>
      </c>
      <c r="B602" s="1" t="s">
        <v>73</v>
      </c>
      <c r="C602" s="1" t="s">
        <v>207</v>
      </c>
      <c r="D602" s="1" t="s">
        <v>11359</v>
      </c>
      <c r="E602" s="1" t="str">
        <f>"5855"</f>
        <v>5855</v>
      </c>
      <c r="F602" s="1" t="str">
        <f>"015345931"</f>
        <v>015345931</v>
      </c>
      <c r="G602" s="1" t="s">
        <v>742</v>
      </c>
      <c r="H602" s="1" t="s">
        <v>15</v>
      </c>
      <c r="I602" s="1" t="str">
        <f>"4"</f>
        <v>4</v>
      </c>
      <c r="J602" s="3" t="str">
        <f>"970"</f>
        <v>970</v>
      </c>
      <c r="K602" s="4">
        <v>46042</v>
      </c>
      <c r="L602" s="4">
        <v>46045</v>
      </c>
      <c r="M602" s="1" t="s">
        <v>11071</v>
      </c>
      <c r="N602" s="1" t="s">
        <v>11357</v>
      </c>
    </row>
    <row r="603" spans="1:14" s="1" customFormat="1" x14ac:dyDescent="0.35">
      <c r="A603" s="1" t="s">
        <v>0</v>
      </c>
      <c r="B603" s="1" t="s">
        <v>73</v>
      </c>
      <c r="C603" s="1" t="s">
        <v>207</v>
      </c>
      <c r="D603" s="1" t="s">
        <v>11358</v>
      </c>
      <c r="E603" s="1" t="str">
        <f>"5855"</f>
        <v>5855</v>
      </c>
      <c r="F603" s="1" t="str">
        <f>"015345931"</f>
        <v>015345931</v>
      </c>
      <c r="G603" s="1" t="s">
        <v>742</v>
      </c>
      <c r="H603" s="1" t="s">
        <v>15</v>
      </c>
      <c r="I603" s="1" t="str">
        <f>"1"</f>
        <v>1</v>
      </c>
      <c r="J603" s="3" t="str">
        <f>"970"</f>
        <v>970</v>
      </c>
      <c r="K603" s="4">
        <v>46042</v>
      </c>
      <c r="L603" s="4">
        <v>46045</v>
      </c>
      <c r="M603" s="1" t="s">
        <v>11071</v>
      </c>
      <c r="N603" s="1" t="s">
        <v>11357</v>
      </c>
    </row>
    <row r="604" spans="1:14" s="1" customFormat="1" x14ac:dyDescent="0.35">
      <c r="A604" s="1" t="s">
        <v>0</v>
      </c>
      <c r="B604" s="1" t="s">
        <v>73</v>
      </c>
      <c r="C604" s="1" t="s">
        <v>207</v>
      </c>
      <c r="D604" s="1" t="s">
        <v>11356</v>
      </c>
      <c r="E604" s="1" t="str">
        <f>"5855"</f>
        <v>5855</v>
      </c>
      <c r="F604" s="1" t="str">
        <f>"015959294"</f>
        <v>015959294</v>
      </c>
      <c r="G604" s="1" t="s">
        <v>1188</v>
      </c>
      <c r="H604" s="1" t="s">
        <v>15</v>
      </c>
      <c r="I604" s="1" t="str">
        <f>"1"</f>
        <v>1</v>
      </c>
      <c r="J604" s="3" t="str">
        <f>"18055"</f>
        <v>18055</v>
      </c>
      <c r="K604" s="4">
        <v>46042</v>
      </c>
      <c r="L604" s="4">
        <v>46045</v>
      </c>
      <c r="M604" s="1" t="s">
        <v>11071</v>
      </c>
      <c r="N604" s="1" t="s">
        <v>11355</v>
      </c>
    </row>
    <row r="605" spans="1:14" s="1" customFormat="1" x14ac:dyDescent="0.35">
      <c r="A605" s="1" t="s">
        <v>0</v>
      </c>
      <c r="B605" s="1" t="s">
        <v>73</v>
      </c>
      <c r="C605" s="1" t="s">
        <v>207</v>
      </c>
      <c r="D605" s="1" t="s">
        <v>11354</v>
      </c>
      <c r="E605" s="1" t="str">
        <f>"1240"</f>
        <v>1240</v>
      </c>
      <c r="F605" s="1" t="str">
        <f>"014111265"</f>
        <v>014111265</v>
      </c>
      <c r="G605" s="1" t="s">
        <v>71</v>
      </c>
      <c r="H605" s="1" t="s">
        <v>15</v>
      </c>
      <c r="I605" s="1" t="str">
        <f>"6"</f>
        <v>6</v>
      </c>
      <c r="J605" s="3" t="str">
        <f>"339"</f>
        <v>339</v>
      </c>
      <c r="K605" s="4">
        <v>46042</v>
      </c>
      <c r="L605" s="4">
        <v>46045</v>
      </c>
      <c r="M605" s="1" t="s">
        <v>11071</v>
      </c>
      <c r="N605" s="1" t="s">
        <v>11353</v>
      </c>
    </row>
    <row r="606" spans="1:14" s="1" customFormat="1" x14ac:dyDescent="0.35">
      <c r="A606" s="1" t="s">
        <v>0</v>
      </c>
      <c r="B606" s="1" t="s">
        <v>73</v>
      </c>
      <c r="C606" s="1" t="s">
        <v>207</v>
      </c>
      <c r="D606" s="1" t="s">
        <v>11352</v>
      </c>
      <c r="E606" s="1" t="str">
        <f>"5855"</f>
        <v>5855</v>
      </c>
      <c r="F606" s="1" t="str">
        <f>"015380191"</f>
        <v>015380191</v>
      </c>
      <c r="G606" s="1" t="s">
        <v>742</v>
      </c>
      <c r="H606" s="1" t="s">
        <v>15</v>
      </c>
      <c r="I606" s="1" t="str">
        <f>"1"</f>
        <v>1</v>
      </c>
      <c r="J606" s="3" t="str">
        <f>"1073"</f>
        <v>1073</v>
      </c>
      <c r="K606" s="4">
        <v>46042</v>
      </c>
      <c r="L606" s="4">
        <v>46045</v>
      </c>
      <c r="M606" s="1" t="s">
        <v>11071</v>
      </c>
      <c r="N606" s="1" t="s">
        <v>11348</v>
      </c>
    </row>
    <row r="607" spans="1:14" s="1" customFormat="1" x14ac:dyDescent="0.35">
      <c r="A607" s="1" t="s">
        <v>0</v>
      </c>
      <c r="B607" s="1" t="s">
        <v>73</v>
      </c>
      <c r="C607" s="1" t="s">
        <v>207</v>
      </c>
      <c r="D607" s="1" t="s">
        <v>11351</v>
      </c>
      <c r="E607" s="1" t="str">
        <f>"5855"</f>
        <v>5855</v>
      </c>
      <c r="F607" s="1" t="str">
        <f>"015380191"</f>
        <v>015380191</v>
      </c>
      <c r="G607" s="1" t="s">
        <v>742</v>
      </c>
      <c r="H607" s="1" t="s">
        <v>15</v>
      </c>
      <c r="I607" s="1" t="str">
        <f>"1"</f>
        <v>1</v>
      </c>
      <c r="J607" s="3" t="str">
        <f>"1073"</f>
        <v>1073</v>
      </c>
      <c r="K607" s="4">
        <v>46042</v>
      </c>
      <c r="L607" s="4">
        <v>46050</v>
      </c>
      <c r="M607" s="1" t="s">
        <v>11071</v>
      </c>
      <c r="N607" s="1" t="s">
        <v>11348</v>
      </c>
    </row>
    <row r="608" spans="1:14" s="1" customFormat="1" x14ac:dyDescent="0.35">
      <c r="A608" s="1" t="s">
        <v>0</v>
      </c>
      <c r="B608" s="1" t="s">
        <v>73</v>
      </c>
      <c r="C608" s="1" t="s">
        <v>207</v>
      </c>
      <c r="D608" s="1" t="s">
        <v>11350</v>
      </c>
      <c r="E608" s="1" t="str">
        <f>"5855"</f>
        <v>5855</v>
      </c>
      <c r="F608" s="1" t="str">
        <f>"015380191"</f>
        <v>015380191</v>
      </c>
      <c r="G608" s="1" t="s">
        <v>742</v>
      </c>
      <c r="H608" s="1" t="s">
        <v>15</v>
      </c>
      <c r="I608" s="1" t="str">
        <f>"1"</f>
        <v>1</v>
      </c>
      <c r="J608" s="3" t="str">
        <f>"1073"</f>
        <v>1073</v>
      </c>
      <c r="K608" s="4">
        <v>46042</v>
      </c>
      <c r="L608" s="4">
        <v>46045</v>
      </c>
      <c r="M608" s="1" t="s">
        <v>11071</v>
      </c>
      <c r="N608" s="1" t="s">
        <v>11348</v>
      </c>
    </row>
    <row r="609" spans="1:14" s="1" customFormat="1" x14ac:dyDescent="0.35">
      <c r="A609" s="1" t="s">
        <v>0</v>
      </c>
      <c r="B609" s="1" t="s">
        <v>73</v>
      </c>
      <c r="C609" s="1" t="s">
        <v>207</v>
      </c>
      <c r="D609" s="1" t="s">
        <v>11349</v>
      </c>
      <c r="E609" s="1" t="str">
        <f>"5855"</f>
        <v>5855</v>
      </c>
      <c r="F609" s="1" t="str">
        <f>"015380191"</f>
        <v>015380191</v>
      </c>
      <c r="G609" s="1" t="s">
        <v>742</v>
      </c>
      <c r="H609" s="1" t="s">
        <v>15</v>
      </c>
      <c r="I609" s="1" t="str">
        <f>"1"</f>
        <v>1</v>
      </c>
      <c r="J609" s="3" t="str">
        <f>"1073"</f>
        <v>1073</v>
      </c>
      <c r="K609" s="4">
        <v>46042</v>
      </c>
      <c r="L609" s="4">
        <v>46045</v>
      </c>
      <c r="M609" s="1" t="s">
        <v>11071</v>
      </c>
      <c r="N609" s="1" t="s">
        <v>11348</v>
      </c>
    </row>
    <row r="610" spans="1:14" s="1" customFormat="1" x14ac:dyDescent="0.35">
      <c r="A610" s="1" t="s">
        <v>0</v>
      </c>
      <c r="B610" s="1" t="s">
        <v>73</v>
      </c>
      <c r="C610" s="1" t="s">
        <v>207</v>
      </c>
      <c r="D610" s="1" t="s">
        <v>11347</v>
      </c>
      <c r="E610" s="1" t="str">
        <f>"5855"</f>
        <v>5855</v>
      </c>
      <c r="F610" s="1" t="str">
        <f>"015380191"</f>
        <v>015380191</v>
      </c>
      <c r="G610" s="1" t="s">
        <v>742</v>
      </c>
      <c r="H610" s="1" t="s">
        <v>15</v>
      </c>
      <c r="I610" s="1" t="str">
        <f>"1"</f>
        <v>1</v>
      </c>
      <c r="J610" s="3" t="str">
        <f>"1073"</f>
        <v>1073</v>
      </c>
      <c r="K610" s="4">
        <v>46042</v>
      </c>
      <c r="L610" s="4">
        <v>46045</v>
      </c>
      <c r="M610" s="1" t="s">
        <v>11071</v>
      </c>
      <c r="N610" s="1" t="s">
        <v>11343</v>
      </c>
    </row>
    <row r="611" spans="1:14" s="1" customFormat="1" x14ac:dyDescent="0.35">
      <c r="A611" s="1" t="s">
        <v>0</v>
      </c>
      <c r="B611" s="1" t="s">
        <v>73</v>
      </c>
      <c r="C611" s="1" t="s">
        <v>207</v>
      </c>
      <c r="D611" s="1" t="s">
        <v>11346</v>
      </c>
      <c r="E611" s="1" t="str">
        <f>"5855"</f>
        <v>5855</v>
      </c>
      <c r="F611" s="1" t="str">
        <f>"015380191"</f>
        <v>015380191</v>
      </c>
      <c r="G611" s="1" t="s">
        <v>742</v>
      </c>
      <c r="H611" s="1" t="s">
        <v>15</v>
      </c>
      <c r="I611" s="1" t="str">
        <f>"1"</f>
        <v>1</v>
      </c>
      <c r="J611" s="3" t="str">
        <f>"1073"</f>
        <v>1073</v>
      </c>
      <c r="K611" s="4">
        <v>46042</v>
      </c>
      <c r="L611" s="4">
        <v>46045</v>
      </c>
      <c r="M611" s="1" t="s">
        <v>11071</v>
      </c>
      <c r="N611" s="1" t="s">
        <v>11343</v>
      </c>
    </row>
    <row r="612" spans="1:14" s="1" customFormat="1" x14ac:dyDescent="0.35">
      <c r="A612" s="1" t="s">
        <v>0</v>
      </c>
      <c r="B612" s="1" t="s">
        <v>73</v>
      </c>
      <c r="C612" s="1" t="s">
        <v>207</v>
      </c>
      <c r="D612" s="1" t="s">
        <v>11345</v>
      </c>
      <c r="E612" s="1" t="str">
        <f>"5855"</f>
        <v>5855</v>
      </c>
      <c r="F612" s="1" t="str">
        <f>"015380191"</f>
        <v>015380191</v>
      </c>
      <c r="G612" s="1" t="s">
        <v>742</v>
      </c>
      <c r="H612" s="1" t="s">
        <v>15</v>
      </c>
      <c r="I612" s="1" t="str">
        <f>"1"</f>
        <v>1</v>
      </c>
      <c r="J612" s="3" t="str">
        <f>"1073"</f>
        <v>1073</v>
      </c>
      <c r="K612" s="4">
        <v>46042</v>
      </c>
      <c r="L612" s="4">
        <v>46045</v>
      </c>
      <c r="M612" s="1" t="s">
        <v>11071</v>
      </c>
      <c r="N612" s="1" t="s">
        <v>11343</v>
      </c>
    </row>
    <row r="613" spans="1:14" s="1" customFormat="1" x14ac:dyDescent="0.35">
      <c r="A613" s="1" t="s">
        <v>0</v>
      </c>
      <c r="B613" s="1" t="s">
        <v>73</v>
      </c>
      <c r="C613" s="1" t="s">
        <v>207</v>
      </c>
      <c r="D613" s="1" t="s">
        <v>11344</v>
      </c>
      <c r="E613" s="1" t="str">
        <f>"5855"</f>
        <v>5855</v>
      </c>
      <c r="F613" s="1" t="str">
        <f>"015380191"</f>
        <v>015380191</v>
      </c>
      <c r="G613" s="1" t="s">
        <v>742</v>
      </c>
      <c r="H613" s="1" t="s">
        <v>15</v>
      </c>
      <c r="I613" s="1" t="str">
        <f>"1"</f>
        <v>1</v>
      </c>
      <c r="J613" s="3" t="str">
        <f>"1073"</f>
        <v>1073</v>
      </c>
      <c r="K613" s="4">
        <v>46042</v>
      </c>
      <c r="L613" s="4">
        <v>46045</v>
      </c>
      <c r="M613" s="1" t="s">
        <v>11071</v>
      </c>
      <c r="N613" s="1" t="s">
        <v>11343</v>
      </c>
    </row>
    <row r="614" spans="1:14" s="1" customFormat="1" x14ac:dyDescent="0.35">
      <c r="A614" s="1" t="s">
        <v>0</v>
      </c>
      <c r="B614" s="1" t="s">
        <v>1013</v>
      </c>
      <c r="C614" s="1" t="s">
        <v>7470</v>
      </c>
      <c r="D614" s="1" t="s">
        <v>11342</v>
      </c>
      <c r="E614" s="1" t="str">
        <f>"2320"</f>
        <v>2320</v>
      </c>
      <c r="F614" s="1" t="str">
        <f>"013469317"</f>
        <v>013469317</v>
      </c>
      <c r="G614" s="1" t="s">
        <v>1860</v>
      </c>
      <c r="H614" s="1" t="s">
        <v>15</v>
      </c>
      <c r="I614" s="1" t="str">
        <f>"1"</f>
        <v>1</v>
      </c>
      <c r="J614" s="3" t="str">
        <f>"94171"</f>
        <v>94171</v>
      </c>
      <c r="K614" s="4">
        <v>46093</v>
      </c>
      <c r="L614" s="4">
        <v>46104</v>
      </c>
      <c r="M614" s="1" t="s">
        <v>11341</v>
      </c>
      <c r="N614" s="1" t="s">
        <v>11340</v>
      </c>
    </row>
    <row r="615" spans="1:14" s="1" customFormat="1" x14ac:dyDescent="0.35">
      <c r="A615" s="1" t="s">
        <v>0</v>
      </c>
      <c r="B615" s="1" t="s">
        <v>1013</v>
      </c>
      <c r="C615" s="1" t="s">
        <v>7470</v>
      </c>
      <c r="D615" s="1" t="s">
        <v>11339</v>
      </c>
      <c r="E615" s="1" t="str">
        <f>"2320"</f>
        <v>2320</v>
      </c>
      <c r="F615" s="1" t="str">
        <f>"015187332"</f>
        <v>015187332</v>
      </c>
      <c r="G615" s="1" t="s">
        <v>1860</v>
      </c>
      <c r="H615" s="1" t="s">
        <v>15</v>
      </c>
      <c r="I615" s="1" t="str">
        <f>"1"</f>
        <v>1</v>
      </c>
      <c r="J615" s="3" t="str">
        <f>"143579"</f>
        <v>143579</v>
      </c>
      <c r="K615" s="4">
        <v>46093</v>
      </c>
      <c r="L615" s="4">
        <v>46097</v>
      </c>
      <c r="M615" s="1" t="s">
        <v>11336</v>
      </c>
      <c r="N615" s="1" t="s">
        <v>11331</v>
      </c>
    </row>
    <row r="616" spans="1:14" s="1" customFormat="1" x14ac:dyDescent="0.35">
      <c r="A616" s="1" t="s">
        <v>0</v>
      </c>
      <c r="B616" s="1" t="s">
        <v>1013</v>
      </c>
      <c r="C616" s="1" t="s">
        <v>7470</v>
      </c>
      <c r="D616" s="1" t="s">
        <v>11338</v>
      </c>
      <c r="E616" s="1" t="str">
        <f>"2320"</f>
        <v>2320</v>
      </c>
      <c r="F616" s="1" t="str">
        <f>"013469317"</f>
        <v>013469317</v>
      </c>
      <c r="G616" s="1" t="s">
        <v>1860</v>
      </c>
      <c r="H616" s="1" t="s">
        <v>15</v>
      </c>
      <c r="I616" s="1" t="str">
        <f>"1"</f>
        <v>1</v>
      </c>
      <c r="J616" s="3" t="str">
        <f>"94171"</f>
        <v>94171</v>
      </c>
      <c r="K616" s="4">
        <v>46093</v>
      </c>
      <c r="L616" s="4">
        <v>46097</v>
      </c>
      <c r="M616" s="1" t="s">
        <v>11336</v>
      </c>
      <c r="N616" s="1" t="s">
        <v>11335</v>
      </c>
    </row>
    <row r="617" spans="1:14" s="1" customFormat="1" x14ac:dyDescent="0.35">
      <c r="A617" s="1" t="s">
        <v>0</v>
      </c>
      <c r="B617" s="1" t="s">
        <v>1013</v>
      </c>
      <c r="C617" s="1" t="s">
        <v>7470</v>
      </c>
      <c r="D617" s="1" t="s">
        <v>11337</v>
      </c>
      <c r="E617" s="1" t="str">
        <f>"2320"</f>
        <v>2320</v>
      </c>
      <c r="F617" s="1" t="str">
        <f>"013469317"</f>
        <v>013469317</v>
      </c>
      <c r="G617" s="1" t="s">
        <v>1860</v>
      </c>
      <c r="H617" s="1" t="s">
        <v>15</v>
      </c>
      <c r="I617" s="1" t="str">
        <f>"1"</f>
        <v>1</v>
      </c>
      <c r="J617" s="3" t="str">
        <f>"94171"</f>
        <v>94171</v>
      </c>
      <c r="K617" s="4">
        <v>46093</v>
      </c>
      <c r="L617" s="4">
        <v>46097</v>
      </c>
      <c r="M617" s="1" t="s">
        <v>11336</v>
      </c>
      <c r="N617" s="1" t="s">
        <v>11335</v>
      </c>
    </row>
    <row r="618" spans="1:14" s="1" customFormat="1" x14ac:dyDescent="0.35">
      <c r="A618" s="1" t="s">
        <v>0</v>
      </c>
      <c r="B618" s="1" t="s">
        <v>1013</v>
      </c>
      <c r="C618" s="1" t="s">
        <v>7470</v>
      </c>
      <c r="D618" s="1" t="s">
        <v>11334</v>
      </c>
      <c r="E618" s="1" t="str">
        <f>"2350"</f>
        <v>2350</v>
      </c>
      <c r="F618" s="1" t="str">
        <f>"014587410"</f>
        <v>014587410</v>
      </c>
      <c r="G618" s="1" t="s">
        <v>11333</v>
      </c>
      <c r="H618" s="1" t="s">
        <v>15</v>
      </c>
      <c r="I618" s="1" t="str">
        <f>"1"</f>
        <v>1</v>
      </c>
      <c r="J618" s="3" t="str">
        <f>"3500000"</f>
        <v>3500000</v>
      </c>
      <c r="K618" s="4">
        <v>46093</v>
      </c>
      <c r="L618" s="4">
        <v>46097</v>
      </c>
      <c r="M618" s="1" t="s">
        <v>11332</v>
      </c>
      <c r="N618" s="1" t="s">
        <v>11331</v>
      </c>
    </row>
    <row r="619" spans="1:14" s="1" customFormat="1" x14ac:dyDescent="0.35">
      <c r="A619" s="1" t="s">
        <v>0</v>
      </c>
      <c r="B619" s="1" t="s">
        <v>3268</v>
      </c>
      <c r="C619" s="1" t="s">
        <v>11330</v>
      </c>
      <c r="D619" s="1" t="s">
        <v>11329</v>
      </c>
      <c r="E619" s="1" t="str">
        <f>"1385"</f>
        <v>1385</v>
      </c>
      <c r="F619" s="1" t="str">
        <f>"015936219"</f>
        <v>015936219</v>
      </c>
      <c r="G619" s="1" t="s">
        <v>2079</v>
      </c>
      <c r="H619" s="1" t="s">
        <v>15</v>
      </c>
      <c r="I619" s="1" t="str">
        <f>"1"</f>
        <v>1</v>
      </c>
      <c r="J619" s="3" t="str">
        <f>"77000"</f>
        <v>77000</v>
      </c>
      <c r="K619" s="4">
        <v>46073</v>
      </c>
      <c r="L619" s="4">
        <v>46076</v>
      </c>
      <c r="M619" s="1" t="s">
        <v>11328</v>
      </c>
      <c r="N619" s="1" t="s">
        <v>11327</v>
      </c>
    </row>
    <row r="620" spans="1:14" s="1" customFormat="1" x14ac:dyDescent="0.35">
      <c r="A620" s="1" t="s">
        <v>0</v>
      </c>
      <c r="B620" s="1" t="s">
        <v>1516</v>
      </c>
      <c r="C620" s="1" t="s">
        <v>1651</v>
      </c>
      <c r="D620" s="1" t="s">
        <v>11326</v>
      </c>
      <c r="E620" s="1" t="str">
        <f>"2320"</f>
        <v>2320</v>
      </c>
      <c r="F620" s="1" t="str">
        <f>"010747642"</f>
        <v>010747642</v>
      </c>
      <c r="G620" s="1" t="s">
        <v>7312</v>
      </c>
      <c r="H620" s="1" t="s">
        <v>15</v>
      </c>
      <c r="I620" s="1" t="str">
        <f>"1"</f>
        <v>1</v>
      </c>
      <c r="J620" s="3" t="str">
        <f>"65070"</f>
        <v>65070</v>
      </c>
      <c r="K620" s="4">
        <v>46032</v>
      </c>
      <c r="L620" s="4">
        <v>46034</v>
      </c>
      <c r="M620" s="1" t="s">
        <v>11325</v>
      </c>
      <c r="N620" s="1" t="s">
        <v>7311</v>
      </c>
    </row>
    <row r="621" spans="1:14" s="1" customFormat="1" x14ac:dyDescent="0.35">
      <c r="A621" s="1" t="s">
        <v>0</v>
      </c>
      <c r="B621" s="1" t="s">
        <v>1989</v>
      </c>
      <c r="C621" s="1" t="s">
        <v>7167</v>
      </c>
      <c r="D621" s="1" t="s">
        <v>11324</v>
      </c>
      <c r="E621" s="1" t="str">
        <f>"7010"</f>
        <v>7010</v>
      </c>
      <c r="F621" s="1" t="str">
        <f>"017013083"</f>
        <v>017013083</v>
      </c>
      <c r="G621" s="1" t="s">
        <v>2149</v>
      </c>
      <c r="H621" s="1" t="s">
        <v>15</v>
      </c>
      <c r="I621" s="1" t="str">
        <f>"30"</f>
        <v>30</v>
      </c>
      <c r="J621" s="3">
        <v>1356.42</v>
      </c>
      <c r="K621" s="4">
        <v>46051</v>
      </c>
      <c r="L621" s="4">
        <v>46052</v>
      </c>
      <c r="M621" s="1" t="s">
        <v>11323</v>
      </c>
      <c r="N621" s="1" t="s">
        <v>11322</v>
      </c>
    </row>
    <row r="622" spans="1:14" s="1" customFormat="1" x14ac:dyDescent="0.35">
      <c r="A622" s="1" t="s">
        <v>0</v>
      </c>
      <c r="B622" s="1" t="s">
        <v>1989</v>
      </c>
      <c r="C622" s="1" t="s">
        <v>7167</v>
      </c>
      <c r="D622" s="1" t="s">
        <v>11321</v>
      </c>
      <c r="E622" s="1" t="str">
        <f>"2310"</f>
        <v>2310</v>
      </c>
      <c r="F622" s="1" t="s">
        <v>4332</v>
      </c>
      <c r="G622" s="1" t="s">
        <v>4333</v>
      </c>
      <c r="H622" s="1" t="s">
        <v>15</v>
      </c>
      <c r="I622" s="1" t="str">
        <f>"1"</f>
        <v>1</v>
      </c>
      <c r="J622" s="3">
        <v>26812.5</v>
      </c>
      <c r="K622" s="4">
        <v>46096</v>
      </c>
      <c r="L622" s="4">
        <v>46097</v>
      </c>
      <c r="M622" s="1" t="s">
        <v>11203</v>
      </c>
      <c r="N622" s="1" t="s">
        <v>11320</v>
      </c>
    </row>
    <row r="623" spans="1:14" s="1" customFormat="1" x14ac:dyDescent="0.35">
      <c r="A623" s="1" t="s">
        <v>0</v>
      </c>
      <c r="B623" s="1" t="s">
        <v>1989</v>
      </c>
      <c r="C623" s="1" t="s">
        <v>7167</v>
      </c>
      <c r="D623" s="1" t="s">
        <v>11319</v>
      </c>
      <c r="E623" s="1" t="str">
        <f>"2330"</f>
        <v>2330</v>
      </c>
      <c r="F623" s="1" t="s">
        <v>104</v>
      </c>
      <c r="G623" s="1" t="s">
        <v>105</v>
      </c>
      <c r="H623" s="1" t="s">
        <v>15</v>
      </c>
      <c r="I623" s="1" t="str">
        <f>"1"</f>
        <v>1</v>
      </c>
      <c r="J623" s="3" t="str">
        <f>"14555"</f>
        <v>14555</v>
      </c>
      <c r="K623" s="4">
        <v>46096</v>
      </c>
      <c r="L623" s="4">
        <v>46097</v>
      </c>
      <c r="M623" s="1" t="s">
        <v>11318</v>
      </c>
      <c r="N623" s="1" t="s">
        <v>11317</v>
      </c>
    </row>
    <row r="624" spans="1:14" s="1" customFormat="1" x14ac:dyDescent="0.35">
      <c r="A624" s="1" t="s">
        <v>0</v>
      </c>
      <c r="B624" s="1" t="s">
        <v>3268</v>
      </c>
      <c r="C624" s="1" t="s">
        <v>3330</v>
      </c>
      <c r="D624" s="1" t="s">
        <v>11316</v>
      </c>
      <c r="E624" s="1" t="str">
        <f>"7025"</f>
        <v>7025</v>
      </c>
      <c r="F624" s="1" t="s">
        <v>5976</v>
      </c>
      <c r="G624" s="1" t="s">
        <v>5975</v>
      </c>
      <c r="H624" s="1" t="s">
        <v>15</v>
      </c>
      <c r="I624" s="1" t="str">
        <f>"86"</f>
        <v>86</v>
      </c>
      <c r="J624" s="3" t="str">
        <f>"799"</f>
        <v>799</v>
      </c>
      <c r="K624" s="4">
        <v>46074</v>
      </c>
      <c r="L624" s="4">
        <v>46076</v>
      </c>
      <c r="M624" s="1" t="s">
        <v>11315</v>
      </c>
      <c r="N624" s="1" t="s">
        <v>11314</v>
      </c>
    </row>
    <row r="625" spans="1:14" s="1" customFormat="1" x14ac:dyDescent="0.35">
      <c r="A625" s="1" t="s">
        <v>0</v>
      </c>
      <c r="B625" s="1" t="s">
        <v>3268</v>
      </c>
      <c r="C625" s="1" t="s">
        <v>3330</v>
      </c>
      <c r="D625" s="1" t="s">
        <v>11313</v>
      </c>
      <c r="E625" s="1" t="str">
        <f>"4210"</f>
        <v>4210</v>
      </c>
      <c r="F625" s="1" t="str">
        <f>"015992309"</f>
        <v>015992309</v>
      </c>
      <c r="G625" s="1" t="s">
        <v>1036</v>
      </c>
      <c r="H625" s="1" t="s">
        <v>15</v>
      </c>
      <c r="I625" s="1" t="str">
        <f>"1"</f>
        <v>1</v>
      </c>
      <c r="J625" s="3" t="str">
        <f>"236650"</f>
        <v>236650</v>
      </c>
      <c r="K625" s="4">
        <v>46074</v>
      </c>
      <c r="L625" s="4">
        <v>46076</v>
      </c>
      <c r="M625" s="1" t="s">
        <v>11312</v>
      </c>
      <c r="N625" s="1" t="s">
        <v>11311</v>
      </c>
    </row>
    <row r="626" spans="1:14" s="1" customFormat="1" x14ac:dyDescent="0.35">
      <c r="A626" s="1" t="s">
        <v>0</v>
      </c>
      <c r="B626" s="1" t="s">
        <v>1791</v>
      </c>
      <c r="C626" s="1" t="s">
        <v>1847</v>
      </c>
      <c r="D626" s="1" t="s">
        <v>11310</v>
      </c>
      <c r="E626" s="1" t="str">
        <f>"5855"</f>
        <v>5855</v>
      </c>
      <c r="F626" s="1" t="str">
        <f>"016943200"</f>
        <v>016943200</v>
      </c>
      <c r="G626" s="1" t="s">
        <v>5814</v>
      </c>
      <c r="H626" s="1" t="s">
        <v>15</v>
      </c>
      <c r="I626" s="1" t="str">
        <f>"5"</f>
        <v>5</v>
      </c>
      <c r="J626" s="3" t="str">
        <f>"35000"</f>
        <v>35000</v>
      </c>
      <c r="K626" s="4">
        <v>46088</v>
      </c>
      <c r="L626" s="4">
        <v>46088</v>
      </c>
      <c r="M626" s="1" t="s">
        <v>11309</v>
      </c>
      <c r="N626" s="1" t="s">
        <v>11308</v>
      </c>
    </row>
    <row r="627" spans="1:14" s="1" customFormat="1" x14ac:dyDescent="0.35">
      <c r="A627" s="1" t="s">
        <v>0</v>
      </c>
      <c r="B627" s="1" t="s">
        <v>1303</v>
      </c>
      <c r="C627" s="1" t="s">
        <v>1408</v>
      </c>
      <c r="D627" s="1" t="s">
        <v>11307</v>
      </c>
      <c r="E627" s="1" t="str">
        <f>"1520"</f>
        <v>1520</v>
      </c>
      <c r="F627" s="1" t="s">
        <v>83</v>
      </c>
      <c r="G627" s="1" t="s">
        <v>84</v>
      </c>
      <c r="H627" s="1" t="s">
        <v>15</v>
      </c>
      <c r="I627" s="1" t="str">
        <f>"1"</f>
        <v>1</v>
      </c>
      <c r="J627" s="3" t="str">
        <f>"1200000"</f>
        <v>1200000</v>
      </c>
      <c r="K627" s="4">
        <v>46062</v>
      </c>
      <c r="L627" s="4">
        <v>46062</v>
      </c>
      <c r="M627" s="1" t="s">
        <v>11306</v>
      </c>
      <c r="N627" s="1" t="s">
        <v>11305</v>
      </c>
    </row>
    <row r="628" spans="1:14" s="1" customFormat="1" x14ac:dyDescent="0.35">
      <c r="A628" s="1" t="s">
        <v>0</v>
      </c>
      <c r="B628" s="1" t="s">
        <v>1989</v>
      </c>
      <c r="C628" s="1" t="s">
        <v>7034</v>
      </c>
      <c r="D628" s="1" t="s">
        <v>11304</v>
      </c>
      <c r="E628" s="1" t="str">
        <f>"6310"</f>
        <v>6310</v>
      </c>
      <c r="F628" s="1" t="s">
        <v>1713</v>
      </c>
      <c r="G628" s="1" t="s">
        <v>1714</v>
      </c>
      <c r="H628" s="1" t="s">
        <v>15</v>
      </c>
      <c r="I628" s="1" t="str">
        <f>"1"</f>
        <v>1</v>
      </c>
      <c r="J628" s="3" t="str">
        <f>"8000"</f>
        <v>8000</v>
      </c>
      <c r="K628" s="4">
        <v>46083</v>
      </c>
      <c r="L628" s="4">
        <v>46084</v>
      </c>
      <c r="M628" s="1" t="s">
        <v>11301</v>
      </c>
      <c r="N628" s="1" t="s">
        <v>11303</v>
      </c>
    </row>
    <row r="629" spans="1:14" s="1" customFormat="1" x14ac:dyDescent="0.35">
      <c r="A629" s="1" t="s">
        <v>0</v>
      </c>
      <c r="B629" s="1" t="s">
        <v>1989</v>
      </c>
      <c r="C629" s="1" t="s">
        <v>7034</v>
      </c>
      <c r="D629" s="1" t="s">
        <v>11302</v>
      </c>
      <c r="E629" s="1" t="str">
        <f>"6310"</f>
        <v>6310</v>
      </c>
      <c r="F629" s="1" t="s">
        <v>1713</v>
      </c>
      <c r="G629" s="1" t="s">
        <v>1714</v>
      </c>
      <c r="H629" s="1" t="s">
        <v>15</v>
      </c>
      <c r="I629" s="1" t="str">
        <f>"1"</f>
        <v>1</v>
      </c>
      <c r="J629" s="3" t="str">
        <f>"6857"</f>
        <v>6857</v>
      </c>
      <c r="K629" s="4">
        <v>46083</v>
      </c>
      <c r="L629" s="4">
        <v>46084</v>
      </c>
      <c r="M629" s="1" t="s">
        <v>11301</v>
      </c>
      <c r="N629" s="1" t="s">
        <v>11300</v>
      </c>
    </row>
    <row r="630" spans="1:14" s="1" customFormat="1" x14ac:dyDescent="0.35">
      <c r="A630" s="1" t="s">
        <v>0</v>
      </c>
      <c r="B630" s="1" t="s">
        <v>1989</v>
      </c>
      <c r="C630" s="1" t="s">
        <v>7034</v>
      </c>
      <c r="D630" s="1" t="s">
        <v>11299</v>
      </c>
      <c r="E630" s="1" t="str">
        <f>"2340"</f>
        <v>2340</v>
      </c>
      <c r="F630" s="1" t="s">
        <v>1071</v>
      </c>
      <c r="G630" s="1" t="s">
        <v>1072</v>
      </c>
      <c r="H630" s="1" t="s">
        <v>15</v>
      </c>
      <c r="I630" s="1" t="str">
        <f>"1"</f>
        <v>1</v>
      </c>
      <c r="J630" s="3" t="str">
        <f>"5000"</f>
        <v>5000</v>
      </c>
      <c r="K630" s="4">
        <v>46097</v>
      </c>
      <c r="L630" s="4">
        <v>46098</v>
      </c>
      <c r="M630" s="1" t="s">
        <v>11298</v>
      </c>
      <c r="N630" s="1" t="s">
        <v>11297</v>
      </c>
    </row>
    <row r="631" spans="1:14" s="1" customFormat="1" x14ac:dyDescent="0.35">
      <c r="A631" s="1" t="s">
        <v>0</v>
      </c>
      <c r="B631" s="1" t="s">
        <v>3268</v>
      </c>
      <c r="C631" s="1" t="s">
        <v>11296</v>
      </c>
      <c r="D631" s="1" t="s">
        <v>11295</v>
      </c>
      <c r="E631" s="1" t="str">
        <f>"7105"</f>
        <v>7105</v>
      </c>
      <c r="F631" s="1" t="str">
        <f>"015970476"</f>
        <v>015970476</v>
      </c>
      <c r="G631" s="1" t="s">
        <v>5208</v>
      </c>
      <c r="H631" s="1" t="s">
        <v>15</v>
      </c>
      <c r="I631" s="1" t="str">
        <f>"5"</f>
        <v>5</v>
      </c>
      <c r="J631" s="3" t="str">
        <f>"200"</f>
        <v>200</v>
      </c>
      <c r="K631" s="4">
        <v>46086</v>
      </c>
      <c r="L631" s="4">
        <v>46087</v>
      </c>
      <c r="M631" s="1" t="s">
        <v>11242</v>
      </c>
      <c r="N631" s="1" t="s">
        <v>11294</v>
      </c>
    </row>
    <row r="632" spans="1:14" s="1" customFormat="1" x14ac:dyDescent="0.35">
      <c r="A632" s="1" t="s">
        <v>0</v>
      </c>
      <c r="B632" s="1" t="s">
        <v>1013</v>
      </c>
      <c r="C632" s="1" t="s">
        <v>7005</v>
      </c>
      <c r="D632" s="1" t="s">
        <v>11293</v>
      </c>
      <c r="E632" s="1" t="str">
        <f>"5855"</f>
        <v>5855</v>
      </c>
      <c r="F632" s="1" t="str">
        <f>"014332211"</f>
        <v>014332211</v>
      </c>
      <c r="G632" s="1" t="s">
        <v>11291</v>
      </c>
      <c r="H632" s="1" t="s">
        <v>15</v>
      </c>
      <c r="I632" s="1" t="str">
        <f>"1"</f>
        <v>1</v>
      </c>
      <c r="J632" s="3">
        <v>13265.94</v>
      </c>
      <c r="K632" s="4">
        <v>46106</v>
      </c>
      <c r="L632" s="4">
        <v>46107</v>
      </c>
      <c r="M632" s="1" t="s">
        <v>11290</v>
      </c>
      <c r="N632" s="1" t="s">
        <v>11289</v>
      </c>
    </row>
    <row r="633" spans="1:14" s="1" customFormat="1" x14ac:dyDescent="0.35">
      <c r="A633" s="1" t="s">
        <v>0</v>
      </c>
      <c r="B633" s="1" t="s">
        <v>1013</v>
      </c>
      <c r="C633" s="1" t="s">
        <v>7005</v>
      </c>
      <c r="D633" s="1" t="s">
        <v>11292</v>
      </c>
      <c r="E633" s="1" t="str">
        <f>"5855"</f>
        <v>5855</v>
      </c>
      <c r="F633" s="1" t="str">
        <f>"014332211"</f>
        <v>014332211</v>
      </c>
      <c r="G633" s="1" t="s">
        <v>11291</v>
      </c>
      <c r="H633" s="1" t="s">
        <v>15</v>
      </c>
      <c r="I633" s="1" t="str">
        <f>"1"</f>
        <v>1</v>
      </c>
      <c r="J633" s="3">
        <v>13265.94</v>
      </c>
      <c r="K633" s="4">
        <v>46106</v>
      </c>
      <c r="L633" s="4">
        <v>46107</v>
      </c>
      <c r="M633" s="1" t="s">
        <v>11290</v>
      </c>
      <c r="N633" s="1" t="s">
        <v>11289</v>
      </c>
    </row>
    <row r="634" spans="1:14" s="1" customFormat="1" x14ac:dyDescent="0.35">
      <c r="A634" s="1" t="s">
        <v>0</v>
      </c>
      <c r="B634" s="1" t="s">
        <v>73</v>
      </c>
      <c r="C634" s="1" t="s">
        <v>6944</v>
      </c>
      <c r="D634" s="1" t="s">
        <v>11288</v>
      </c>
      <c r="E634" s="1" t="str">
        <f>"1240"</f>
        <v>1240</v>
      </c>
      <c r="F634" s="1" t="str">
        <f>"016859648"</f>
        <v>016859648</v>
      </c>
      <c r="G634" s="1" t="s">
        <v>8290</v>
      </c>
      <c r="H634" s="1" t="s">
        <v>15</v>
      </c>
      <c r="I634" s="1" t="str">
        <f>"2"</f>
        <v>2</v>
      </c>
      <c r="J634" s="3">
        <v>3829.66</v>
      </c>
      <c r="K634" s="4">
        <v>46091</v>
      </c>
      <c r="L634" s="4">
        <v>46091</v>
      </c>
      <c r="M634" s="1" t="s">
        <v>11071</v>
      </c>
      <c r="N634" s="1" t="s">
        <v>11287</v>
      </c>
    </row>
    <row r="635" spans="1:14" s="1" customFormat="1" x14ac:dyDescent="0.35">
      <c r="A635" s="1" t="s">
        <v>0</v>
      </c>
      <c r="B635" s="1" t="s">
        <v>1791</v>
      </c>
      <c r="C635" s="1" t="s">
        <v>6940</v>
      </c>
      <c r="D635" s="1" t="s">
        <v>11286</v>
      </c>
      <c r="E635" s="1" t="str">
        <f>"5855"</f>
        <v>5855</v>
      </c>
      <c r="F635" s="1" t="str">
        <f>"015847217"</f>
        <v>015847217</v>
      </c>
      <c r="G635" s="1" t="s">
        <v>614</v>
      </c>
      <c r="H635" s="1" t="s">
        <v>15</v>
      </c>
      <c r="I635" s="1" t="str">
        <f>"5"</f>
        <v>5</v>
      </c>
      <c r="J635" s="3" t="str">
        <f>"34084"</f>
        <v>34084</v>
      </c>
      <c r="K635" s="4">
        <v>46100</v>
      </c>
      <c r="L635" s="4">
        <v>46100</v>
      </c>
      <c r="M635" s="1" t="s">
        <v>11285</v>
      </c>
      <c r="N635" s="1" t="s">
        <v>11284</v>
      </c>
    </row>
    <row r="636" spans="1:14" s="1" customFormat="1" x14ac:dyDescent="0.35">
      <c r="A636" s="1" t="s">
        <v>0</v>
      </c>
      <c r="B636" s="1" t="s">
        <v>1989</v>
      </c>
      <c r="C636" s="1" t="s">
        <v>6852</v>
      </c>
      <c r="D636" s="1" t="s">
        <v>11283</v>
      </c>
      <c r="E636" s="1" t="str">
        <f>"2310"</f>
        <v>2310</v>
      </c>
      <c r="F636" s="1" t="str">
        <f>"010907741"</f>
        <v>010907741</v>
      </c>
      <c r="G636" s="1" t="s">
        <v>710</v>
      </c>
      <c r="H636" s="1" t="s">
        <v>15</v>
      </c>
      <c r="I636" s="1" t="str">
        <f>"1"</f>
        <v>1</v>
      </c>
      <c r="J636" s="3" t="str">
        <f>"30027"</f>
        <v>30027</v>
      </c>
      <c r="K636" s="4">
        <v>46071</v>
      </c>
      <c r="L636" s="4">
        <v>46072</v>
      </c>
      <c r="M636" s="1" t="s">
        <v>11282</v>
      </c>
      <c r="N636" s="1" t="s">
        <v>6860</v>
      </c>
    </row>
    <row r="637" spans="1:14" s="1" customFormat="1" x14ac:dyDescent="0.35">
      <c r="A637" s="1" t="s">
        <v>0</v>
      </c>
      <c r="B637" s="1" t="s">
        <v>3356</v>
      </c>
      <c r="C637" s="1" t="s">
        <v>3651</v>
      </c>
      <c r="D637" s="1" t="s">
        <v>11281</v>
      </c>
      <c r="E637" s="1" t="str">
        <f>"6515"</f>
        <v>6515</v>
      </c>
      <c r="F637" s="1" t="str">
        <f>"015154197"</f>
        <v>015154197</v>
      </c>
      <c r="G637" s="1" t="s">
        <v>11280</v>
      </c>
      <c r="H637" s="1" t="s">
        <v>15</v>
      </c>
      <c r="I637" s="1" t="str">
        <f>"8"</f>
        <v>8</v>
      </c>
      <c r="J637" s="3">
        <v>31894.1</v>
      </c>
      <c r="K637" s="4">
        <v>46044</v>
      </c>
      <c r="L637" s="4">
        <v>46044</v>
      </c>
      <c r="M637" s="1" t="s">
        <v>11279</v>
      </c>
      <c r="N637" s="1" t="s">
        <v>11278</v>
      </c>
    </row>
    <row r="638" spans="1:14" s="1" customFormat="1" x14ac:dyDescent="0.35">
      <c r="A638" s="1" t="s">
        <v>0</v>
      </c>
      <c r="B638" s="1" t="s">
        <v>3822</v>
      </c>
      <c r="C638" s="1" t="s">
        <v>4154</v>
      </c>
      <c r="D638" s="1" t="s">
        <v>11277</v>
      </c>
      <c r="E638" s="1" t="str">
        <f>"5180"</f>
        <v>5180</v>
      </c>
      <c r="F638" s="1" t="str">
        <f>"014334469"</f>
        <v>014334469</v>
      </c>
      <c r="G638" s="1" t="s">
        <v>11276</v>
      </c>
      <c r="H638" s="1" t="s">
        <v>257</v>
      </c>
      <c r="I638" s="1" t="str">
        <f>"6"</f>
        <v>6</v>
      </c>
      <c r="J638" s="3" t="str">
        <f>"1074"</f>
        <v>1074</v>
      </c>
      <c r="K638" s="4">
        <v>46110</v>
      </c>
      <c r="L638" s="4">
        <v>46111</v>
      </c>
      <c r="M638" s="1" t="s">
        <v>11275</v>
      </c>
      <c r="N638" s="1" t="s">
        <v>11274</v>
      </c>
    </row>
    <row r="639" spans="1:14" s="1" customFormat="1" x14ac:dyDescent="0.35">
      <c r="A639" s="1" t="s">
        <v>0</v>
      </c>
      <c r="B639" s="1" t="s">
        <v>3356</v>
      </c>
      <c r="C639" s="1" t="s">
        <v>6661</v>
      </c>
      <c r="D639" s="1" t="s">
        <v>11273</v>
      </c>
      <c r="E639" s="1" t="str">
        <f>"2320"</f>
        <v>2320</v>
      </c>
      <c r="F639" s="1" t="str">
        <f>"010907883"</f>
        <v>010907883</v>
      </c>
      <c r="G639" s="1" t="s">
        <v>930</v>
      </c>
      <c r="H639" s="1" t="s">
        <v>15</v>
      </c>
      <c r="I639" s="1" t="str">
        <f>"1"</f>
        <v>1</v>
      </c>
      <c r="J639" s="3" t="str">
        <f>"17724"</f>
        <v>17724</v>
      </c>
      <c r="K639" s="4">
        <v>46058</v>
      </c>
      <c r="L639" s="4">
        <v>46058</v>
      </c>
      <c r="M639" s="1" t="s">
        <v>11000</v>
      </c>
      <c r="N639" s="1" t="s">
        <v>11272</v>
      </c>
    </row>
    <row r="640" spans="1:14" s="1" customFormat="1" x14ac:dyDescent="0.35">
      <c r="A640" s="1" t="s">
        <v>0</v>
      </c>
      <c r="B640" s="1" t="s">
        <v>1989</v>
      </c>
      <c r="C640" s="1" t="s">
        <v>6658</v>
      </c>
      <c r="D640" s="1" t="s">
        <v>11271</v>
      </c>
      <c r="E640" s="1" t="str">
        <f>"8150"</f>
        <v>8150</v>
      </c>
      <c r="F640" s="1" t="str">
        <f>"014731213"</f>
        <v>014731213</v>
      </c>
      <c r="G640" s="1" t="s">
        <v>10085</v>
      </c>
      <c r="H640" s="1" t="s">
        <v>15</v>
      </c>
      <c r="I640" s="1" t="str">
        <f>"1"</f>
        <v>1</v>
      </c>
      <c r="J640" s="3">
        <v>37666.15</v>
      </c>
      <c r="K640" s="4">
        <v>46079</v>
      </c>
      <c r="L640" s="4">
        <v>46080</v>
      </c>
      <c r="M640" s="1" t="s">
        <v>11265</v>
      </c>
      <c r="N640" s="1" t="s">
        <v>11270</v>
      </c>
    </row>
    <row r="641" spans="1:14" s="1" customFormat="1" x14ac:dyDescent="0.35">
      <c r="A641" s="1" t="s">
        <v>0</v>
      </c>
      <c r="B641" s="1" t="s">
        <v>1989</v>
      </c>
      <c r="C641" s="1" t="s">
        <v>6658</v>
      </c>
      <c r="D641" s="1" t="s">
        <v>11269</v>
      </c>
      <c r="E641" s="1" t="str">
        <f>"3940"</f>
        <v>3940</v>
      </c>
      <c r="F641" s="1" t="str">
        <f>"015156858"</f>
        <v>015156858</v>
      </c>
      <c r="G641" s="1" t="s">
        <v>11268</v>
      </c>
      <c r="H641" s="1" t="s">
        <v>15</v>
      </c>
      <c r="I641" s="1" t="str">
        <f>"1"</f>
        <v>1</v>
      </c>
      <c r="J641" s="3">
        <v>1229.5</v>
      </c>
      <c r="K641" s="4">
        <v>46079</v>
      </c>
      <c r="L641" s="4">
        <v>46080</v>
      </c>
      <c r="M641" s="1" t="s">
        <v>11265</v>
      </c>
      <c r="N641" s="1" t="s">
        <v>11267</v>
      </c>
    </row>
    <row r="642" spans="1:14" s="1" customFormat="1" x14ac:dyDescent="0.35">
      <c r="A642" s="1" t="s">
        <v>0</v>
      </c>
      <c r="B642" s="1" t="s">
        <v>1989</v>
      </c>
      <c r="C642" s="1" t="s">
        <v>6658</v>
      </c>
      <c r="D642" s="1" t="s">
        <v>11266</v>
      </c>
      <c r="E642" s="1" t="str">
        <f>"7125"</f>
        <v>7125</v>
      </c>
      <c r="F642" s="1" t="s">
        <v>2091</v>
      </c>
      <c r="G642" s="1" t="s">
        <v>2092</v>
      </c>
      <c r="H642" s="1" t="s">
        <v>15</v>
      </c>
      <c r="I642" s="1" t="str">
        <f>"3"</f>
        <v>3</v>
      </c>
      <c r="J642" s="3" t="str">
        <f>"200"</f>
        <v>200</v>
      </c>
      <c r="K642" s="4">
        <v>46079</v>
      </c>
      <c r="L642" s="4">
        <v>46080</v>
      </c>
      <c r="M642" s="1" t="s">
        <v>11265</v>
      </c>
      <c r="N642" s="1" t="s">
        <v>11264</v>
      </c>
    </row>
    <row r="643" spans="1:14" s="1" customFormat="1" x14ac:dyDescent="0.35">
      <c r="A643" s="1" t="s">
        <v>0</v>
      </c>
      <c r="B643" s="1" t="s">
        <v>3268</v>
      </c>
      <c r="C643" s="1" t="s">
        <v>3341</v>
      </c>
      <c r="D643" s="1" t="s">
        <v>11263</v>
      </c>
      <c r="E643" s="1" t="str">
        <f>"5855"</f>
        <v>5855</v>
      </c>
      <c r="F643" s="1" t="str">
        <f>"014502333"</f>
        <v>014502333</v>
      </c>
      <c r="G643" s="1" t="s">
        <v>6614</v>
      </c>
      <c r="H643" s="1" t="s">
        <v>15</v>
      </c>
      <c r="I643" s="1" t="str">
        <f>"1"</f>
        <v>1</v>
      </c>
      <c r="J643" s="3">
        <v>10295.540000000001</v>
      </c>
      <c r="K643" s="4">
        <v>46034</v>
      </c>
      <c r="L643" s="4">
        <v>46035</v>
      </c>
      <c r="M643" s="1" t="s">
        <v>11242</v>
      </c>
      <c r="N643" s="1" t="s">
        <v>11241</v>
      </c>
    </row>
    <row r="644" spans="1:14" s="1" customFormat="1" x14ac:dyDescent="0.35">
      <c r="A644" s="1" t="s">
        <v>0</v>
      </c>
      <c r="B644" s="1" t="s">
        <v>3268</v>
      </c>
      <c r="C644" s="1" t="s">
        <v>3341</v>
      </c>
      <c r="D644" s="1" t="s">
        <v>11262</v>
      </c>
      <c r="E644" s="1" t="str">
        <f>"5855"</f>
        <v>5855</v>
      </c>
      <c r="F644" s="1" t="str">
        <f>"014502333"</f>
        <v>014502333</v>
      </c>
      <c r="G644" s="1" t="s">
        <v>6614</v>
      </c>
      <c r="H644" s="1" t="s">
        <v>15</v>
      </c>
      <c r="I644" s="1" t="str">
        <f>"1"</f>
        <v>1</v>
      </c>
      <c r="J644" s="3">
        <v>10295.540000000001</v>
      </c>
      <c r="K644" s="4">
        <v>46034</v>
      </c>
      <c r="L644" s="4">
        <v>46035</v>
      </c>
      <c r="M644" s="1" t="s">
        <v>11242</v>
      </c>
      <c r="N644" s="1" t="s">
        <v>11254</v>
      </c>
    </row>
    <row r="645" spans="1:14" s="1" customFormat="1" x14ac:dyDescent="0.35">
      <c r="A645" s="1" t="s">
        <v>0</v>
      </c>
      <c r="B645" s="1" t="s">
        <v>3268</v>
      </c>
      <c r="C645" s="1" t="s">
        <v>3341</v>
      </c>
      <c r="D645" s="1" t="s">
        <v>11261</v>
      </c>
      <c r="E645" s="1" t="str">
        <f>"5855"</f>
        <v>5855</v>
      </c>
      <c r="F645" s="1" t="str">
        <f>"014502333"</f>
        <v>014502333</v>
      </c>
      <c r="G645" s="1" t="s">
        <v>6614</v>
      </c>
      <c r="H645" s="1" t="s">
        <v>15</v>
      </c>
      <c r="I645" s="1" t="str">
        <f>"1"</f>
        <v>1</v>
      </c>
      <c r="J645" s="3">
        <v>10295.540000000001</v>
      </c>
      <c r="K645" s="4">
        <v>46034</v>
      </c>
      <c r="L645" s="4">
        <v>46035</v>
      </c>
      <c r="M645" s="1" t="s">
        <v>11242</v>
      </c>
      <c r="N645" s="1" t="s">
        <v>11254</v>
      </c>
    </row>
    <row r="646" spans="1:14" s="1" customFormat="1" x14ac:dyDescent="0.35">
      <c r="A646" s="1" t="s">
        <v>0</v>
      </c>
      <c r="B646" s="1" t="s">
        <v>3268</v>
      </c>
      <c r="C646" s="1" t="s">
        <v>3341</v>
      </c>
      <c r="D646" s="1" t="s">
        <v>11260</v>
      </c>
      <c r="E646" s="1" t="str">
        <f>"1240"</f>
        <v>1240</v>
      </c>
      <c r="F646" s="1" t="str">
        <f>"014951385"</f>
        <v>014951385</v>
      </c>
      <c r="G646" s="1" t="s">
        <v>71</v>
      </c>
      <c r="H646" s="1" t="s">
        <v>15</v>
      </c>
      <c r="I646" s="1" t="str">
        <f>"6"</f>
        <v>6</v>
      </c>
      <c r="J646" s="3" t="str">
        <f>"536"</f>
        <v>536</v>
      </c>
      <c r="K646" s="4">
        <v>46034</v>
      </c>
      <c r="L646" s="4">
        <v>46035</v>
      </c>
      <c r="M646" s="1" t="s">
        <v>11242</v>
      </c>
      <c r="N646" s="1" t="s">
        <v>11259</v>
      </c>
    </row>
    <row r="647" spans="1:14" s="1" customFormat="1" x14ac:dyDescent="0.35">
      <c r="A647" s="1" t="s">
        <v>0</v>
      </c>
      <c r="B647" s="1" t="s">
        <v>3268</v>
      </c>
      <c r="C647" s="1" t="s">
        <v>3341</v>
      </c>
      <c r="D647" s="1" t="s">
        <v>11258</v>
      </c>
      <c r="E647" s="1" t="str">
        <f>"5855"</f>
        <v>5855</v>
      </c>
      <c r="F647" s="1" t="str">
        <f>"014331217"</f>
        <v>014331217</v>
      </c>
      <c r="G647" s="1" t="s">
        <v>6598</v>
      </c>
      <c r="H647" s="1" t="s">
        <v>168</v>
      </c>
      <c r="I647" s="1" t="str">
        <f>"4"</f>
        <v>4</v>
      </c>
      <c r="J647" s="3" t="str">
        <f>"6626"</f>
        <v>6626</v>
      </c>
      <c r="K647" s="4">
        <v>46034</v>
      </c>
      <c r="L647" s="4">
        <v>46035</v>
      </c>
      <c r="M647" s="1" t="s">
        <v>11242</v>
      </c>
      <c r="N647" s="1" t="s">
        <v>11241</v>
      </c>
    </row>
    <row r="648" spans="1:14" s="1" customFormat="1" x14ac:dyDescent="0.35">
      <c r="A648" s="1" t="s">
        <v>0</v>
      </c>
      <c r="B648" s="1" t="s">
        <v>3268</v>
      </c>
      <c r="C648" s="1" t="s">
        <v>3341</v>
      </c>
      <c r="D648" s="1" t="s">
        <v>11257</v>
      </c>
      <c r="E648" s="1" t="str">
        <f>"5855"</f>
        <v>5855</v>
      </c>
      <c r="F648" s="1" t="str">
        <f>"015330555"</f>
        <v>015330555</v>
      </c>
      <c r="G648" s="1" t="s">
        <v>476</v>
      </c>
      <c r="H648" s="1" t="s">
        <v>15</v>
      </c>
      <c r="I648" s="1" t="str">
        <f>"12"</f>
        <v>12</v>
      </c>
      <c r="J648" s="3" t="str">
        <f>"1800"</f>
        <v>1800</v>
      </c>
      <c r="K648" s="4">
        <v>46034</v>
      </c>
      <c r="L648" s="4">
        <v>46035</v>
      </c>
      <c r="M648" s="1" t="s">
        <v>11242</v>
      </c>
      <c r="N648" s="1" t="s">
        <v>11254</v>
      </c>
    </row>
    <row r="649" spans="1:14" s="1" customFormat="1" x14ac:dyDescent="0.35">
      <c r="A649" s="1" t="s">
        <v>0</v>
      </c>
      <c r="B649" s="1" t="s">
        <v>3268</v>
      </c>
      <c r="C649" s="1" t="s">
        <v>3341</v>
      </c>
      <c r="D649" s="1" t="s">
        <v>11256</v>
      </c>
      <c r="E649" s="1" t="str">
        <f>"5855"</f>
        <v>5855</v>
      </c>
      <c r="F649" s="1" t="str">
        <f>"015330555"</f>
        <v>015330555</v>
      </c>
      <c r="G649" s="1" t="s">
        <v>476</v>
      </c>
      <c r="H649" s="1" t="s">
        <v>15</v>
      </c>
      <c r="I649" s="1" t="str">
        <f>"9"</f>
        <v>9</v>
      </c>
      <c r="J649" s="3" t="str">
        <f>"1800"</f>
        <v>1800</v>
      </c>
      <c r="K649" s="4">
        <v>46034</v>
      </c>
      <c r="L649" s="4">
        <v>46035</v>
      </c>
      <c r="M649" s="1" t="s">
        <v>11242</v>
      </c>
      <c r="N649" s="1" t="s">
        <v>11241</v>
      </c>
    </row>
    <row r="650" spans="1:14" s="1" customFormat="1" x14ac:dyDescent="0.35">
      <c r="A650" s="1" t="s">
        <v>0</v>
      </c>
      <c r="B650" s="1" t="s">
        <v>3268</v>
      </c>
      <c r="C650" s="1" t="s">
        <v>3341</v>
      </c>
      <c r="D650" s="1" t="s">
        <v>11255</v>
      </c>
      <c r="E650" s="1" t="str">
        <f>"5855"</f>
        <v>5855</v>
      </c>
      <c r="F650" s="1" t="str">
        <f>"013637491"</f>
        <v>013637491</v>
      </c>
      <c r="G650" s="1" t="s">
        <v>614</v>
      </c>
      <c r="H650" s="1" t="s">
        <v>15</v>
      </c>
      <c r="I650" s="1" t="str">
        <f>"4"</f>
        <v>4</v>
      </c>
      <c r="J650" s="3" t="str">
        <f>"6124"</f>
        <v>6124</v>
      </c>
      <c r="K650" s="4">
        <v>46034</v>
      </c>
      <c r="L650" s="4">
        <v>46035</v>
      </c>
      <c r="M650" s="1" t="s">
        <v>11242</v>
      </c>
      <c r="N650" s="1" t="s">
        <v>11254</v>
      </c>
    </row>
    <row r="651" spans="1:14" s="1" customFormat="1" x14ac:dyDescent="0.35">
      <c r="A651" s="1" t="s">
        <v>0</v>
      </c>
      <c r="B651" s="1" t="s">
        <v>3268</v>
      </c>
      <c r="C651" s="1" t="s">
        <v>3341</v>
      </c>
      <c r="D651" s="1" t="s">
        <v>11253</v>
      </c>
      <c r="E651" s="1" t="str">
        <f>"1240"</f>
        <v>1240</v>
      </c>
      <c r="F651" s="1" t="str">
        <f>"016785336"</f>
        <v>016785336</v>
      </c>
      <c r="G651" s="1" t="s">
        <v>71</v>
      </c>
      <c r="H651" s="1" t="s">
        <v>15</v>
      </c>
      <c r="I651" s="1" t="str">
        <f>"12"</f>
        <v>12</v>
      </c>
      <c r="J651" s="3" t="str">
        <f>"352"</f>
        <v>352</v>
      </c>
      <c r="K651" s="4">
        <v>46035</v>
      </c>
      <c r="L651" s="4">
        <v>46036</v>
      </c>
      <c r="M651" s="1" t="s">
        <v>11242</v>
      </c>
      <c r="N651" s="1" t="s">
        <v>11252</v>
      </c>
    </row>
    <row r="652" spans="1:14" s="1" customFormat="1" x14ac:dyDescent="0.35">
      <c r="A652" s="1" t="s">
        <v>0</v>
      </c>
      <c r="B652" s="1" t="s">
        <v>3268</v>
      </c>
      <c r="C652" s="1" t="s">
        <v>3341</v>
      </c>
      <c r="D652" s="1" t="s">
        <v>11251</v>
      </c>
      <c r="E652" s="1" t="str">
        <f>"5855"</f>
        <v>5855</v>
      </c>
      <c r="F652" s="1" t="str">
        <f>"014886563"</f>
        <v>014886563</v>
      </c>
      <c r="G652" s="1" t="s">
        <v>952</v>
      </c>
      <c r="H652" s="1" t="s">
        <v>15</v>
      </c>
      <c r="I652" s="1" t="str">
        <f>"1"</f>
        <v>1</v>
      </c>
      <c r="J652" s="3">
        <v>1991.34</v>
      </c>
      <c r="K652" s="4">
        <v>46040</v>
      </c>
      <c r="L652" s="4">
        <v>46042</v>
      </c>
      <c r="M652" s="1" t="s">
        <v>11244</v>
      </c>
      <c r="N652" s="1" t="s">
        <v>11247</v>
      </c>
    </row>
    <row r="653" spans="1:14" s="1" customFormat="1" x14ac:dyDescent="0.35">
      <c r="A653" s="1" t="s">
        <v>0</v>
      </c>
      <c r="B653" s="1" t="s">
        <v>3268</v>
      </c>
      <c r="C653" s="1" t="s">
        <v>3341</v>
      </c>
      <c r="D653" s="1" t="s">
        <v>11250</v>
      </c>
      <c r="E653" s="1" t="str">
        <f>"5855"</f>
        <v>5855</v>
      </c>
      <c r="F653" s="1" t="str">
        <f>"014886563"</f>
        <v>014886563</v>
      </c>
      <c r="G653" s="1" t="s">
        <v>952</v>
      </c>
      <c r="H653" s="1" t="s">
        <v>15</v>
      </c>
      <c r="I653" s="1" t="str">
        <f>"1"</f>
        <v>1</v>
      </c>
      <c r="J653" s="3">
        <v>1991.34</v>
      </c>
      <c r="K653" s="4">
        <v>46040</v>
      </c>
      <c r="L653" s="4">
        <v>46042</v>
      </c>
      <c r="M653" s="1" t="s">
        <v>11244</v>
      </c>
      <c r="N653" s="1" t="s">
        <v>11247</v>
      </c>
    </row>
    <row r="654" spans="1:14" s="1" customFormat="1" x14ac:dyDescent="0.35">
      <c r="A654" s="1" t="s">
        <v>0</v>
      </c>
      <c r="B654" s="1" t="s">
        <v>3268</v>
      </c>
      <c r="C654" s="1" t="s">
        <v>3341</v>
      </c>
      <c r="D654" s="1" t="s">
        <v>11249</v>
      </c>
      <c r="E654" s="1" t="str">
        <f>"5855"</f>
        <v>5855</v>
      </c>
      <c r="F654" s="1" t="str">
        <f>"014886563"</f>
        <v>014886563</v>
      </c>
      <c r="G654" s="1" t="s">
        <v>952</v>
      </c>
      <c r="H654" s="1" t="s">
        <v>15</v>
      </c>
      <c r="I654" s="1" t="str">
        <f>"1"</f>
        <v>1</v>
      </c>
      <c r="J654" s="3">
        <v>1991.34</v>
      </c>
      <c r="K654" s="4">
        <v>46040</v>
      </c>
      <c r="L654" s="4">
        <v>46042</v>
      </c>
      <c r="M654" s="1" t="s">
        <v>11244</v>
      </c>
      <c r="N654" s="1" t="s">
        <v>11247</v>
      </c>
    </row>
    <row r="655" spans="1:14" s="1" customFormat="1" x14ac:dyDescent="0.35">
      <c r="A655" s="1" t="s">
        <v>0</v>
      </c>
      <c r="B655" s="1" t="s">
        <v>3268</v>
      </c>
      <c r="C655" s="1" t="s">
        <v>3341</v>
      </c>
      <c r="D655" s="1" t="s">
        <v>11248</v>
      </c>
      <c r="E655" s="1" t="str">
        <f>"5855"</f>
        <v>5855</v>
      </c>
      <c r="F655" s="1" t="str">
        <f>"014886563"</f>
        <v>014886563</v>
      </c>
      <c r="G655" s="1" t="s">
        <v>952</v>
      </c>
      <c r="H655" s="1" t="s">
        <v>15</v>
      </c>
      <c r="I655" s="1" t="str">
        <f>"1"</f>
        <v>1</v>
      </c>
      <c r="J655" s="3">
        <v>1991.34</v>
      </c>
      <c r="K655" s="4">
        <v>46040</v>
      </c>
      <c r="L655" s="4">
        <v>46042</v>
      </c>
      <c r="M655" s="1" t="s">
        <v>11244</v>
      </c>
      <c r="N655" s="1" t="s">
        <v>11247</v>
      </c>
    </row>
    <row r="656" spans="1:14" s="1" customFormat="1" x14ac:dyDescent="0.35">
      <c r="A656" s="1" t="s">
        <v>0</v>
      </c>
      <c r="B656" s="1" t="s">
        <v>3268</v>
      </c>
      <c r="C656" s="1" t="s">
        <v>3341</v>
      </c>
      <c r="D656" s="1" t="s">
        <v>11246</v>
      </c>
      <c r="E656" s="1" t="str">
        <f>"5855"</f>
        <v>5855</v>
      </c>
      <c r="F656" s="1" t="str">
        <f>"014886563"</f>
        <v>014886563</v>
      </c>
      <c r="G656" s="1" t="s">
        <v>952</v>
      </c>
      <c r="H656" s="1" t="s">
        <v>15</v>
      </c>
      <c r="I656" s="1" t="str">
        <f>"1"</f>
        <v>1</v>
      </c>
      <c r="J656" s="3">
        <v>1991.34</v>
      </c>
      <c r="K656" s="4">
        <v>46040</v>
      </c>
      <c r="L656" s="4">
        <v>46042</v>
      </c>
      <c r="M656" s="1" t="s">
        <v>11244</v>
      </c>
      <c r="N656" s="1" t="s">
        <v>6593</v>
      </c>
    </row>
    <row r="657" spans="1:14" s="1" customFormat="1" x14ac:dyDescent="0.35">
      <c r="A657" s="1" t="s">
        <v>0</v>
      </c>
      <c r="B657" s="1" t="s">
        <v>3268</v>
      </c>
      <c r="C657" s="1" t="s">
        <v>3341</v>
      </c>
      <c r="D657" s="1" t="s">
        <v>11245</v>
      </c>
      <c r="E657" s="1" t="str">
        <f>"5855"</f>
        <v>5855</v>
      </c>
      <c r="F657" s="1" t="str">
        <f>"014886563"</f>
        <v>014886563</v>
      </c>
      <c r="G657" s="1" t="s">
        <v>952</v>
      </c>
      <c r="H657" s="1" t="s">
        <v>15</v>
      </c>
      <c r="I657" s="1" t="str">
        <f>"1"</f>
        <v>1</v>
      </c>
      <c r="J657" s="3">
        <v>1991.34</v>
      </c>
      <c r="K657" s="4">
        <v>46040</v>
      </c>
      <c r="L657" s="4">
        <v>46042</v>
      </c>
      <c r="M657" s="1" t="s">
        <v>11244</v>
      </c>
      <c r="N657" s="1" t="s">
        <v>6593</v>
      </c>
    </row>
    <row r="658" spans="1:14" s="1" customFormat="1" x14ac:dyDescent="0.35">
      <c r="A658" s="1" t="s">
        <v>0</v>
      </c>
      <c r="B658" s="1" t="s">
        <v>3268</v>
      </c>
      <c r="C658" s="1" t="s">
        <v>3341</v>
      </c>
      <c r="D658" s="1" t="s">
        <v>11243</v>
      </c>
      <c r="E658" s="1" t="str">
        <f>"1240"</f>
        <v>1240</v>
      </c>
      <c r="F658" s="1" t="str">
        <f>"014111265"</f>
        <v>014111265</v>
      </c>
      <c r="G658" s="1" t="s">
        <v>71</v>
      </c>
      <c r="H658" s="1" t="s">
        <v>15</v>
      </c>
      <c r="I658" s="1" t="str">
        <f>"3"</f>
        <v>3</v>
      </c>
      <c r="J658" s="3" t="str">
        <f>"339"</f>
        <v>339</v>
      </c>
      <c r="K658" s="4">
        <v>46034</v>
      </c>
      <c r="L658" s="4">
        <v>46035</v>
      </c>
      <c r="M658" s="1" t="s">
        <v>11242</v>
      </c>
      <c r="N658" s="1" t="s">
        <v>11241</v>
      </c>
    </row>
    <row r="659" spans="1:14" s="1" customFormat="1" x14ac:dyDescent="0.35">
      <c r="A659" s="1" t="s">
        <v>0</v>
      </c>
      <c r="B659" s="1" t="s">
        <v>4381</v>
      </c>
      <c r="C659" s="1" t="s">
        <v>4447</v>
      </c>
      <c r="D659" s="1" t="s">
        <v>11240</v>
      </c>
      <c r="E659" s="1" t="str">
        <f>"3920"</f>
        <v>3920</v>
      </c>
      <c r="F659" s="1" t="s">
        <v>493</v>
      </c>
      <c r="G659" s="1" t="s">
        <v>494</v>
      </c>
      <c r="H659" s="1" t="s">
        <v>15</v>
      </c>
      <c r="I659" s="1" t="str">
        <f>"2"</f>
        <v>2</v>
      </c>
      <c r="J659" s="3">
        <v>37321.089999999997</v>
      </c>
      <c r="K659" s="4">
        <v>46037</v>
      </c>
      <c r="L659" s="4">
        <v>46038</v>
      </c>
      <c r="M659" s="1" t="s">
        <v>11074</v>
      </c>
      <c r="N659" s="1" t="s">
        <v>11239</v>
      </c>
    </row>
    <row r="660" spans="1:14" s="1" customFormat="1" x14ac:dyDescent="0.35">
      <c r="A660" s="1" t="s">
        <v>0</v>
      </c>
      <c r="B660" s="1" t="s">
        <v>802</v>
      </c>
      <c r="C660" s="1" t="s">
        <v>803</v>
      </c>
      <c r="D660" s="1" t="s">
        <v>11238</v>
      </c>
      <c r="E660" s="1" t="str">
        <f>"2360"</f>
        <v>2360</v>
      </c>
      <c r="F660" s="1" t="str">
        <f>"016651491"</f>
        <v>016651491</v>
      </c>
      <c r="G660" s="1" t="s">
        <v>1275</v>
      </c>
      <c r="H660" s="1" t="s">
        <v>15</v>
      </c>
      <c r="I660" s="1" t="str">
        <f>"1"</f>
        <v>1</v>
      </c>
      <c r="J660" s="3" t="str">
        <f>"17125"</f>
        <v>17125</v>
      </c>
      <c r="K660" s="4">
        <v>46105</v>
      </c>
      <c r="L660" s="4">
        <v>46106</v>
      </c>
      <c r="M660" s="1" t="s">
        <v>11237</v>
      </c>
      <c r="N660" s="1" t="s">
        <v>11236</v>
      </c>
    </row>
    <row r="661" spans="1:14" s="1" customFormat="1" x14ac:dyDescent="0.35">
      <c r="A661" s="1" t="s">
        <v>0</v>
      </c>
      <c r="B661" s="1" t="s">
        <v>1284</v>
      </c>
      <c r="C661" s="1" t="s">
        <v>1285</v>
      </c>
      <c r="D661" s="1" t="s">
        <v>11235</v>
      </c>
      <c r="E661" s="1" t="str">
        <f>"8430"</f>
        <v>8430</v>
      </c>
      <c r="F661" s="1" t="str">
        <f>"016837158"</f>
        <v>016837158</v>
      </c>
      <c r="G661" s="1" t="s">
        <v>11234</v>
      </c>
      <c r="H661" s="1" t="s">
        <v>47</v>
      </c>
      <c r="I661" s="1" t="str">
        <f>"1"</f>
        <v>1</v>
      </c>
      <c r="J661" s="3">
        <v>98.02</v>
      </c>
      <c r="K661" s="4">
        <v>46090</v>
      </c>
      <c r="L661" s="4">
        <v>46091</v>
      </c>
      <c r="M661" s="1" t="s">
        <v>11233</v>
      </c>
      <c r="N661" s="1" t="s">
        <v>11232</v>
      </c>
    </row>
    <row r="662" spans="1:14" s="1" customFormat="1" x14ac:dyDescent="0.35">
      <c r="A662" s="1" t="s">
        <v>0</v>
      </c>
      <c r="B662" s="1" t="s">
        <v>1284</v>
      </c>
      <c r="C662" s="1" t="s">
        <v>1285</v>
      </c>
      <c r="D662" s="1" t="s">
        <v>11231</v>
      </c>
      <c r="E662" s="1" t="str">
        <f>"8115"</f>
        <v>8115</v>
      </c>
      <c r="F662" s="1" t="s">
        <v>412</v>
      </c>
      <c r="G662" s="1" t="s">
        <v>413</v>
      </c>
      <c r="H662" s="1" t="s">
        <v>15</v>
      </c>
      <c r="I662" s="1" t="str">
        <f>"14"</f>
        <v>14</v>
      </c>
      <c r="J662" s="3" t="str">
        <f>"80"</f>
        <v>80</v>
      </c>
      <c r="K662" s="4">
        <v>46093</v>
      </c>
      <c r="L662" s="4">
        <v>46094</v>
      </c>
      <c r="M662" s="1" t="s">
        <v>11230</v>
      </c>
      <c r="N662" s="1" t="s">
        <v>11229</v>
      </c>
    </row>
    <row r="663" spans="1:14" s="1" customFormat="1" x14ac:dyDescent="0.35">
      <c r="A663" s="1" t="s">
        <v>0</v>
      </c>
      <c r="B663" s="1" t="s">
        <v>1453</v>
      </c>
      <c r="C663" s="1" t="s">
        <v>1454</v>
      </c>
      <c r="D663" s="1" t="s">
        <v>11228</v>
      </c>
      <c r="E663" s="1" t="str">
        <f>"1240"</f>
        <v>1240</v>
      </c>
      <c r="F663" s="1" t="str">
        <f>"015766134"</f>
        <v>015766134</v>
      </c>
      <c r="G663" s="1" t="s">
        <v>71</v>
      </c>
      <c r="H663" s="1" t="s">
        <v>15</v>
      </c>
      <c r="I663" s="1" t="str">
        <f>"7"</f>
        <v>7</v>
      </c>
      <c r="J663" s="3" t="str">
        <f>"589"</f>
        <v>589</v>
      </c>
      <c r="K663" s="4">
        <v>46052</v>
      </c>
      <c r="L663" s="4">
        <v>46055</v>
      </c>
      <c r="M663" s="1" t="s">
        <v>11227</v>
      </c>
      <c r="N663" s="1" t="s">
        <v>11226</v>
      </c>
    </row>
    <row r="664" spans="1:14" s="1" customFormat="1" x14ac:dyDescent="0.35">
      <c r="A664" s="1" t="s">
        <v>0</v>
      </c>
      <c r="B664" s="1" t="s">
        <v>1453</v>
      </c>
      <c r="C664" s="1" t="s">
        <v>1454</v>
      </c>
      <c r="D664" s="1" t="s">
        <v>11225</v>
      </c>
      <c r="E664" s="1" t="str">
        <f>"1240"</f>
        <v>1240</v>
      </c>
      <c r="F664" s="1" t="str">
        <f>"015766134"</f>
        <v>015766134</v>
      </c>
      <c r="G664" s="1" t="s">
        <v>71</v>
      </c>
      <c r="H664" s="1" t="s">
        <v>15</v>
      </c>
      <c r="I664" s="1" t="str">
        <f>"10"</f>
        <v>10</v>
      </c>
      <c r="J664" s="3" t="str">
        <f>"589"</f>
        <v>589</v>
      </c>
      <c r="K664" s="4">
        <v>46037</v>
      </c>
      <c r="L664" s="4">
        <v>46052</v>
      </c>
      <c r="M664" s="1" t="s">
        <v>11224</v>
      </c>
      <c r="N664" s="1" t="s">
        <v>11223</v>
      </c>
    </row>
    <row r="665" spans="1:14" s="1" customFormat="1" x14ac:dyDescent="0.35">
      <c r="A665" s="1" t="s">
        <v>0</v>
      </c>
      <c r="B665" s="1" t="s">
        <v>1303</v>
      </c>
      <c r="C665" s="1" t="s">
        <v>6199</v>
      </c>
      <c r="D665" s="1" t="s">
        <v>11222</v>
      </c>
      <c r="E665" s="1" t="str">
        <f>"4240"</f>
        <v>4240</v>
      </c>
      <c r="F665" s="1" t="str">
        <f>"015045727"</f>
        <v>015045727</v>
      </c>
      <c r="G665" s="1" t="s">
        <v>1354</v>
      </c>
      <c r="H665" s="1" t="s">
        <v>15</v>
      </c>
      <c r="I665" s="1" t="str">
        <f>"22"</f>
        <v>22</v>
      </c>
      <c r="J665" s="3">
        <v>71.900000000000006</v>
      </c>
      <c r="K665" s="4">
        <v>46058</v>
      </c>
      <c r="L665" s="4">
        <v>46058</v>
      </c>
      <c r="M665" s="1" t="s">
        <v>11221</v>
      </c>
      <c r="N665" s="1" t="s">
        <v>11220</v>
      </c>
    </row>
    <row r="666" spans="1:14" s="1" customFormat="1" x14ac:dyDescent="0.35">
      <c r="A666" s="1" t="s">
        <v>0</v>
      </c>
      <c r="B666" s="1" t="s">
        <v>435</v>
      </c>
      <c r="C666" s="1" t="s">
        <v>11219</v>
      </c>
      <c r="D666" s="1" t="s">
        <v>11218</v>
      </c>
      <c r="E666" s="1" t="str">
        <f>"2360"</f>
        <v>2360</v>
      </c>
      <c r="F666" s="1" t="str">
        <f>"015259963"</f>
        <v>015259963</v>
      </c>
      <c r="G666" s="1" t="s">
        <v>1913</v>
      </c>
      <c r="H666" s="1" t="s">
        <v>15</v>
      </c>
      <c r="I666" s="1" t="str">
        <f>"1"</f>
        <v>1</v>
      </c>
      <c r="J666" s="3" t="str">
        <f>"60000"</f>
        <v>60000</v>
      </c>
      <c r="K666" s="4">
        <v>46051</v>
      </c>
      <c r="L666" s="4">
        <v>46051</v>
      </c>
      <c r="M666" s="1" t="s">
        <v>11217</v>
      </c>
      <c r="N666" s="1" t="s">
        <v>11216</v>
      </c>
    </row>
    <row r="667" spans="1:14" s="1" customFormat="1" x14ac:dyDescent="0.35">
      <c r="A667" s="1" t="s">
        <v>0</v>
      </c>
      <c r="B667" s="1" t="s">
        <v>3356</v>
      </c>
      <c r="C667" s="1" t="s">
        <v>3661</v>
      </c>
      <c r="D667" s="1" t="s">
        <v>11215</v>
      </c>
      <c r="E667" s="1" t="str">
        <f>"2320"</f>
        <v>2320</v>
      </c>
      <c r="F667" s="1" t="str">
        <f>"015336348"</f>
        <v>015336348</v>
      </c>
      <c r="G667" s="1" t="s">
        <v>1860</v>
      </c>
      <c r="H667" s="1" t="s">
        <v>15</v>
      </c>
      <c r="I667" s="1" t="str">
        <f>"1"</f>
        <v>1</v>
      </c>
      <c r="J667" s="3" t="str">
        <f>"8800"</f>
        <v>8800</v>
      </c>
      <c r="K667" s="4">
        <v>46099</v>
      </c>
      <c r="L667" s="4">
        <v>46099</v>
      </c>
      <c r="M667" s="1" t="s">
        <v>11214</v>
      </c>
      <c r="N667" s="1" t="s">
        <v>11213</v>
      </c>
    </row>
    <row r="668" spans="1:14" s="1" customFormat="1" x14ac:dyDescent="0.35">
      <c r="A668" s="1" t="s">
        <v>0</v>
      </c>
      <c r="B668" s="1" t="s">
        <v>1013</v>
      </c>
      <c r="C668" s="1" t="s">
        <v>1083</v>
      </c>
      <c r="D668" s="1" t="s">
        <v>11212</v>
      </c>
      <c r="E668" s="1" t="str">
        <f>"2320"</f>
        <v>2320</v>
      </c>
      <c r="F668" s="1" t="str">
        <f>"011289551"</f>
        <v>011289551</v>
      </c>
      <c r="G668" s="1" t="s">
        <v>1860</v>
      </c>
      <c r="H668" s="1" t="s">
        <v>15</v>
      </c>
      <c r="I668" s="1" t="str">
        <f>"1"</f>
        <v>1</v>
      </c>
      <c r="J668" s="3" t="str">
        <f>"50458"</f>
        <v>50458</v>
      </c>
      <c r="K668" s="4">
        <v>46099</v>
      </c>
      <c r="L668" s="4">
        <v>46100</v>
      </c>
      <c r="N668" s="1" t="s">
        <v>11211</v>
      </c>
    </row>
    <row r="669" spans="1:14" s="1" customFormat="1" x14ac:dyDescent="0.35">
      <c r="A669" s="1" t="s">
        <v>0</v>
      </c>
      <c r="B669" s="1" t="s">
        <v>1989</v>
      </c>
      <c r="C669" s="1" t="s">
        <v>6023</v>
      </c>
      <c r="D669" s="1" t="s">
        <v>11210</v>
      </c>
      <c r="E669" s="1" t="str">
        <f>"2320"</f>
        <v>2320</v>
      </c>
      <c r="F669" s="1" t="str">
        <f>"010911597"</f>
        <v>010911597</v>
      </c>
      <c r="G669" s="1" t="s">
        <v>4468</v>
      </c>
      <c r="H669" s="1" t="s">
        <v>15</v>
      </c>
      <c r="I669" s="1" t="str">
        <f>"1"</f>
        <v>1</v>
      </c>
      <c r="J669" s="3" t="str">
        <f>"150120"</f>
        <v>150120</v>
      </c>
      <c r="K669" s="4">
        <v>46074</v>
      </c>
      <c r="L669" s="4">
        <v>46076</v>
      </c>
      <c r="M669" s="1" t="s">
        <v>11209</v>
      </c>
      <c r="N669" s="1" t="s">
        <v>11208</v>
      </c>
    </row>
    <row r="670" spans="1:14" s="1" customFormat="1" x14ac:dyDescent="0.35">
      <c r="A670" s="1" t="s">
        <v>0</v>
      </c>
      <c r="B670" s="1" t="s">
        <v>1989</v>
      </c>
      <c r="C670" s="1" t="s">
        <v>6023</v>
      </c>
      <c r="D670" s="1" t="s">
        <v>11207</v>
      </c>
      <c r="E670" s="1" t="str">
        <f>"5855"</f>
        <v>5855</v>
      </c>
      <c r="F670" s="1" t="str">
        <f>"015485687"</f>
        <v>015485687</v>
      </c>
      <c r="G670" s="1" t="s">
        <v>798</v>
      </c>
      <c r="H670" s="1" t="s">
        <v>15</v>
      </c>
      <c r="I670" s="1" t="str">
        <f>"12"</f>
        <v>12</v>
      </c>
      <c r="J670" s="3" t="str">
        <f>"10402"</f>
        <v>10402</v>
      </c>
      <c r="K670" s="4">
        <v>46080</v>
      </c>
      <c r="L670" s="4">
        <v>46083</v>
      </c>
      <c r="M670" s="1" t="s">
        <v>11206</v>
      </c>
      <c r="N670" s="1" t="s">
        <v>11205</v>
      </c>
    </row>
    <row r="671" spans="1:14" s="1" customFormat="1" x14ac:dyDescent="0.35">
      <c r="A671" s="1" t="s">
        <v>0</v>
      </c>
      <c r="B671" s="1" t="s">
        <v>1989</v>
      </c>
      <c r="C671" s="1" t="s">
        <v>6023</v>
      </c>
      <c r="D671" s="1" t="s">
        <v>11204</v>
      </c>
      <c r="E671" s="1" t="str">
        <f>"2340"</f>
        <v>2340</v>
      </c>
      <c r="F671" s="1" t="s">
        <v>1071</v>
      </c>
      <c r="G671" s="1" t="s">
        <v>1072</v>
      </c>
      <c r="H671" s="1" t="s">
        <v>15</v>
      </c>
      <c r="I671" s="1" t="str">
        <f>"1"</f>
        <v>1</v>
      </c>
      <c r="J671" s="3" t="str">
        <f>"5000"</f>
        <v>5000</v>
      </c>
      <c r="K671" s="4">
        <v>46095</v>
      </c>
      <c r="L671" s="4">
        <v>46097</v>
      </c>
      <c r="M671" s="1" t="s">
        <v>11203</v>
      </c>
      <c r="N671" s="1" t="s">
        <v>6020</v>
      </c>
    </row>
    <row r="672" spans="1:14" s="1" customFormat="1" x14ac:dyDescent="0.35">
      <c r="A672" s="1" t="s">
        <v>0</v>
      </c>
      <c r="B672" s="1" t="s">
        <v>3356</v>
      </c>
      <c r="C672" s="1" t="s">
        <v>3666</v>
      </c>
      <c r="D672" s="1" t="s">
        <v>11202</v>
      </c>
      <c r="E672" s="1" t="str">
        <f>"7025"</f>
        <v>7025</v>
      </c>
      <c r="F672" s="1" t="s">
        <v>5976</v>
      </c>
      <c r="G672" s="1" t="s">
        <v>5975</v>
      </c>
      <c r="H672" s="1" t="s">
        <v>15</v>
      </c>
      <c r="I672" s="1" t="str">
        <f>"1"</f>
        <v>1</v>
      </c>
      <c r="J672" s="3" t="str">
        <f>"2000"</f>
        <v>2000</v>
      </c>
      <c r="K672" s="4">
        <v>46039</v>
      </c>
      <c r="L672" s="4">
        <v>46041</v>
      </c>
      <c r="M672" s="1" t="s">
        <v>11201</v>
      </c>
      <c r="N672" s="1" t="s">
        <v>11200</v>
      </c>
    </row>
    <row r="673" spans="1:14" s="1" customFormat="1" x14ac:dyDescent="0.35">
      <c r="A673" s="1" t="s">
        <v>0</v>
      </c>
      <c r="B673" s="1" t="s">
        <v>3356</v>
      </c>
      <c r="C673" s="1" t="s">
        <v>3666</v>
      </c>
      <c r="D673" s="1" t="s">
        <v>11199</v>
      </c>
      <c r="E673" s="1" t="str">
        <f>"2310"</f>
        <v>2310</v>
      </c>
      <c r="F673" s="1" t="str">
        <f>"010907741"</f>
        <v>010907741</v>
      </c>
      <c r="G673" s="1" t="s">
        <v>710</v>
      </c>
      <c r="H673" s="1" t="s">
        <v>15</v>
      </c>
      <c r="I673" s="1" t="str">
        <f>"1"</f>
        <v>1</v>
      </c>
      <c r="J673" s="3" t="str">
        <f>"30027"</f>
        <v>30027</v>
      </c>
      <c r="K673" s="4">
        <v>46039</v>
      </c>
      <c r="L673" s="4">
        <v>46041</v>
      </c>
      <c r="M673" s="1" t="s">
        <v>11000</v>
      </c>
      <c r="N673" s="1" t="s">
        <v>11198</v>
      </c>
    </row>
    <row r="674" spans="1:14" s="1" customFormat="1" x14ac:dyDescent="0.35">
      <c r="A674" s="1" t="s">
        <v>0</v>
      </c>
      <c r="B674" s="1" t="s">
        <v>3356</v>
      </c>
      <c r="C674" s="1" t="s">
        <v>3666</v>
      </c>
      <c r="D674" s="1" t="s">
        <v>11197</v>
      </c>
      <c r="E674" s="1" t="str">
        <f>"2310"</f>
        <v>2310</v>
      </c>
      <c r="F674" s="1" t="str">
        <f>"010907741"</f>
        <v>010907741</v>
      </c>
      <c r="G674" s="1" t="s">
        <v>710</v>
      </c>
      <c r="H674" s="1" t="s">
        <v>15</v>
      </c>
      <c r="I674" s="1" t="str">
        <f>"1"</f>
        <v>1</v>
      </c>
      <c r="J674" s="3" t="str">
        <f>"30027"</f>
        <v>30027</v>
      </c>
      <c r="K674" s="4">
        <v>46039</v>
      </c>
      <c r="L674" s="4">
        <v>46041</v>
      </c>
      <c r="M674" s="1" t="s">
        <v>11196</v>
      </c>
      <c r="N674" s="1" t="s">
        <v>11195</v>
      </c>
    </row>
    <row r="675" spans="1:14" s="1" customFormat="1" x14ac:dyDescent="0.35">
      <c r="A675" s="1" t="s">
        <v>0</v>
      </c>
      <c r="B675" s="1" t="s">
        <v>3356</v>
      </c>
      <c r="C675" s="1" t="s">
        <v>3666</v>
      </c>
      <c r="D675" s="1" t="s">
        <v>11194</v>
      </c>
      <c r="E675" s="1" t="str">
        <f>"2310"</f>
        <v>2310</v>
      </c>
      <c r="F675" s="1" t="str">
        <f>"010907741"</f>
        <v>010907741</v>
      </c>
      <c r="G675" s="1" t="s">
        <v>710</v>
      </c>
      <c r="H675" s="1" t="s">
        <v>15</v>
      </c>
      <c r="I675" s="1" t="str">
        <f>"1"</f>
        <v>1</v>
      </c>
      <c r="J675" s="3" t="str">
        <f>"30027"</f>
        <v>30027</v>
      </c>
      <c r="K675" s="4">
        <v>46039</v>
      </c>
      <c r="L675" s="4">
        <v>46042</v>
      </c>
      <c r="M675" s="1" t="s">
        <v>11000</v>
      </c>
      <c r="N675" s="1" t="s">
        <v>11193</v>
      </c>
    </row>
    <row r="676" spans="1:14" s="1" customFormat="1" x14ac:dyDescent="0.35">
      <c r="A676" s="1" t="s">
        <v>0</v>
      </c>
      <c r="B676" s="1" t="s">
        <v>3356</v>
      </c>
      <c r="C676" s="1" t="s">
        <v>3666</v>
      </c>
      <c r="D676" s="1" t="s">
        <v>11192</v>
      </c>
      <c r="E676" s="1" t="str">
        <f>"7021"</f>
        <v>7021</v>
      </c>
      <c r="F676" s="1" t="s">
        <v>3742</v>
      </c>
      <c r="G676" s="1" t="s">
        <v>3743</v>
      </c>
      <c r="H676" s="1" t="s">
        <v>15</v>
      </c>
      <c r="I676" s="1" t="str">
        <f>"16"</f>
        <v>16</v>
      </c>
      <c r="J676" s="3" t="str">
        <f>"2000"</f>
        <v>2000</v>
      </c>
      <c r="K676" s="4">
        <v>46039</v>
      </c>
      <c r="L676" s="4">
        <v>46041</v>
      </c>
      <c r="M676" s="1" t="s">
        <v>11191</v>
      </c>
      <c r="N676" s="1" t="s">
        <v>11190</v>
      </c>
    </row>
    <row r="677" spans="1:14" s="1" customFormat="1" x14ac:dyDescent="0.35">
      <c r="A677" s="1" t="s">
        <v>0</v>
      </c>
      <c r="B677" s="1" t="s">
        <v>3356</v>
      </c>
      <c r="C677" s="1" t="s">
        <v>3666</v>
      </c>
      <c r="D677" s="1" t="s">
        <v>11189</v>
      </c>
      <c r="E677" s="1" t="str">
        <f>"4940"</f>
        <v>4940</v>
      </c>
      <c r="F677" s="1" t="str">
        <f>"015650595"</f>
        <v>015650595</v>
      </c>
      <c r="G677" s="1" t="s">
        <v>1226</v>
      </c>
      <c r="H677" s="1" t="s">
        <v>15</v>
      </c>
      <c r="I677" s="1" t="str">
        <f>"1"</f>
        <v>1</v>
      </c>
      <c r="J677" s="3" t="str">
        <f>"51000"</f>
        <v>51000</v>
      </c>
      <c r="K677" s="4">
        <v>46036</v>
      </c>
      <c r="L677" s="4">
        <v>46037</v>
      </c>
      <c r="M677" s="1" t="s">
        <v>11188</v>
      </c>
      <c r="N677" s="1" t="s">
        <v>11187</v>
      </c>
    </row>
    <row r="678" spans="1:14" s="1" customFormat="1" x14ac:dyDescent="0.35">
      <c r="A678" s="1" t="s">
        <v>0</v>
      </c>
      <c r="B678" s="1" t="s">
        <v>3356</v>
      </c>
      <c r="C678" s="1" t="s">
        <v>3666</v>
      </c>
      <c r="D678" s="1" t="s">
        <v>11186</v>
      </c>
      <c r="E678" s="1" t="str">
        <f>"3805"</f>
        <v>3805</v>
      </c>
      <c r="F678" s="1" t="s">
        <v>1020</v>
      </c>
      <c r="G678" s="1" t="s">
        <v>1021</v>
      </c>
      <c r="H678" s="1" t="s">
        <v>15</v>
      </c>
      <c r="I678" s="1" t="str">
        <f>"1"</f>
        <v>1</v>
      </c>
      <c r="J678" s="3" t="str">
        <f>"40000"</f>
        <v>40000</v>
      </c>
      <c r="K678" s="4">
        <v>46046</v>
      </c>
      <c r="L678" s="4">
        <v>46048</v>
      </c>
      <c r="M678" s="1" t="s">
        <v>11000</v>
      </c>
      <c r="N678" s="1" t="s">
        <v>11185</v>
      </c>
    </row>
    <row r="679" spans="1:14" s="1" customFormat="1" x14ac:dyDescent="0.35">
      <c r="A679" s="1" t="s">
        <v>0</v>
      </c>
      <c r="B679" s="1" t="s">
        <v>3356</v>
      </c>
      <c r="C679" s="1" t="s">
        <v>3666</v>
      </c>
      <c r="D679" s="1" t="s">
        <v>11184</v>
      </c>
      <c r="E679" s="1" t="str">
        <f>"2330"</f>
        <v>2330</v>
      </c>
      <c r="F679" s="1" t="s">
        <v>104</v>
      </c>
      <c r="G679" s="1" t="s">
        <v>105</v>
      </c>
      <c r="H679" s="1" t="s">
        <v>15</v>
      </c>
      <c r="I679" s="1" t="str">
        <f>"1"</f>
        <v>1</v>
      </c>
      <c r="J679" s="3" t="str">
        <f>"6111"</f>
        <v>6111</v>
      </c>
      <c r="K679" s="4">
        <v>46046</v>
      </c>
      <c r="L679" s="4">
        <v>46048</v>
      </c>
      <c r="M679" s="1" t="s">
        <v>11000</v>
      </c>
      <c r="N679" s="1" t="s">
        <v>11183</v>
      </c>
    </row>
    <row r="680" spans="1:14" s="1" customFormat="1" x14ac:dyDescent="0.35">
      <c r="A680" s="1" t="s">
        <v>0</v>
      </c>
      <c r="B680" s="1" t="s">
        <v>3356</v>
      </c>
      <c r="C680" s="1" t="s">
        <v>3666</v>
      </c>
      <c r="D680" s="1" t="s">
        <v>11182</v>
      </c>
      <c r="E680" s="1" t="str">
        <f>"2310"</f>
        <v>2310</v>
      </c>
      <c r="F680" s="1" t="str">
        <f>"010907739"</f>
        <v>010907739</v>
      </c>
      <c r="G680" s="1" t="s">
        <v>710</v>
      </c>
      <c r="H680" s="1" t="s">
        <v>15</v>
      </c>
      <c r="I680" s="1" t="str">
        <f>"1"</f>
        <v>1</v>
      </c>
      <c r="J680" s="3" t="str">
        <f>"9176"</f>
        <v>9176</v>
      </c>
      <c r="K680" s="4">
        <v>46056</v>
      </c>
      <c r="L680" s="4">
        <v>46058</v>
      </c>
      <c r="M680" s="1" t="s">
        <v>11171</v>
      </c>
      <c r="N680" s="1" t="s">
        <v>3668</v>
      </c>
    </row>
    <row r="681" spans="1:14" s="1" customFormat="1" x14ac:dyDescent="0.35">
      <c r="A681" s="1" t="s">
        <v>0</v>
      </c>
      <c r="B681" s="1" t="s">
        <v>3356</v>
      </c>
      <c r="C681" s="1" t="s">
        <v>3666</v>
      </c>
      <c r="D681" s="1" t="s">
        <v>11181</v>
      </c>
      <c r="E681" s="1" t="str">
        <f>"2310"</f>
        <v>2310</v>
      </c>
      <c r="F681" s="1" t="str">
        <f>"010907739"</f>
        <v>010907739</v>
      </c>
      <c r="G681" s="1" t="s">
        <v>710</v>
      </c>
      <c r="H681" s="1" t="s">
        <v>15</v>
      </c>
      <c r="I681" s="1" t="str">
        <f>"1"</f>
        <v>1</v>
      </c>
      <c r="J681" s="3" t="str">
        <f>"9176"</f>
        <v>9176</v>
      </c>
      <c r="K681" s="4">
        <v>46056</v>
      </c>
      <c r="L681" s="4">
        <v>46058</v>
      </c>
      <c r="M681" s="1" t="s">
        <v>11153</v>
      </c>
      <c r="N681" s="1" t="s">
        <v>3668</v>
      </c>
    </row>
    <row r="682" spans="1:14" s="1" customFormat="1" x14ac:dyDescent="0.35">
      <c r="A682" s="1" t="s">
        <v>0</v>
      </c>
      <c r="B682" s="1" t="s">
        <v>3356</v>
      </c>
      <c r="C682" s="1" t="s">
        <v>3666</v>
      </c>
      <c r="D682" s="1" t="s">
        <v>11180</v>
      </c>
      <c r="E682" s="1" t="str">
        <f>"2320"</f>
        <v>2320</v>
      </c>
      <c r="F682" s="1" t="s">
        <v>100</v>
      </c>
      <c r="G682" s="1" t="s">
        <v>101</v>
      </c>
      <c r="H682" s="1" t="s">
        <v>15</v>
      </c>
      <c r="I682" s="1" t="str">
        <f>"1"</f>
        <v>1</v>
      </c>
      <c r="J682" s="3" t="str">
        <f>"33000"</f>
        <v>33000</v>
      </c>
      <c r="K682" s="4">
        <v>46082</v>
      </c>
      <c r="L682" s="4">
        <v>46083</v>
      </c>
      <c r="M682" s="1" t="s">
        <v>11171</v>
      </c>
      <c r="N682" s="1" t="s">
        <v>11179</v>
      </c>
    </row>
    <row r="683" spans="1:14" s="1" customFormat="1" x14ac:dyDescent="0.35">
      <c r="A683" s="1" t="s">
        <v>0</v>
      </c>
      <c r="B683" s="1" t="s">
        <v>3356</v>
      </c>
      <c r="C683" s="1" t="s">
        <v>3666</v>
      </c>
      <c r="D683" s="1" t="s">
        <v>11178</v>
      </c>
      <c r="E683" s="1" t="str">
        <f>"2330"</f>
        <v>2330</v>
      </c>
      <c r="F683" s="1" t="str">
        <f>"010911710"</f>
        <v>010911710</v>
      </c>
      <c r="G683" s="1" t="s">
        <v>3511</v>
      </c>
      <c r="H683" s="1" t="s">
        <v>15</v>
      </c>
      <c r="I683" s="1" t="str">
        <f>"1"</f>
        <v>1</v>
      </c>
      <c r="J683" s="3" t="str">
        <f>"4200"</f>
        <v>4200</v>
      </c>
      <c r="K683" s="4">
        <v>46082</v>
      </c>
      <c r="L683" s="4">
        <v>46083</v>
      </c>
      <c r="M683" s="1" t="s">
        <v>11171</v>
      </c>
      <c r="N683" s="1" t="s">
        <v>11177</v>
      </c>
    </row>
    <row r="684" spans="1:14" s="1" customFormat="1" x14ac:dyDescent="0.35">
      <c r="A684" s="1" t="s">
        <v>0</v>
      </c>
      <c r="B684" s="1" t="s">
        <v>3356</v>
      </c>
      <c r="C684" s="1" t="s">
        <v>3666</v>
      </c>
      <c r="D684" s="1" t="s">
        <v>11176</v>
      </c>
      <c r="E684" s="1" t="str">
        <f>"2320"</f>
        <v>2320</v>
      </c>
      <c r="F684" s="1" t="str">
        <f>"014225414"</f>
        <v>014225414</v>
      </c>
      <c r="G684" s="1" t="s">
        <v>1762</v>
      </c>
      <c r="H684" s="1" t="s">
        <v>15</v>
      </c>
      <c r="I684" s="1" t="str">
        <f>"1"</f>
        <v>1</v>
      </c>
      <c r="J684" s="3" t="str">
        <f>"182215"</f>
        <v>182215</v>
      </c>
      <c r="K684" s="4">
        <v>46082</v>
      </c>
      <c r="L684" s="4">
        <v>46083</v>
      </c>
      <c r="M684" s="1" t="s">
        <v>11171</v>
      </c>
      <c r="N684" s="1" t="s">
        <v>11175</v>
      </c>
    </row>
    <row r="685" spans="1:14" s="1" customFormat="1" x14ac:dyDescent="0.35">
      <c r="A685" s="1" t="s">
        <v>0</v>
      </c>
      <c r="B685" s="1" t="s">
        <v>3356</v>
      </c>
      <c r="C685" s="1" t="s">
        <v>3666</v>
      </c>
      <c r="D685" s="1" t="s">
        <v>11174</v>
      </c>
      <c r="E685" s="1" t="str">
        <f>"2320"</f>
        <v>2320</v>
      </c>
      <c r="F685" s="1" t="str">
        <f>"007529289"</f>
        <v>007529289</v>
      </c>
      <c r="G685" s="1" t="s">
        <v>930</v>
      </c>
      <c r="H685" s="1" t="s">
        <v>15</v>
      </c>
      <c r="I685" s="1" t="str">
        <f>"1"</f>
        <v>1</v>
      </c>
      <c r="J685" s="3" t="str">
        <f>"4202"</f>
        <v>4202</v>
      </c>
      <c r="K685" s="4">
        <v>46082</v>
      </c>
      <c r="L685" s="4">
        <v>46083</v>
      </c>
      <c r="M685" s="1" t="s">
        <v>11000</v>
      </c>
      <c r="N685" s="1" t="s">
        <v>11173</v>
      </c>
    </row>
    <row r="686" spans="1:14" s="1" customFormat="1" x14ac:dyDescent="0.35">
      <c r="A686" s="1" t="s">
        <v>0</v>
      </c>
      <c r="B686" s="1" t="s">
        <v>3356</v>
      </c>
      <c r="C686" s="1" t="s">
        <v>3666</v>
      </c>
      <c r="D686" s="1" t="s">
        <v>11172</v>
      </c>
      <c r="E686" s="1" t="str">
        <f>"2310"</f>
        <v>2310</v>
      </c>
      <c r="F686" s="1" t="s">
        <v>4332</v>
      </c>
      <c r="G686" s="1" t="s">
        <v>4333</v>
      </c>
      <c r="H686" s="1" t="s">
        <v>15</v>
      </c>
      <c r="I686" s="1" t="str">
        <f>"1"</f>
        <v>1</v>
      </c>
      <c r="J686" s="3" t="str">
        <f>"81369"</f>
        <v>81369</v>
      </c>
      <c r="K686" s="4">
        <v>46096</v>
      </c>
      <c r="L686" s="4">
        <v>46098</v>
      </c>
      <c r="M686" s="1" t="s">
        <v>11171</v>
      </c>
      <c r="N686" s="1" t="s">
        <v>11170</v>
      </c>
    </row>
    <row r="687" spans="1:14" s="1" customFormat="1" x14ac:dyDescent="0.35">
      <c r="A687" s="1" t="s">
        <v>0</v>
      </c>
      <c r="B687" s="1" t="s">
        <v>3356</v>
      </c>
      <c r="C687" s="1" t="s">
        <v>3666</v>
      </c>
      <c r="D687" s="1" t="s">
        <v>11169</v>
      </c>
      <c r="E687" s="1" t="str">
        <f>"2340"</f>
        <v>2340</v>
      </c>
      <c r="F687" s="1" t="s">
        <v>1071</v>
      </c>
      <c r="G687" s="1" t="s">
        <v>1072</v>
      </c>
      <c r="H687" s="1" t="s">
        <v>15</v>
      </c>
      <c r="I687" s="1" t="str">
        <f>"1"</f>
        <v>1</v>
      </c>
      <c r="J687" s="3" t="str">
        <f>"5000"</f>
        <v>5000</v>
      </c>
      <c r="K687" s="4">
        <v>46096</v>
      </c>
      <c r="L687" s="4">
        <v>46097</v>
      </c>
      <c r="M687" s="1" t="s">
        <v>11168</v>
      </c>
      <c r="N687" s="1" t="s">
        <v>11167</v>
      </c>
    </row>
    <row r="688" spans="1:14" s="1" customFormat="1" x14ac:dyDescent="0.35">
      <c r="A688" s="1" t="s">
        <v>0</v>
      </c>
      <c r="B688" s="1" t="s">
        <v>3356</v>
      </c>
      <c r="C688" s="1" t="s">
        <v>3666</v>
      </c>
      <c r="D688" s="1" t="s">
        <v>11166</v>
      </c>
      <c r="E688" s="1" t="str">
        <f>"2340"</f>
        <v>2340</v>
      </c>
      <c r="F688" s="1" t="s">
        <v>1071</v>
      </c>
      <c r="G688" s="1" t="s">
        <v>1072</v>
      </c>
      <c r="H688" s="1" t="s">
        <v>15</v>
      </c>
      <c r="I688" s="1" t="str">
        <f>"1"</f>
        <v>1</v>
      </c>
      <c r="J688" s="3" t="str">
        <f>"5000"</f>
        <v>5000</v>
      </c>
      <c r="K688" s="4">
        <v>46096</v>
      </c>
      <c r="L688" s="4">
        <v>46097</v>
      </c>
      <c r="M688" s="1" t="s">
        <v>11165</v>
      </c>
      <c r="N688" s="1" t="s">
        <v>11164</v>
      </c>
    </row>
    <row r="689" spans="1:14" s="1" customFormat="1" x14ac:dyDescent="0.35">
      <c r="A689" s="1" t="s">
        <v>0</v>
      </c>
      <c r="B689" s="1" t="s">
        <v>3356</v>
      </c>
      <c r="C689" s="1" t="s">
        <v>3666</v>
      </c>
      <c r="D689" s="1" t="s">
        <v>11163</v>
      </c>
      <c r="E689" s="1" t="str">
        <f>"2340"</f>
        <v>2340</v>
      </c>
      <c r="F689" s="1" t="s">
        <v>2713</v>
      </c>
      <c r="G689" s="1" t="s">
        <v>2714</v>
      </c>
      <c r="H689" s="1" t="s">
        <v>15</v>
      </c>
      <c r="I689" s="1" t="str">
        <f>"1"</f>
        <v>1</v>
      </c>
      <c r="J689" s="3" t="str">
        <f>"8000"</f>
        <v>8000</v>
      </c>
      <c r="K689" s="4">
        <v>46096</v>
      </c>
      <c r="L689" s="4">
        <v>46097</v>
      </c>
      <c r="M689" s="1" t="s">
        <v>11162</v>
      </c>
      <c r="N689" s="1" t="s">
        <v>11161</v>
      </c>
    </row>
    <row r="690" spans="1:14" s="1" customFormat="1" x14ac:dyDescent="0.35">
      <c r="A690" s="1" t="s">
        <v>0</v>
      </c>
      <c r="B690" s="1" t="s">
        <v>3356</v>
      </c>
      <c r="C690" s="1" t="s">
        <v>3666</v>
      </c>
      <c r="D690" s="1" t="s">
        <v>11160</v>
      </c>
      <c r="E690" s="1" t="str">
        <f>"2340"</f>
        <v>2340</v>
      </c>
      <c r="F690" s="1" t="s">
        <v>179</v>
      </c>
      <c r="G690" s="1" t="s">
        <v>180</v>
      </c>
      <c r="H690" s="1" t="s">
        <v>15</v>
      </c>
      <c r="I690" s="1" t="str">
        <f>"1"</f>
        <v>1</v>
      </c>
      <c r="J690" s="3" t="str">
        <f>"27028"</f>
        <v>27028</v>
      </c>
      <c r="K690" s="4">
        <v>46103</v>
      </c>
      <c r="L690" s="4">
        <v>46103</v>
      </c>
      <c r="M690" s="1" t="s">
        <v>11159</v>
      </c>
      <c r="N690" s="1" t="s">
        <v>11158</v>
      </c>
    </row>
    <row r="691" spans="1:14" s="1" customFormat="1" x14ac:dyDescent="0.35">
      <c r="A691" s="1" t="s">
        <v>0</v>
      </c>
      <c r="B691" s="1" t="s">
        <v>3356</v>
      </c>
      <c r="C691" s="1" t="s">
        <v>3666</v>
      </c>
      <c r="D691" s="1" t="s">
        <v>11157</v>
      </c>
      <c r="E691" s="1" t="str">
        <f>"2340"</f>
        <v>2340</v>
      </c>
      <c r="F691" s="1" t="s">
        <v>179</v>
      </c>
      <c r="G691" s="1" t="s">
        <v>180</v>
      </c>
      <c r="H691" s="1" t="s">
        <v>15</v>
      </c>
      <c r="I691" s="1" t="str">
        <f>"1"</f>
        <v>1</v>
      </c>
      <c r="J691" s="3" t="str">
        <f>"17675"</f>
        <v>17675</v>
      </c>
      <c r="K691" s="4">
        <v>46103</v>
      </c>
      <c r="L691" s="4">
        <v>46103</v>
      </c>
      <c r="M691" s="1" t="s">
        <v>11156</v>
      </c>
      <c r="N691" s="1" t="s">
        <v>11155</v>
      </c>
    </row>
    <row r="692" spans="1:14" s="1" customFormat="1" x14ac:dyDescent="0.35">
      <c r="A692" s="1" t="s">
        <v>0</v>
      </c>
      <c r="B692" s="1" t="s">
        <v>3356</v>
      </c>
      <c r="C692" s="1" t="s">
        <v>3666</v>
      </c>
      <c r="D692" s="1" t="s">
        <v>11154</v>
      </c>
      <c r="E692" s="1" t="str">
        <f>"2420"</f>
        <v>2420</v>
      </c>
      <c r="F692" s="1" t="s">
        <v>110</v>
      </c>
      <c r="G692" s="1" t="s">
        <v>111</v>
      </c>
      <c r="H692" s="1" t="s">
        <v>15</v>
      </c>
      <c r="I692" s="1" t="str">
        <f>"1"</f>
        <v>1</v>
      </c>
      <c r="J692" s="3" t="str">
        <f>"10000"</f>
        <v>10000</v>
      </c>
      <c r="K692" s="4">
        <v>46103</v>
      </c>
      <c r="L692" s="4">
        <v>46103</v>
      </c>
      <c r="M692" s="1" t="s">
        <v>11153</v>
      </c>
      <c r="N692" s="1" t="s">
        <v>11152</v>
      </c>
    </row>
    <row r="693" spans="1:14" s="1" customFormat="1" x14ac:dyDescent="0.35">
      <c r="A693" s="1" t="s">
        <v>0</v>
      </c>
      <c r="B693" s="1" t="s">
        <v>3356</v>
      </c>
      <c r="C693" s="1" t="s">
        <v>3666</v>
      </c>
      <c r="D693" s="1" t="s">
        <v>11151</v>
      </c>
      <c r="E693" s="1" t="str">
        <f>"3805"</f>
        <v>3805</v>
      </c>
      <c r="F693" s="1" t="s">
        <v>1020</v>
      </c>
      <c r="G693" s="1" t="s">
        <v>1021</v>
      </c>
      <c r="H693" s="1" t="s">
        <v>15</v>
      </c>
      <c r="I693" s="1" t="str">
        <f>"1"</f>
        <v>1</v>
      </c>
      <c r="J693" s="3">
        <v>102143.01</v>
      </c>
      <c r="K693" s="4">
        <v>46103</v>
      </c>
      <c r="L693" s="4">
        <v>46103</v>
      </c>
      <c r="M693" s="1" t="s">
        <v>11150</v>
      </c>
      <c r="N693" s="1" t="s">
        <v>11149</v>
      </c>
    </row>
    <row r="694" spans="1:14" s="1" customFormat="1" x14ac:dyDescent="0.35">
      <c r="A694" s="1" t="s">
        <v>0</v>
      </c>
      <c r="B694" s="1" t="s">
        <v>3356</v>
      </c>
      <c r="C694" s="1" t="s">
        <v>3666</v>
      </c>
      <c r="D694" s="1" t="s">
        <v>11148</v>
      </c>
      <c r="E694" s="1" t="str">
        <f>"2340"</f>
        <v>2340</v>
      </c>
      <c r="F694" s="1" t="s">
        <v>1071</v>
      </c>
      <c r="G694" s="1" t="s">
        <v>1072</v>
      </c>
      <c r="H694" s="1" t="s">
        <v>15</v>
      </c>
      <c r="I694" s="1" t="str">
        <f>"1"</f>
        <v>1</v>
      </c>
      <c r="J694" s="3" t="str">
        <f>"3000"</f>
        <v>3000</v>
      </c>
      <c r="K694" s="4">
        <v>46109</v>
      </c>
      <c r="L694" s="4">
        <v>46111</v>
      </c>
      <c r="M694" s="1" t="s">
        <v>11147</v>
      </c>
      <c r="N694" s="1" t="s">
        <v>11146</v>
      </c>
    </row>
    <row r="695" spans="1:14" s="1" customFormat="1" x14ac:dyDescent="0.35">
      <c r="A695" s="1" t="s">
        <v>0</v>
      </c>
      <c r="B695" s="1" t="s">
        <v>3356</v>
      </c>
      <c r="C695" s="1" t="s">
        <v>3666</v>
      </c>
      <c r="D695" s="1" t="s">
        <v>11145</v>
      </c>
      <c r="E695" s="1" t="str">
        <f>"2320"</f>
        <v>2320</v>
      </c>
      <c r="F695" s="1" t="str">
        <f>"009651039"</f>
        <v>009651039</v>
      </c>
      <c r="G695" s="1" t="s">
        <v>930</v>
      </c>
      <c r="H695" s="1" t="s">
        <v>15</v>
      </c>
      <c r="I695" s="1" t="str">
        <f>"1"</f>
        <v>1</v>
      </c>
      <c r="J695" s="3" t="str">
        <f>"3123"</f>
        <v>3123</v>
      </c>
      <c r="K695" s="4">
        <v>46109</v>
      </c>
      <c r="L695" s="4">
        <v>46111</v>
      </c>
      <c r="M695" s="1" t="s">
        <v>11144</v>
      </c>
      <c r="N695" s="1" t="s">
        <v>11143</v>
      </c>
    </row>
    <row r="696" spans="1:14" s="1" customFormat="1" x14ac:dyDescent="0.35">
      <c r="A696" s="1" t="s">
        <v>0</v>
      </c>
      <c r="B696" s="1" t="s">
        <v>3356</v>
      </c>
      <c r="C696" s="1" t="s">
        <v>3666</v>
      </c>
      <c r="D696" s="1" t="s">
        <v>11142</v>
      </c>
      <c r="E696" s="1" t="str">
        <f>"2340"</f>
        <v>2340</v>
      </c>
      <c r="F696" s="1" t="s">
        <v>179</v>
      </c>
      <c r="G696" s="1" t="s">
        <v>180</v>
      </c>
      <c r="H696" s="1" t="s">
        <v>15</v>
      </c>
      <c r="I696" s="1" t="str">
        <f>"1"</f>
        <v>1</v>
      </c>
      <c r="J696" s="3" t="str">
        <f>"9500"</f>
        <v>9500</v>
      </c>
      <c r="K696" s="4">
        <v>46109</v>
      </c>
      <c r="L696" s="4">
        <v>46111</v>
      </c>
      <c r="M696" s="1" t="s">
        <v>11139</v>
      </c>
      <c r="N696" s="1" t="s">
        <v>11141</v>
      </c>
    </row>
    <row r="697" spans="1:14" s="1" customFormat="1" x14ac:dyDescent="0.35">
      <c r="A697" s="1" t="s">
        <v>0</v>
      </c>
      <c r="B697" s="1" t="s">
        <v>3356</v>
      </c>
      <c r="C697" s="1" t="s">
        <v>3666</v>
      </c>
      <c r="D697" s="1" t="s">
        <v>11140</v>
      </c>
      <c r="E697" s="1" t="str">
        <f>"2340"</f>
        <v>2340</v>
      </c>
      <c r="F697" s="1" t="s">
        <v>179</v>
      </c>
      <c r="G697" s="1" t="s">
        <v>180</v>
      </c>
      <c r="H697" s="1" t="s">
        <v>15</v>
      </c>
      <c r="I697" s="1" t="str">
        <f>"1"</f>
        <v>1</v>
      </c>
      <c r="J697" s="3">
        <v>6659.75</v>
      </c>
      <c r="K697" s="4">
        <v>46109</v>
      </c>
      <c r="L697" s="4">
        <v>46111</v>
      </c>
      <c r="M697" s="1" t="s">
        <v>11139</v>
      </c>
      <c r="N697" s="1" t="s">
        <v>11138</v>
      </c>
    </row>
    <row r="698" spans="1:14" s="1" customFormat="1" x14ac:dyDescent="0.35">
      <c r="A698" s="1" t="s">
        <v>0</v>
      </c>
      <c r="B698" s="1" t="s">
        <v>1989</v>
      </c>
      <c r="C698" s="1" t="s">
        <v>11137</v>
      </c>
      <c r="D698" s="1" t="s">
        <v>11136</v>
      </c>
      <c r="E698" s="1" t="str">
        <f>"2320"</f>
        <v>2320</v>
      </c>
      <c r="F698" s="1" t="str">
        <f>"015303843"</f>
        <v>015303843</v>
      </c>
      <c r="G698" s="1" t="s">
        <v>930</v>
      </c>
      <c r="H698" s="1" t="s">
        <v>15</v>
      </c>
      <c r="I698" s="1" t="str">
        <f>"1"</f>
        <v>1</v>
      </c>
      <c r="J698" s="3" t="str">
        <f>"218378"</f>
        <v>218378</v>
      </c>
      <c r="K698" s="4">
        <v>46107</v>
      </c>
      <c r="L698" s="4">
        <v>46107</v>
      </c>
      <c r="M698" s="1" t="s">
        <v>11042</v>
      </c>
      <c r="N698" s="1" t="s">
        <v>11135</v>
      </c>
    </row>
    <row r="699" spans="1:14" s="1" customFormat="1" x14ac:dyDescent="0.35">
      <c r="A699" s="1" t="s">
        <v>0</v>
      </c>
      <c r="B699" s="1" t="s">
        <v>4247</v>
      </c>
      <c r="C699" s="1" t="s">
        <v>4271</v>
      </c>
      <c r="D699" s="1" t="s">
        <v>11134</v>
      </c>
      <c r="E699" s="1" t="str">
        <f>"2320"</f>
        <v>2320</v>
      </c>
      <c r="F699" s="1" t="str">
        <f>"013727397"</f>
        <v>013727397</v>
      </c>
      <c r="G699" s="1" t="s">
        <v>1765</v>
      </c>
      <c r="H699" s="1" t="s">
        <v>15</v>
      </c>
      <c r="I699" s="1" t="str">
        <f>"1"</f>
        <v>1</v>
      </c>
      <c r="J699" s="3" t="str">
        <f>"49093"</f>
        <v>49093</v>
      </c>
      <c r="K699" s="4">
        <v>46077</v>
      </c>
      <c r="L699" s="4">
        <v>46077</v>
      </c>
      <c r="N699" s="1" t="s">
        <v>11133</v>
      </c>
    </row>
    <row r="700" spans="1:14" s="1" customFormat="1" x14ac:dyDescent="0.35">
      <c r="A700" s="1" t="s">
        <v>0</v>
      </c>
      <c r="B700" s="1" t="s">
        <v>3356</v>
      </c>
      <c r="C700" s="1" t="s">
        <v>5625</v>
      </c>
      <c r="D700" s="1" t="s">
        <v>11132</v>
      </c>
      <c r="E700" s="1" t="str">
        <f>"2310"</f>
        <v>2310</v>
      </c>
      <c r="F700" s="1" t="str">
        <f>"011112274"</f>
        <v>011112274</v>
      </c>
      <c r="G700" s="1" t="s">
        <v>2654</v>
      </c>
      <c r="H700" s="1" t="s">
        <v>15</v>
      </c>
      <c r="I700" s="1" t="str">
        <f>"1"</f>
        <v>1</v>
      </c>
      <c r="J700" s="3" t="str">
        <f>"96466"</f>
        <v>96466</v>
      </c>
      <c r="K700" s="4">
        <v>46108</v>
      </c>
      <c r="L700" s="4">
        <v>46111</v>
      </c>
      <c r="M700" s="1" t="s">
        <v>11062</v>
      </c>
      <c r="N700" s="1" t="s">
        <v>11131</v>
      </c>
    </row>
    <row r="701" spans="1:14" s="1" customFormat="1" x14ac:dyDescent="0.35">
      <c r="A701" s="1" t="s">
        <v>0</v>
      </c>
      <c r="B701" s="1" t="s">
        <v>3822</v>
      </c>
      <c r="C701" s="1" t="s">
        <v>4197</v>
      </c>
      <c r="D701" s="1" t="s">
        <v>11130</v>
      </c>
      <c r="E701" s="1" t="str">
        <f>"1240"</f>
        <v>1240</v>
      </c>
      <c r="F701" s="1" t="str">
        <f>"015515736"</f>
        <v>015515736</v>
      </c>
      <c r="G701" s="1" t="s">
        <v>5824</v>
      </c>
      <c r="H701" s="1" t="s">
        <v>15</v>
      </c>
      <c r="I701" s="1" t="str">
        <f>"4"</f>
        <v>4</v>
      </c>
      <c r="J701" s="3" t="str">
        <f>"687"</f>
        <v>687</v>
      </c>
      <c r="K701" s="4">
        <v>46083</v>
      </c>
      <c r="L701" s="4">
        <v>46084</v>
      </c>
      <c r="M701" s="1" t="s">
        <v>11129</v>
      </c>
      <c r="N701" s="1" t="s">
        <v>11128</v>
      </c>
    </row>
    <row r="702" spans="1:14" s="1" customFormat="1" x14ac:dyDescent="0.35">
      <c r="A702" s="1" t="s">
        <v>0</v>
      </c>
      <c r="B702" s="1" t="s">
        <v>1791</v>
      </c>
      <c r="C702" s="1" t="s">
        <v>5545</v>
      </c>
      <c r="D702" s="1" t="s">
        <v>11127</v>
      </c>
      <c r="E702" s="1" t="str">
        <f>"8465"</f>
        <v>8465</v>
      </c>
      <c r="F702" s="1" t="s">
        <v>1010</v>
      </c>
      <c r="G702" s="1" t="s">
        <v>1011</v>
      </c>
      <c r="H702" s="1" t="s">
        <v>15</v>
      </c>
      <c r="I702" s="1" t="str">
        <f>"79"</f>
        <v>79</v>
      </c>
      <c r="J702" s="3">
        <v>129.94999999999999</v>
      </c>
      <c r="K702" s="4">
        <v>46096</v>
      </c>
      <c r="L702" s="4">
        <v>46098</v>
      </c>
      <c r="M702" s="1" t="s">
        <v>11095</v>
      </c>
      <c r="N702" s="1" t="s">
        <v>11126</v>
      </c>
    </row>
    <row r="703" spans="1:14" s="1" customFormat="1" x14ac:dyDescent="0.35">
      <c r="A703" s="1" t="s">
        <v>0</v>
      </c>
      <c r="B703" s="1" t="s">
        <v>1791</v>
      </c>
      <c r="C703" s="1" t="s">
        <v>5545</v>
      </c>
      <c r="D703" s="1" t="s">
        <v>11125</v>
      </c>
      <c r="E703" s="1" t="str">
        <f>"4940"</f>
        <v>4940</v>
      </c>
      <c r="F703" s="1" t="str">
        <f>"011253310"</f>
        <v>011253310</v>
      </c>
      <c r="G703" s="1" t="s">
        <v>11124</v>
      </c>
      <c r="H703" s="1" t="s">
        <v>15</v>
      </c>
      <c r="I703" s="1" t="str">
        <f>"1"</f>
        <v>1</v>
      </c>
      <c r="J703" s="3" t="str">
        <f>"38071"</f>
        <v>38071</v>
      </c>
      <c r="K703" s="4">
        <v>46096</v>
      </c>
      <c r="L703" s="4">
        <v>46098</v>
      </c>
      <c r="M703" s="1" t="s">
        <v>11095</v>
      </c>
      <c r="N703" s="1" t="s">
        <v>11123</v>
      </c>
    </row>
    <row r="704" spans="1:14" s="1" customFormat="1" x14ac:dyDescent="0.35">
      <c r="A704" s="1" t="s">
        <v>0</v>
      </c>
      <c r="B704" s="1" t="s">
        <v>1791</v>
      </c>
      <c r="C704" s="1" t="s">
        <v>5545</v>
      </c>
      <c r="D704" s="1" t="s">
        <v>11122</v>
      </c>
      <c r="E704" s="1" t="str">
        <f>"8340"</f>
        <v>8340</v>
      </c>
      <c r="F704" s="1" t="str">
        <f>"015455869"</f>
        <v>015455869</v>
      </c>
      <c r="G704" s="1" t="s">
        <v>2955</v>
      </c>
      <c r="H704" s="1" t="s">
        <v>15</v>
      </c>
      <c r="I704" s="1" t="str">
        <f>"1"</f>
        <v>1</v>
      </c>
      <c r="J704" s="3">
        <v>19444.53</v>
      </c>
      <c r="K704" s="4">
        <v>46096</v>
      </c>
      <c r="L704" s="4">
        <v>46098</v>
      </c>
      <c r="M704" s="1" t="s">
        <v>11095</v>
      </c>
      <c r="N704" s="1" t="s">
        <v>11121</v>
      </c>
    </row>
    <row r="705" spans="1:14" s="1" customFormat="1" x14ac:dyDescent="0.35">
      <c r="A705" s="1" t="s">
        <v>0</v>
      </c>
      <c r="B705" s="1" t="s">
        <v>1791</v>
      </c>
      <c r="C705" s="1" t="s">
        <v>5545</v>
      </c>
      <c r="D705" s="1" t="s">
        <v>11120</v>
      </c>
      <c r="E705" s="1" t="str">
        <f>"5640"</f>
        <v>5640</v>
      </c>
      <c r="F705" s="1" t="s">
        <v>11119</v>
      </c>
      <c r="G705" s="1" t="s">
        <v>11118</v>
      </c>
      <c r="H705" s="1" t="s">
        <v>62</v>
      </c>
      <c r="I705" s="1" t="str">
        <f>"16"</f>
        <v>16</v>
      </c>
      <c r="J705" s="3" t="str">
        <f>"100"</f>
        <v>100</v>
      </c>
      <c r="K705" s="4">
        <v>46096</v>
      </c>
      <c r="L705" s="4">
        <v>46098</v>
      </c>
      <c r="M705" s="1" t="s">
        <v>11095</v>
      </c>
      <c r="N705" s="1" t="s">
        <v>11117</v>
      </c>
    </row>
    <row r="706" spans="1:14" s="1" customFormat="1" x14ac:dyDescent="0.35">
      <c r="A706" s="1" t="s">
        <v>0</v>
      </c>
      <c r="B706" s="1" t="s">
        <v>1791</v>
      </c>
      <c r="C706" s="1" t="s">
        <v>5545</v>
      </c>
      <c r="D706" s="1" t="s">
        <v>11116</v>
      </c>
      <c r="E706" s="1" t="str">
        <f>"6230"</f>
        <v>6230</v>
      </c>
      <c r="F706" s="1" t="str">
        <f>"002648261"</f>
        <v>002648261</v>
      </c>
      <c r="G706" s="1" t="s">
        <v>4051</v>
      </c>
      <c r="H706" s="1" t="s">
        <v>15</v>
      </c>
      <c r="I706" s="1" t="str">
        <f>"11"</f>
        <v>11</v>
      </c>
      <c r="J706" s="3">
        <v>15.78</v>
      </c>
      <c r="K706" s="4">
        <v>46096</v>
      </c>
      <c r="L706" s="4">
        <v>46098</v>
      </c>
      <c r="M706" s="1" t="s">
        <v>11095</v>
      </c>
      <c r="N706" s="1" t="s">
        <v>11115</v>
      </c>
    </row>
    <row r="707" spans="1:14" s="1" customFormat="1" x14ac:dyDescent="0.35">
      <c r="A707" s="1" t="s">
        <v>0</v>
      </c>
      <c r="B707" s="1" t="s">
        <v>1791</v>
      </c>
      <c r="C707" s="1" t="s">
        <v>5545</v>
      </c>
      <c r="D707" s="1" t="s">
        <v>11114</v>
      </c>
      <c r="E707" s="1" t="str">
        <f>"8340"</f>
        <v>8340</v>
      </c>
      <c r="F707" s="1" t="str">
        <f>"015331694"</f>
        <v>015331694</v>
      </c>
      <c r="G707" s="1" t="s">
        <v>11113</v>
      </c>
      <c r="H707" s="1" t="s">
        <v>15</v>
      </c>
      <c r="I707" s="1" t="str">
        <f>"1"</f>
        <v>1</v>
      </c>
      <c r="J707" s="3">
        <v>616.04999999999995</v>
      </c>
      <c r="K707" s="4">
        <v>46096</v>
      </c>
      <c r="L707" s="4">
        <v>46098</v>
      </c>
      <c r="M707" s="1" t="s">
        <v>11095</v>
      </c>
      <c r="N707" s="1" t="s">
        <v>11112</v>
      </c>
    </row>
    <row r="708" spans="1:14" s="1" customFormat="1" x14ac:dyDescent="0.35">
      <c r="A708" s="1" t="s">
        <v>0</v>
      </c>
      <c r="B708" s="1" t="s">
        <v>1791</v>
      </c>
      <c r="C708" s="1" t="s">
        <v>5545</v>
      </c>
      <c r="D708" s="1" t="s">
        <v>11111</v>
      </c>
      <c r="E708" s="1" t="str">
        <f>"2340"</f>
        <v>2340</v>
      </c>
      <c r="F708" s="1" t="str">
        <f>"016072482"</f>
        <v>016072482</v>
      </c>
      <c r="G708" s="1" t="s">
        <v>1926</v>
      </c>
      <c r="H708" s="1" t="s">
        <v>15</v>
      </c>
      <c r="I708" s="1" t="str">
        <f>"1"</f>
        <v>1</v>
      </c>
      <c r="J708" s="3" t="str">
        <f>"14918"</f>
        <v>14918</v>
      </c>
      <c r="K708" s="4">
        <v>46096</v>
      </c>
      <c r="L708" s="4">
        <v>46098</v>
      </c>
      <c r="M708" s="1" t="s">
        <v>11095</v>
      </c>
      <c r="N708" s="1" t="s">
        <v>11108</v>
      </c>
    </row>
    <row r="709" spans="1:14" s="1" customFormat="1" x14ac:dyDescent="0.35">
      <c r="A709" s="1" t="s">
        <v>0</v>
      </c>
      <c r="B709" s="1" t="s">
        <v>1791</v>
      </c>
      <c r="C709" s="1" t="s">
        <v>5545</v>
      </c>
      <c r="D709" s="1" t="s">
        <v>11110</v>
      </c>
      <c r="E709" s="1" t="str">
        <f>"2340"</f>
        <v>2340</v>
      </c>
      <c r="F709" s="1" t="str">
        <f>"016072482"</f>
        <v>016072482</v>
      </c>
      <c r="G709" s="1" t="s">
        <v>1926</v>
      </c>
      <c r="H709" s="1" t="s">
        <v>15</v>
      </c>
      <c r="I709" s="1" t="str">
        <f>"1"</f>
        <v>1</v>
      </c>
      <c r="J709" s="3" t="str">
        <f>"14918"</f>
        <v>14918</v>
      </c>
      <c r="K709" s="4">
        <v>46096</v>
      </c>
      <c r="L709" s="4">
        <v>46098</v>
      </c>
      <c r="M709" s="1" t="s">
        <v>11095</v>
      </c>
      <c r="N709" s="1" t="s">
        <v>11108</v>
      </c>
    </row>
    <row r="710" spans="1:14" s="1" customFormat="1" x14ac:dyDescent="0.35">
      <c r="A710" s="1" t="s">
        <v>0</v>
      </c>
      <c r="B710" s="1" t="s">
        <v>1791</v>
      </c>
      <c r="C710" s="1" t="s">
        <v>5545</v>
      </c>
      <c r="D710" s="1" t="s">
        <v>11109</v>
      </c>
      <c r="E710" s="1" t="str">
        <f>"2340"</f>
        <v>2340</v>
      </c>
      <c r="F710" s="1" t="str">
        <f>"016072482"</f>
        <v>016072482</v>
      </c>
      <c r="G710" s="1" t="s">
        <v>1926</v>
      </c>
      <c r="H710" s="1" t="s">
        <v>15</v>
      </c>
      <c r="I710" s="1" t="str">
        <f>"1"</f>
        <v>1</v>
      </c>
      <c r="J710" s="3" t="str">
        <f>"14918"</f>
        <v>14918</v>
      </c>
      <c r="K710" s="4">
        <v>46096</v>
      </c>
      <c r="L710" s="4">
        <v>46098</v>
      </c>
      <c r="M710" s="1" t="s">
        <v>11095</v>
      </c>
      <c r="N710" s="1" t="s">
        <v>11108</v>
      </c>
    </row>
    <row r="711" spans="1:14" s="1" customFormat="1" x14ac:dyDescent="0.35">
      <c r="A711" s="1" t="s">
        <v>0</v>
      </c>
      <c r="B711" s="1" t="s">
        <v>1791</v>
      </c>
      <c r="C711" s="1" t="s">
        <v>5545</v>
      </c>
      <c r="D711" s="1" t="s">
        <v>11107</v>
      </c>
      <c r="E711" s="1" t="str">
        <f>"3433"</f>
        <v>3433</v>
      </c>
      <c r="F711" s="1" t="str">
        <f>"013899938"</f>
        <v>013899938</v>
      </c>
      <c r="G711" s="1" t="s">
        <v>1529</v>
      </c>
      <c r="H711" s="1" t="s">
        <v>15</v>
      </c>
      <c r="I711" s="1" t="str">
        <f>"1"</f>
        <v>1</v>
      </c>
      <c r="J711" s="3">
        <v>2925.16</v>
      </c>
      <c r="K711" s="4">
        <v>46096</v>
      </c>
      <c r="L711" s="4">
        <v>46098</v>
      </c>
      <c r="M711" s="1" t="s">
        <v>11095</v>
      </c>
      <c r="N711" s="1" t="s">
        <v>11106</v>
      </c>
    </row>
    <row r="712" spans="1:14" s="1" customFormat="1" x14ac:dyDescent="0.35">
      <c r="A712" s="1" t="s">
        <v>0</v>
      </c>
      <c r="B712" s="1" t="s">
        <v>1791</v>
      </c>
      <c r="C712" s="1" t="s">
        <v>5545</v>
      </c>
      <c r="D712" s="1" t="s">
        <v>11105</v>
      </c>
      <c r="E712" s="1" t="str">
        <f>"2320"</f>
        <v>2320</v>
      </c>
      <c r="F712" s="1" t="str">
        <f>"014474938"</f>
        <v>014474938</v>
      </c>
      <c r="G712" s="1" t="s">
        <v>1093</v>
      </c>
      <c r="H712" s="1" t="s">
        <v>15</v>
      </c>
      <c r="I712" s="1" t="str">
        <f>"1"</f>
        <v>1</v>
      </c>
      <c r="J712" s="3" t="str">
        <f>"230363"</f>
        <v>230363</v>
      </c>
      <c r="K712" s="4">
        <v>46096</v>
      </c>
      <c r="L712" s="4">
        <v>46098</v>
      </c>
      <c r="M712" s="1" t="s">
        <v>11095</v>
      </c>
      <c r="N712" s="1" t="s">
        <v>11104</v>
      </c>
    </row>
    <row r="713" spans="1:14" s="1" customFormat="1" x14ac:dyDescent="0.35">
      <c r="A713" s="1" t="s">
        <v>0</v>
      </c>
      <c r="B713" s="1" t="s">
        <v>1791</v>
      </c>
      <c r="C713" s="1" t="s">
        <v>5545</v>
      </c>
      <c r="D713" s="1" t="s">
        <v>11103</v>
      </c>
      <c r="E713" s="1" t="str">
        <f>"8415"</f>
        <v>8415</v>
      </c>
      <c r="F713" s="1" t="str">
        <f>"014700978"</f>
        <v>014700978</v>
      </c>
      <c r="G713" s="1" t="s">
        <v>11102</v>
      </c>
      <c r="H713" s="1" t="s">
        <v>15</v>
      </c>
      <c r="I713" s="1" t="str">
        <f>"1"</f>
        <v>1</v>
      </c>
      <c r="J713" s="3">
        <v>2885.6</v>
      </c>
      <c r="K713" s="4">
        <v>46096</v>
      </c>
      <c r="L713" s="4">
        <v>46098</v>
      </c>
      <c r="M713" s="1" t="s">
        <v>11095</v>
      </c>
      <c r="N713" s="1" t="s">
        <v>11101</v>
      </c>
    </row>
    <row r="714" spans="1:14" s="1" customFormat="1" x14ac:dyDescent="0.35">
      <c r="A714" s="1" t="s">
        <v>0</v>
      </c>
      <c r="B714" s="1" t="s">
        <v>1791</v>
      </c>
      <c r="C714" s="1" t="s">
        <v>5545</v>
      </c>
      <c r="D714" s="1" t="s">
        <v>11100</v>
      </c>
      <c r="E714" s="1" t="str">
        <f>"7530"</f>
        <v>7530</v>
      </c>
      <c r="F714" s="1" t="str">
        <f>"015038449"</f>
        <v>015038449</v>
      </c>
      <c r="G714" s="1" t="s">
        <v>11099</v>
      </c>
      <c r="H714" s="1" t="s">
        <v>206</v>
      </c>
      <c r="I714" s="1" t="str">
        <f>"18"</f>
        <v>18</v>
      </c>
      <c r="J714" s="3">
        <v>188.19</v>
      </c>
      <c r="K714" s="4">
        <v>46096</v>
      </c>
      <c r="L714" s="4">
        <v>46098</v>
      </c>
      <c r="M714" s="1" t="s">
        <v>11095</v>
      </c>
      <c r="N714" s="1" t="s">
        <v>11098</v>
      </c>
    </row>
    <row r="715" spans="1:14" s="1" customFormat="1" x14ac:dyDescent="0.35">
      <c r="A715" s="1" t="s">
        <v>0</v>
      </c>
      <c r="B715" s="1" t="s">
        <v>1791</v>
      </c>
      <c r="C715" s="1" t="s">
        <v>5545</v>
      </c>
      <c r="D715" s="1" t="s">
        <v>11097</v>
      </c>
      <c r="E715" s="1" t="str">
        <f>"7360"</f>
        <v>7360</v>
      </c>
      <c r="F715" s="1" t="str">
        <f>"014733408"</f>
        <v>014733408</v>
      </c>
      <c r="G715" s="1" t="s">
        <v>11096</v>
      </c>
      <c r="H715" s="1" t="s">
        <v>15</v>
      </c>
      <c r="I715" s="1" t="str">
        <f>"1"</f>
        <v>1</v>
      </c>
      <c r="J715" s="3" t="str">
        <f>"355705"</f>
        <v>355705</v>
      </c>
      <c r="K715" s="4">
        <v>46096</v>
      </c>
      <c r="L715" s="4">
        <v>46098</v>
      </c>
      <c r="M715" s="1" t="s">
        <v>11095</v>
      </c>
      <c r="N715" s="1" t="s">
        <v>11094</v>
      </c>
    </row>
    <row r="716" spans="1:14" s="1" customFormat="1" x14ac:dyDescent="0.35">
      <c r="A716" s="1" t="s">
        <v>0</v>
      </c>
      <c r="B716" s="1" t="s">
        <v>435</v>
      </c>
      <c r="C716" s="1" t="s">
        <v>478</v>
      </c>
      <c r="D716" s="1" t="s">
        <v>11093</v>
      </c>
      <c r="E716" s="1" t="str">
        <f>"2355"</f>
        <v>2355</v>
      </c>
      <c r="F716" s="1" t="str">
        <f>"015590791"</f>
        <v>015590791</v>
      </c>
      <c r="G716" s="1" t="s">
        <v>11092</v>
      </c>
      <c r="H716" s="1" t="s">
        <v>15</v>
      </c>
      <c r="I716" s="1" t="str">
        <f>"1"</f>
        <v>1</v>
      </c>
      <c r="J716" s="3" t="str">
        <f>"700000"</f>
        <v>700000</v>
      </c>
      <c r="K716" s="4">
        <v>46083</v>
      </c>
      <c r="L716" s="4">
        <v>46084</v>
      </c>
      <c r="M716" s="1" t="s">
        <v>11091</v>
      </c>
      <c r="N716" s="1" t="s">
        <v>11090</v>
      </c>
    </row>
    <row r="717" spans="1:14" s="1" customFormat="1" x14ac:dyDescent="0.35">
      <c r="A717" s="1" t="s">
        <v>0</v>
      </c>
      <c r="B717" s="1" t="s">
        <v>3356</v>
      </c>
      <c r="C717" s="1" t="s">
        <v>5453</v>
      </c>
      <c r="D717" s="1" t="s">
        <v>11089</v>
      </c>
      <c r="E717" s="1" t="str">
        <f>"2320"</f>
        <v>2320</v>
      </c>
      <c r="F717" s="1" t="s">
        <v>1664</v>
      </c>
      <c r="G717" s="1" t="s">
        <v>1665</v>
      </c>
      <c r="H717" s="1" t="s">
        <v>15</v>
      </c>
      <c r="I717" s="1" t="str">
        <f>"1"</f>
        <v>1</v>
      </c>
      <c r="J717" s="3" t="str">
        <f>"20000"</f>
        <v>20000</v>
      </c>
      <c r="K717" s="4">
        <v>46046</v>
      </c>
      <c r="L717" s="4">
        <v>46048</v>
      </c>
      <c r="M717" s="1" t="s">
        <v>11000</v>
      </c>
      <c r="N717" s="1" t="s">
        <v>11088</v>
      </c>
    </row>
    <row r="718" spans="1:14" s="1" customFormat="1" x14ac:dyDescent="0.35">
      <c r="A718" s="1" t="s">
        <v>0</v>
      </c>
      <c r="B718" s="1" t="s">
        <v>3356</v>
      </c>
      <c r="C718" s="1" t="s">
        <v>5453</v>
      </c>
      <c r="D718" s="1" t="s">
        <v>11087</v>
      </c>
      <c r="E718" s="1" t="str">
        <f>"2320"</f>
        <v>2320</v>
      </c>
      <c r="F718" s="1" t="str">
        <f>"010911597"</f>
        <v>010911597</v>
      </c>
      <c r="G718" s="1" t="s">
        <v>4468</v>
      </c>
      <c r="H718" s="1" t="s">
        <v>15</v>
      </c>
      <c r="I718" s="1" t="str">
        <f>"1"</f>
        <v>1</v>
      </c>
      <c r="J718" s="3" t="str">
        <f>"150120"</f>
        <v>150120</v>
      </c>
      <c r="K718" s="4">
        <v>46074</v>
      </c>
      <c r="L718" s="4">
        <v>46076</v>
      </c>
      <c r="M718" s="1" t="s">
        <v>11086</v>
      </c>
      <c r="N718" s="1" t="s">
        <v>11085</v>
      </c>
    </row>
    <row r="719" spans="1:14" s="1" customFormat="1" x14ac:dyDescent="0.35">
      <c r="A719" s="1" t="s">
        <v>0</v>
      </c>
      <c r="B719" s="1" t="s">
        <v>3356</v>
      </c>
      <c r="C719" s="1" t="s">
        <v>5453</v>
      </c>
      <c r="D719" s="1" t="s">
        <v>11084</v>
      </c>
      <c r="E719" s="1" t="str">
        <f>"2310"</f>
        <v>2310</v>
      </c>
      <c r="F719" s="1" t="s">
        <v>4332</v>
      </c>
      <c r="G719" s="1" t="s">
        <v>4333</v>
      </c>
      <c r="H719" s="1" t="s">
        <v>15</v>
      </c>
      <c r="I719" s="1" t="str">
        <f>"1"</f>
        <v>1</v>
      </c>
      <c r="J719" s="3">
        <v>26812.5</v>
      </c>
      <c r="K719" s="4">
        <v>46097</v>
      </c>
      <c r="L719" s="4">
        <v>46098</v>
      </c>
      <c r="M719" s="1" t="s">
        <v>11012</v>
      </c>
      <c r="N719" s="1" t="s">
        <v>11083</v>
      </c>
    </row>
    <row r="720" spans="1:14" s="1" customFormat="1" x14ac:dyDescent="0.35">
      <c r="A720" s="1" t="s">
        <v>0</v>
      </c>
      <c r="B720" s="1" t="s">
        <v>319</v>
      </c>
      <c r="C720" s="1" t="s">
        <v>370</v>
      </c>
      <c r="D720" s="1" t="s">
        <v>11082</v>
      </c>
      <c r="E720" s="1" t="str">
        <f>"5855"</f>
        <v>5855</v>
      </c>
      <c r="F720" s="1" t="str">
        <f>"014587524"</f>
        <v>014587524</v>
      </c>
      <c r="G720" s="1" t="s">
        <v>1188</v>
      </c>
      <c r="H720" s="1" t="s">
        <v>15</v>
      </c>
      <c r="I720" s="1" t="str">
        <f>"1"</f>
        <v>1</v>
      </c>
      <c r="J720" s="3" t="str">
        <f>"3500"</f>
        <v>3500</v>
      </c>
      <c r="K720" s="4">
        <v>46042</v>
      </c>
      <c r="L720" s="4">
        <v>46042</v>
      </c>
      <c r="M720" s="1" t="s">
        <v>11080</v>
      </c>
      <c r="N720" s="1" t="s">
        <v>381</v>
      </c>
    </row>
    <row r="721" spans="1:14" s="1" customFormat="1" x14ac:dyDescent="0.35">
      <c r="A721" s="1" t="s">
        <v>0</v>
      </c>
      <c r="B721" s="1" t="s">
        <v>319</v>
      </c>
      <c r="C721" s="1" t="s">
        <v>370</v>
      </c>
      <c r="D721" s="1" t="s">
        <v>11081</v>
      </c>
      <c r="E721" s="1" t="str">
        <f>"5855"</f>
        <v>5855</v>
      </c>
      <c r="F721" s="1" t="str">
        <f>"014587524"</f>
        <v>014587524</v>
      </c>
      <c r="G721" s="1" t="s">
        <v>1188</v>
      </c>
      <c r="H721" s="1" t="s">
        <v>15</v>
      </c>
      <c r="I721" s="1" t="str">
        <f>"1"</f>
        <v>1</v>
      </c>
      <c r="J721" s="3" t="str">
        <f>"3500"</f>
        <v>3500</v>
      </c>
      <c r="K721" s="4">
        <v>46042</v>
      </c>
      <c r="L721" s="4">
        <v>46042</v>
      </c>
      <c r="M721" s="1" t="s">
        <v>11080</v>
      </c>
      <c r="N721" s="1" t="s">
        <v>11079</v>
      </c>
    </row>
    <row r="722" spans="1:14" s="1" customFormat="1" x14ac:dyDescent="0.35">
      <c r="A722" s="1" t="s">
        <v>0</v>
      </c>
      <c r="B722" s="1" t="s">
        <v>319</v>
      </c>
      <c r="C722" s="1" t="s">
        <v>370</v>
      </c>
      <c r="D722" s="1" t="s">
        <v>11078</v>
      </c>
      <c r="E722" s="1" t="str">
        <f>"1385"</f>
        <v>1385</v>
      </c>
      <c r="F722" s="1" t="str">
        <f>"015936219"</f>
        <v>015936219</v>
      </c>
      <c r="G722" s="1" t="s">
        <v>2079</v>
      </c>
      <c r="H722" s="1" t="s">
        <v>15</v>
      </c>
      <c r="I722" s="1" t="str">
        <f>"1"</f>
        <v>1</v>
      </c>
      <c r="J722" s="3" t="str">
        <f>"77000"</f>
        <v>77000</v>
      </c>
      <c r="K722" s="4">
        <v>46083</v>
      </c>
      <c r="L722" s="4">
        <v>46083</v>
      </c>
      <c r="M722" s="1" t="s">
        <v>11077</v>
      </c>
      <c r="N722" s="1" t="s">
        <v>11076</v>
      </c>
    </row>
    <row r="723" spans="1:14" s="1" customFormat="1" x14ac:dyDescent="0.35">
      <c r="A723" s="1" t="s">
        <v>0</v>
      </c>
      <c r="B723" s="1" t="s">
        <v>4381</v>
      </c>
      <c r="C723" s="1" t="s">
        <v>5388</v>
      </c>
      <c r="D723" s="1" t="s">
        <v>11075</v>
      </c>
      <c r="E723" s="1" t="str">
        <f>"2320"</f>
        <v>2320</v>
      </c>
      <c r="F723" s="1" t="s">
        <v>4526</v>
      </c>
      <c r="G723" s="1" t="s">
        <v>4525</v>
      </c>
      <c r="H723" s="1" t="s">
        <v>15</v>
      </c>
      <c r="I723" s="1" t="str">
        <f>"1"</f>
        <v>1</v>
      </c>
      <c r="J723" s="3">
        <v>610434.26</v>
      </c>
      <c r="K723" s="4">
        <v>46055</v>
      </c>
      <c r="L723" s="4">
        <v>46056</v>
      </c>
      <c r="M723" s="1" t="s">
        <v>11074</v>
      </c>
      <c r="N723" s="1" t="s">
        <v>11073</v>
      </c>
    </row>
    <row r="724" spans="1:14" s="1" customFormat="1" x14ac:dyDescent="0.35">
      <c r="A724" s="1" t="s">
        <v>0</v>
      </c>
      <c r="B724" s="1" t="s">
        <v>73</v>
      </c>
      <c r="C724" s="1" t="s">
        <v>5343</v>
      </c>
      <c r="D724" s="1" t="s">
        <v>11072</v>
      </c>
      <c r="E724" s="1" t="str">
        <f>"2320"</f>
        <v>2320</v>
      </c>
      <c r="F724" s="1" t="str">
        <f>"014133739"</f>
        <v>014133739</v>
      </c>
      <c r="G724" s="1" t="s">
        <v>1860</v>
      </c>
      <c r="H724" s="1" t="s">
        <v>15</v>
      </c>
      <c r="I724" s="1" t="str">
        <f>"1"</f>
        <v>1</v>
      </c>
      <c r="J724" s="3" t="str">
        <f>"192513"</f>
        <v>192513</v>
      </c>
      <c r="K724" s="4">
        <v>46091</v>
      </c>
      <c r="L724" s="4">
        <v>46092</v>
      </c>
      <c r="M724" s="1" t="s">
        <v>11071</v>
      </c>
      <c r="N724" s="1" t="s">
        <v>11070</v>
      </c>
    </row>
    <row r="725" spans="1:14" s="1" customFormat="1" x14ac:dyDescent="0.35">
      <c r="A725" s="1" t="s">
        <v>0</v>
      </c>
      <c r="B725" s="1" t="s">
        <v>3356</v>
      </c>
      <c r="C725" s="1" t="s">
        <v>3766</v>
      </c>
      <c r="D725" s="1" t="s">
        <v>11069</v>
      </c>
      <c r="E725" s="1" t="str">
        <f>"2420"</f>
        <v>2420</v>
      </c>
      <c r="F725" s="1" t="s">
        <v>110</v>
      </c>
      <c r="G725" s="1" t="s">
        <v>111</v>
      </c>
      <c r="H725" s="1" t="s">
        <v>15</v>
      </c>
      <c r="I725" s="1" t="str">
        <f>"1"</f>
        <v>1</v>
      </c>
      <c r="J725" s="3" t="str">
        <f>"53275"</f>
        <v>53275</v>
      </c>
      <c r="K725" s="4">
        <v>46027</v>
      </c>
      <c r="L725" s="4">
        <v>46027</v>
      </c>
      <c r="M725" s="1" t="s">
        <v>11068</v>
      </c>
      <c r="N725" s="1" t="s">
        <v>11067</v>
      </c>
    </row>
    <row r="726" spans="1:14" s="1" customFormat="1" x14ac:dyDescent="0.35">
      <c r="A726" s="1" t="s">
        <v>0</v>
      </c>
      <c r="B726" s="1" t="s">
        <v>3356</v>
      </c>
      <c r="C726" s="1" t="s">
        <v>3766</v>
      </c>
      <c r="D726" s="1" t="s">
        <v>11066</v>
      </c>
      <c r="E726" s="1" t="str">
        <f>"2320"</f>
        <v>2320</v>
      </c>
      <c r="F726" s="1" t="s">
        <v>100</v>
      </c>
      <c r="G726" s="1" t="s">
        <v>101</v>
      </c>
      <c r="H726" s="1" t="s">
        <v>15</v>
      </c>
      <c r="I726" s="1" t="str">
        <f>"1"</f>
        <v>1</v>
      </c>
      <c r="J726" s="3" t="str">
        <f>"2000"</f>
        <v>2000</v>
      </c>
      <c r="K726" s="4">
        <v>46076</v>
      </c>
      <c r="L726" s="4">
        <v>46076</v>
      </c>
      <c r="M726" s="1" t="s">
        <v>11000</v>
      </c>
      <c r="N726" s="1" t="s">
        <v>11065</v>
      </c>
    </row>
    <row r="727" spans="1:14" s="1" customFormat="1" x14ac:dyDescent="0.35">
      <c r="A727" s="1" t="s">
        <v>0</v>
      </c>
      <c r="B727" s="1" t="s">
        <v>3356</v>
      </c>
      <c r="C727" s="1" t="s">
        <v>3766</v>
      </c>
      <c r="D727" s="1" t="s">
        <v>11064</v>
      </c>
      <c r="E727" s="1" t="str">
        <f>"2420"</f>
        <v>2420</v>
      </c>
      <c r="F727" s="1" t="s">
        <v>110</v>
      </c>
      <c r="G727" s="1" t="s">
        <v>111</v>
      </c>
      <c r="H727" s="1" t="s">
        <v>15</v>
      </c>
      <c r="I727" s="1" t="str">
        <f>"1"</f>
        <v>1</v>
      </c>
      <c r="J727" s="3" t="str">
        <f>"15000"</f>
        <v>15000</v>
      </c>
      <c r="K727" s="4">
        <v>46104</v>
      </c>
      <c r="L727" s="4">
        <v>46104</v>
      </c>
      <c r="M727" s="1" t="s">
        <v>11062</v>
      </c>
      <c r="N727" s="1" t="s">
        <v>11061</v>
      </c>
    </row>
    <row r="728" spans="1:14" s="1" customFormat="1" x14ac:dyDescent="0.35">
      <c r="A728" s="1" t="s">
        <v>0</v>
      </c>
      <c r="B728" s="1" t="s">
        <v>3356</v>
      </c>
      <c r="C728" s="1" t="s">
        <v>3766</v>
      </c>
      <c r="D728" s="1" t="s">
        <v>11063</v>
      </c>
      <c r="E728" s="1" t="str">
        <f>"2420"</f>
        <v>2420</v>
      </c>
      <c r="F728" s="1" t="s">
        <v>110</v>
      </c>
      <c r="G728" s="1" t="s">
        <v>111</v>
      </c>
      <c r="H728" s="1" t="s">
        <v>15</v>
      </c>
      <c r="I728" s="1" t="str">
        <f>"1"</f>
        <v>1</v>
      </c>
      <c r="J728" s="3" t="str">
        <f>"15000"</f>
        <v>15000</v>
      </c>
      <c r="K728" s="4">
        <v>46104</v>
      </c>
      <c r="L728" s="4">
        <v>46104</v>
      </c>
      <c r="M728" s="1" t="s">
        <v>11062</v>
      </c>
      <c r="N728" s="1" t="s">
        <v>11061</v>
      </c>
    </row>
    <row r="729" spans="1:14" s="1" customFormat="1" x14ac:dyDescent="0.35">
      <c r="A729" s="1" t="s">
        <v>0</v>
      </c>
      <c r="B729" s="1" t="s">
        <v>3356</v>
      </c>
      <c r="C729" s="1" t="s">
        <v>3766</v>
      </c>
      <c r="D729" s="1" t="s">
        <v>11060</v>
      </c>
      <c r="E729" s="1" t="str">
        <f>"2320"</f>
        <v>2320</v>
      </c>
      <c r="F729" s="1" t="str">
        <f>"015016635"</f>
        <v>015016635</v>
      </c>
      <c r="G729" s="1" t="s">
        <v>1765</v>
      </c>
      <c r="H729" s="1" t="s">
        <v>15</v>
      </c>
      <c r="I729" s="1" t="str">
        <f>"1"</f>
        <v>1</v>
      </c>
      <c r="J729" s="3" t="str">
        <f>"45602"</f>
        <v>45602</v>
      </c>
      <c r="K729" s="4">
        <v>46111</v>
      </c>
      <c r="L729" s="4">
        <v>46111</v>
      </c>
      <c r="M729" s="1" t="s">
        <v>11000</v>
      </c>
      <c r="N729" s="1" t="s">
        <v>11059</v>
      </c>
    </row>
    <row r="730" spans="1:14" s="1" customFormat="1" x14ac:dyDescent="0.35">
      <c r="A730" s="1" t="s">
        <v>0</v>
      </c>
      <c r="B730" s="1" t="s">
        <v>1791</v>
      </c>
      <c r="C730" s="1" t="s">
        <v>1901</v>
      </c>
      <c r="D730" s="1" t="s">
        <v>11058</v>
      </c>
      <c r="E730" s="1" t="str">
        <f>"5855"</f>
        <v>5855</v>
      </c>
      <c r="F730" s="1" t="str">
        <f>"015777174"</f>
        <v>015777174</v>
      </c>
      <c r="G730" s="1" t="s">
        <v>952</v>
      </c>
      <c r="H730" s="1" t="s">
        <v>15</v>
      </c>
      <c r="I730" s="1" t="str">
        <f>"20"</f>
        <v>20</v>
      </c>
      <c r="J730" s="3" t="str">
        <f>"1791"</f>
        <v>1791</v>
      </c>
      <c r="K730" s="4">
        <v>46098</v>
      </c>
      <c r="L730" s="4">
        <v>46098</v>
      </c>
      <c r="M730" s="1" t="s">
        <v>11057</v>
      </c>
      <c r="N730" s="1" t="s">
        <v>11056</v>
      </c>
    </row>
    <row r="731" spans="1:14" s="1" customFormat="1" x14ac:dyDescent="0.35">
      <c r="A731" s="1" t="s">
        <v>0</v>
      </c>
      <c r="B731" s="1" t="s">
        <v>1989</v>
      </c>
      <c r="C731" s="1" t="s">
        <v>2116</v>
      </c>
      <c r="D731" s="1" t="s">
        <v>11055</v>
      </c>
      <c r="E731" s="1" t="str">
        <f>"7010"</f>
        <v>7010</v>
      </c>
      <c r="F731" s="1" t="s">
        <v>1203</v>
      </c>
      <c r="G731" s="1" t="s">
        <v>1204</v>
      </c>
      <c r="H731" s="1" t="s">
        <v>15</v>
      </c>
      <c r="I731" s="1" t="str">
        <f>"12"</f>
        <v>12</v>
      </c>
      <c r="J731" s="3" t="str">
        <f>"1384"</f>
        <v>1384</v>
      </c>
      <c r="K731" s="4">
        <v>46035</v>
      </c>
      <c r="L731" s="4">
        <v>46035</v>
      </c>
      <c r="M731" s="1" t="s">
        <v>11054</v>
      </c>
      <c r="N731" s="1" t="s">
        <v>11053</v>
      </c>
    </row>
    <row r="732" spans="1:14" s="1" customFormat="1" x14ac:dyDescent="0.35">
      <c r="A732" s="1" t="s">
        <v>0</v>
      </c>
      <c r="B732" s="1" t="s">
        <v>1989</v>
      </c>
      <c r="C732" s="1" t="s">
        <v>2116</v>
      </c>
      <c r="D732" s="1" t="s">
        <v>11052</v>
      </c>
      <c r="E732" s="1" t="str">
        <f>"5805"</f>
        <v>5805</v>
      </c>
      <c r="F732" s="1" t="s">
        <v>11051</v>
      </c>
      <c r="G732" s="1" t="s">
        <v>11050</v>
      </c>
      <c r="H732" s="1" t="s">
        <v>15</v>
      </c>
      <c r="I732" s="1" t="str">
        <f>"4"</f>
        <v>4</v>
      </c>
      <c r="J732" s="3" t="str">
        <f>"50"</f>
        <v>50</v>
      </c>
      <c r="K732" s="4">
        <v>46035</v>
      </c>
      <c r="L732" s="4">
        <v>46035</v>
      </c>
      <c r="M732" s="1" t="s">
        <v>11049</v>
      </c>
      <c r="N732" s="1" t="s">
        <v>11048</v>
      </c>
    </row>
    <row r="733" spans="1:14" s="1" customFormat="1" x14ac:dyDescent="0.35">
      <c r="A733" s="1" t="s">
        <v>0</v>
      </c>
      <c r="B733" s="1" t="s">
        <v>1989</v>
      </c>
      <c r="C733" s="1" t="s">
        <v>2116</v>
      </c>
      <c r="D733" s="1" t="s">
        <v>11047</v>
      </c>
      <c r="E733" s="1" t="str">
        <f>"7010"</f>
        <v>7010</v>
      </c>
      <c r="F733" s="1" t="s">
        <v>1203</v>
      </c>
      <c r="G733" s="1" t="s">
        <v>1204</v>
      </c>
      <c r="H733" s="1" t="s">
        <v>15</v>
      </c>
      <c r="I733" s="1" t="str">
        <f>"18"</f>
        <v>18</v>
      </c>
      <c r="J733" s="3" t="str">
        <f>"1384"</f>
        <v>1384</v>
      </c>
      <c r="K733" s="4">
        <v>46057</v>
      </c>
      <c r="L733" s="4">
        <v>46057</v>
      </c>
      <c r="M733" s="1" t="s">
        <v>11046</v>
      </c>
      <c r="N733" s="1" t="s">
        <v>11045</v>
      </c>
    </row>
    <row r="734" spans="1:14" s="1" customFormat="1" x14ac:dyDescent="0.35">
      <c r="A734" s="1" t="s">
        <v>0</v>
      </c>
      <c r="B734" s="1" t="s">
        <v>1989</v>
      </c>
      <c r="C734" s="1" t="s">
        <v>11044</v>
      </c>
      <c r="D734" s="1" t="s">
        <v>11043</v>
      </c>
      <c r="E734" s="1" t="str">
        <f>"2320"</f>
        <v>2320</v>
      </c>
      <c r="F734" s="1" t="s">
        <v>1664</v>
      </c>
      <c r="G734" s="1" t="s">
        <v>1665</v>
      </c>
      <c r="H734" s="1" t="s">
        <v>15</v>
      </c>
      <c r="I734" s="1" t="str">
        <f>"1"</f>
        <v>1</v>
      </c>
      <c r="J734" s="3" t="str">
        <f>"25000"</f>
        <v>25000</v>
      </c>
      <c r="K734" s="4">
        <v>46104</v>
      </c>
      <c r="L734" s="4">
        <v>46104</v>
      </c>
      <c r="M734" s="1" t="s">
        <v>11042</v>
      </c>
      <c r="N734" s="1" t="s">
        <v>11041</v>
      </c>
    </row>
    <row r="735" spans="1:14" s="1" customFormat="1" x14ac:dyDescent="0.35">
      <c r="A735" s="1" t="s">
        <v>0</v>
      </c>
      <c r="B735" s="1" t="s">
        <v>4247</v>
      </c>
      <c r="C735" s="1" t="s">
        <v>4330</v>
      </c>
      <c r="D735" s="1" t="s">
        <v>11040</v>
      </c>
      <c r="E735" s="1" t="str">
        <f>"2320"</f>
        <v>2320</v>
      </c>
      <c r="F735" s="1" t="s">
        <v>100</v>
      </c>
      <c r="G735" s="1" t="s">
        <v>101</v>
      </c>
      <c r="H735" s="1" t="s">
        <v>15</v>
      </c>
      <c r="I735" s="1" t="str">
        <f>"1"</f>
        <v>1</v>
      </c>
      <c r="J735" s="3" t="str">
        <f>"61735"</f>
        <v>61735</v>
      </c>
      <c r="K735" s="4">
        <v>46095</v>
      </c>
      <c r="L735" s="4">
        <v>46097</v>
      </c>
      <c r="M735" s="1" t="s">
        <v>11036</v>
      </c>
      <c r="N735" s="1" t="s">
        <v>11038</v>
      </c>
    </row>
    <row r="736" spans="1:14" s="1" customFormat="1" x14ac:dyDescent="0.35">
      <c r="A736" s="1" t="s">
        <v>0</v>
      </c>
      <c r="B736" s="1" t="s">
        <v>4247</v>
      </c>
      <c r="C736" s="1" t="s">
        <v>4330</v>
      </c>
      <c r="D736" s="1" t="s">
        <v>11039</v>
      </c>
      <c r="E736" s="1" t="str">
        <f>"2310"</f>
        <v>2310</v>
      </c>
      <c r="F736" s="1" t="s">
        <v>4332</v>
      </c>
      <c r="G736" s="1" t="s">
        <v>4333</v>
      </c>
      <c r="H736" s="1" t="s">
        <v>15</v>
      </c>
      <c r="I736" s="1" t="str">
        <f>"1"</f>
        <v>1</v>
      </c>
      <c r="J736" s="3">
        <v>26812.5</v>
      </c>
      <c r="K736" s="4">
        <v>46095</v>
      </c>
      <c r="L736" s="4">
        <v>46097</v>
      </c>
      <c r="M736" s="1" t="s">
        <v>11036</v>
      </c>
      <c r="N736" s="1" t="s">
        <v>11038</v>
      </c>
    </row>
    <row r="737" spans="1:14" s="1" customFormat="1" x14ac:dyDescent="0.35">
      <c r="A737" s="1" t="s">
        <v>0</v>
      </c>
      <c r="B737" s="1" t="s">
        <v>4247</v>
      </c>
      <c r="C737" s="1" t="s">
        <v>4330</v>
      </c>
      <c r="D737" s="1" t="s">
        <v>11037</v>
      </c>
      <c r="E737" s="1" t="str">
        <f>"3805"</f>
        <v>3805</v>
      </c>
      <c r="F737" s="1" t="s">
        <v>1020</v>
      </c>
      <c r="G737" s="1" t="s">
        <v>1021</v>
      </c>
      <c r="H737" s="1" t="s">
        <v>15</v>
      </c>
      <c r="I737" s="1" t="str">
        <f>"1"</f>
        <v>1</v>
      </c>
      <c r="J737" s="3">
        <v>102143.01</v>
      </c>
      <c r="K737" s="4">
        <v>46103</v>
      </c>
      <c r="L737" s="4">
        <v>46104</v>
      </c>
      <c r="M737" s="1" t="s">
        <v>11036</v>
      </c>
      <c r="N737" s="1" t="s">
        <v>11035</v>
      </c>
    </row>
    <row r="738" spans="1:14" s="1" customFormat="1" x14ac:dyDescent="0.35">
      <c r="A738" s="1" t="s">
        <v>0</v>
      </c>
      <c r="B738" s="1" t="s">
        <v>3356</v>
      </c>
      <c r="C738" s="1" t="s">
        <v>3777</v>
      </c>
      <c r="D738" s="1" t="s">
        <v>11034</v>
      </c>
      <c r="E738" s="1" t="str">
        <f>"2310"</f>
        <v>2310</v>
      </c>
      <c r="F738" s="1" t="str">
        <f>"014998019"</f>
        <v>014998019</v>
      </c>
      <c r="G738" s="1" t="s">
        <v>4671</v>
      </c>
      <c r="H738" s="1" t="s">
        <v>15</v>
      </c>
      <c r="I738" s="1" t="str">
        <f>"1"</f>
        <v>1</v>
      </c>
      <c r="J738" s="3" t="str">
        <f>"165000"</f>
        <v>165000</v>
      </c>
      <c r="K738" s="4">
        <v>46071</v>
      </c>
      <c r="L738" s="4">
        <v>46071</v>
      </c>
      <c r="M738" s="1" t="s">
        <v>11000</v>
      </c>
      <c r="N738" s="1" t="s">
        <v>11033</v>
      </c>
    </row>
    <row r="739" spans="1:14" s="1" customFormat="1" x14ac:dyDescent="0.35">
      <c r="A739" s="1" t="s">
        <v>0</v>
      </c>
      <c r="B739" s="1" t="s">
        <v>3356</v>
      </c>
      <c r="C739" s="1" t="s">
        <v>3777</v>
      </c>
      <c r="D739" s="1" t="s">
        <v>11032</v>
      </c>
      <c r="E739" s="1" t="str">
        <f>"8340"</f>
        <v>8340</v>
      </c>
      <c r="F739" s="1" t="str">
        <f>"015331653"</f>
        <v>015331653</v>
      </c>
      <c r="G739" s="1" t="s">
        <v>11031</v>
      </c>
      <c r="H739" s="1" t="s">
        <v>15</v>
      </c>
      <c r="I739" s="1" t="str">
        <f>"1"</f>
        <v>1</v>
      </c>
      <c r="J739" s="3">
        <v>43436.25</v>
      </c>
      <c r="K739" s="4">
        <v>46055</v>
      </c>
      <c r="L739" s="4">
        <v>46055</v>
      </c>
      <c r="M739" s="1" t="s">
        <v>11030</v>
      </c>
      <c r="N739" s="1" t="s">
        <v>11029</v>
      </c>
    </row>
    <row r="740" spans="1:14" s="1" customFormat="1" x14ac:dyDescent="0.35">
      <c r="A740" s="1" t="s">
        <v>0</v>
      </c>
      <c r="B740" s="1" t="s">
        <v>3356</v>
      </c>
      <c r="C740" s="1" t="s">
        <v>3777</v>
      </c>
      <c r="D740" s="1" t="s">
        <v>11028</v>
      </c>
      <c r="E740" s="1" t="str">
        <f>"3805"</f>
        <v>3805</v>
      </c>
      <c r="F740" s="1" t="str">
        <f>"015153766"</f>
        <v>015153766</v>
      </c>
      <c r="G740" s="1" t="s">
        <v>420</v>
      </c>
      <c r="H740" s="1" t="s">
        <v>15</v>
      </c>
      <c r="I740" s="1" t="str">
        <f>"1"</f>
        <v>1</v>
      </c>
      <c r="J740" s="3">
        <v>16100.91</v>
      </c>
      <c r="K740" s="4">
        <v>46060</v>
      </c>
      <c r="L740" s="4">
        <v>46064</v>
      </c>
      <c r="M740" s="1" t="s">
        <v>11027</v>
      </c>
      <c r="N740" s="1" t="s">
        <v>11026</v>
      </c>
    </row>
    <row r="741" spans="1:14" s="1" customFormat="1" x14ac:dyDescent="0.35">
      <c r="A741" s="1" t="s">
        <v>0</v>
      </c>
      <c r="B741" s="1" t="s">
        <v>3356</v>
      </c>
      <c r="C741" s="1" t="s">
        <v>3777</v>
      </c>
      <c r="D741" s="1" t="s">
        <v>11025</v>
      </c>
      <c r="E741" s="1" t="str">
        <f>"3805"</f>
        <v>3805</v>
      </c>
      <c r="F741" s="1" t="str">
        <f>"015153766"</f>
        <v>015153766</v>
      </c>
      <c r="G741" s="1" t="s">
        <v>420</v>
      </c>
      <c r="H741" s="1" t="s">
        <v>15</v>
      </c>
      <c r="I741" s="1" t="str">
        <f>"1"</f>
        <v>1</v>
      </c>
      <c r="J741" s="3">
        <v>16100.91</v>
      </c>
      <c r="K741" s="4">
        <v>46085</v>
      </c>
      <c r="L741" s="4">
        <v>46085</v>
      </c>
      <c r="M741" s="1" t="s">
        <v>11024</v>
      </c>
      <c r="N741" s="1" t="s">
        <v>11023</v>
      </c>
    </row>
    <row r="742" spans="1:14" s="1" customFormat="1" x14ac:dyDescent="0.35">
      <c r="A742" s="1" t="s">
        <v>0</v>
      </c>
      <c r="B742" s="1" t="s">
        <v>3356</v>
      </c>
      <c r="C742" s="1" t="s">
        <v>3777</v>
      </c>
      <c r="D742" s="1" t="s">
        <v>11022</v>
      </c>
      <c r="E742" s="1" t="str">
        <f>"3805"</f>
        <v>3805</v>
      </c>
      <c r="F742" s="1" t="str">
        <f>"015497814"</f>
        <v>015497814</v>
      </c>
      <c r="G742" s="1" t="s">
        <v>420</v>
      </c>
      <c r="H742" s="1" t="s">
        <v>15</v>
      </c>
      <c r="I742" s="1" t="str">
        <f>"1"</f>
        <v>1</v>
      </c>
      <c r="J742" s="3" t="str">
        <f>"123508"</f>
        <v>123508</v>
      </c>
      <c r="K742" s="4">
        <v>46083</v>
      </c>
      <c r="L742" s="4">
        <v>46083</v>
      </c>
      <c r="M742" s="1" t="s">
        <v>11000</v>
      </c>
      <c r="N742" s="1" t="s">
        <v>11021</v>
      </c>
    </row>
    <row r="743" spans="1:14" s="1" customFormat="1" x14ac:dyDescent="0.35">
      <c r="A743" s="1" t="s">
        <v>0</v>
      </c>
      <c r="B743" s="1" t="s">
        <v>3356</v>
      </c>
      <c r="C743" s="1" t="s">
        <v>3777</v>
      </c>
      <c r="D743" s="1" t="s">
        <v>11020</v>
      </c>
      <c r="E743" s="1" t="str">
        <f>"1940"</f>
        <v>1940</v>
      </c>
      <c r="F743" s="1" t="s">
        <v>1898</v>
      </c>
      <c r="G743" s="1" t="s">
        <v>1899</v>
      </c>
      <c r="H743" s="1" t="s">
        <v>15</v>
      </c>
      <c r="I743" s="1" t="str">
        <f>"1"</f>
        <v>1</v>
      </c>
      <c r="J743" s="3" t="str">
        <f>"65000"</f>
        <v>65000</v>
      </c>
      <c r="K743" s="4">
        <v>46111</v>
      </c>
      <c r="L743" s="4">
        <v>46111</v>
      </c>
      <c r="M743" s="1" t="s">
        <v>11000</v>
      </c>
      <c r="N743" s="1" t="s">
        <v>11019</v>
      </c>
    </row>
    <row r="744" spans="1:14" s="1" customFormat="1" x14ac:dyDescent="0.35">
      <c r="A744" s="1" t="s">
        <v>0</v>
      </c>
      <c r="B744" s="1" t="s">
        <v>3352</v>
      </c>
      <c r="C744" s="1" t="s">
        <v>3353</v>
      </c>
      <c r="D744" s="1" t="s">
        <v>11018</v>
      </c>
      <c r="E744" s="1" t="str">
        <f>"4240"</f>
        <v>4240</v>
      </c>
      <c r="F744" s="1" t="str">
        <f>"016308327"</f>
        <v>016308327</v>
      </c>
      <c r="G744" s="1" t="s">
        <v>1404</v>
      </c>
      <c r="H744" s="1" t="s">
        <v>15</v>
      </c>
      <c r="I744" s="1" t="str">
        <f>"23"</f>
        <v>23</v>
      </c>
      <c r="J744" s="3">
        <v>48.01</v>
      </c>
      <c r="K744" s="4">
        <v>46030</v>
      </c>
      <c r="L744" s="4">
        <v>46030</v>
      </c>
      <c r="M744" s="1" t="s">
        <v>11017</v>
      </c>
      <c r="N744" s="1" t="s">
        <v>11016</v>
      </c>
    </row>
    <row r="745" spans="1:14" s="1" customFormat="1" x14ac:dyDescent="0.35">
      <c r="A745" s="1" t="s">
        <v>0</v>
      </c>
      <c r="B745" s="1" t="s">
        <v>3356</v>
      </c>
      <c r="C745" s="1" t="s">
        <v>3783</v>
      </c>
      <c r="D745" s="1" t="s">
        <v>11015</v>
      </c>
      <c r="E745" s="1" t="str">
        <f>"2330"</f>
        <v>2330</v>
      </c>
      <c r="F745" s="1" t="str">
        <f>"010911710"</f>
        <v>010911710</v>
      </c>
      <c r="G745" s="1" t="s">
        <v>3511</v>
      </c>
      <c r="H745" s="1" t="s">
        <v>15</v>
      </c>
      <c r="I745" s="1" t="str">
        <f>"1"</f>
        <v>1</v>
      </c>
      <c r="J745" s="3" t="str">
        <f>"4200"</f>
        <v>4200</v>
      </c>
      <c r="K745" s="4">
        <v>46084</v>
      </c>
      <c r="L745" s="4">
        <v>46084</v>
      </c>
      <c r="M745" s="1" t="s">
        <v>11012</v>
      </c>
      <c r="N745" s="1" t="s">
        <v>11014</v>
      </c>
    </row>
    <row r="746" spans="1:14" s="1" customFormat="1" x14ac:dyDescent="0.35">
      <c r="A746" s="1" t="s">
        <v>0</v>
      </c>
      <c r="B746" s="1" t="s">
        <v>3356</v>
      </c>
      <c r="C746" s="1" t="s">
        <v>3783</v>
      </c>
      <c r="D746" s="1" t="s">
        <v>11013</v>
      </c>
      <c r="E746" s="1" t="str">
        <f>"2320"</f>
        <v>2320</v>
      </c>
      <c r="F746" s="1" t="s">
        <v>100</v>
      </c>
      <c r="G746" s="1" t="s">
        <v>101</v>
      </c>
      <c r="H746" s="1" t="s">
        <v>15</v>
      </c>
      <c r="I746" s="1" t="str">
        <f>"1"</f>
        <v>1</v>
      </c>
      <c r="J746" s="3" t="str">
        <f>"33000"</f>
        <v>33000</v>
      </c>
      <c r="K746" s="4">
        <v>46084</v>
      </c>
      <c r="L746" s="4">
        <v>46084</v>
      </c>
      <c r="M746" s="1" t="s">
        <v>11012</v>
      </c>
      <c r="N746" s="1" t="s">
        <v>11011</v>
      </c>
    </row>
    <row r="747" spans="1:14" s="1" customFormat="1" x14ac:dyDescent="0.35">
      <c r="A747" s="1" t="s">
        <v>0</v>
      </c>
      <c r="B747" s="1" t="s">
        <v>3822</v>
      </c>
      <c r="C747" s="1" t="s">
        <v>4233</v>
      </c>
      <c r="D747" s="1" t="s">
        <v>11010</v>
      </c>
      <c r="E747" s="1" t="str">
        <f>"3805"</f>
        <v>3805</v>
      </c>
      <c r="F747" s="1" t="s">
        <v>1020</v>
      </c>
      <c r="G747" s="1" t="s">
        <v>1021</v>
      </c>
      <c r="H747" s="1" t="s">
        <v>15</v>
      </c>
      <c r="I747" s="1" t="str">
        <f>"1"</f>
        <v>1</v>
      </c>
      <c r="J747" s="3" t="str">
        <f>"37206"</f>
        <v>37206</v>
      </c>
      <c r="K747" s="4">
        <v>46026</v>
      </c>
      <c r="L747" s="4">
        <v>46027</v>
      </c>
      <c r="M747" s="1" t="s">
        <v>11009</v>
      </c>
      <c r="N747" s="1" t="s">
        <v>11008</v>
      </c>
    </row>
    <row r="748" spans="1:14" s="1" customFormat="1" x14ac:dyDescent="0.35">
      <c r="A748" s="1" t="s">
        <v>0</v>
      </c>
      <c r="B748" s="1" t="s">
        <v>3822</v>
      </c>
      <c r="C748" s="1" t="s">
        <v>4233</v>
      </c>
      <c r="D748" s="1" t="s">
        <v>11007</v>
      </c>
      <c r="E748" s="1" t="str">
        <f>"2330"</f>
        <v>2330</v>
      </c>
      <c r="F748" s="1" t="s">
        <v>104</v>
      </c>
      <c r="G748" s="1" t="s">
        <v>105</v>
      </c>
      <c r="H748" s="1" t="s">
        <v>15</v>
      </c>
      <c r="I748" s="1" t="str">
        <f>"1"</f>
        <v>1</v>
      </c>
      <c r="J748" s="3" t="str">
        <f>"12645"</f>
        <v>12645</v>
      </c>
      <c r="K748" s="4">
        <v>46086</v>
      </c>
      <c r="L748" s="4">
        <v>46086</v>
      </c>
      <c r="M748" s="1" t="s">
        <v>11006</v>
      </c>
      <c r="N748" s="1" t="s">
        <v>11005</v>
      </c>
    </row>
    <row r="749" spans="1:14" s="1" customFormat="1" x14ac:dyDescent="0.35">
      <c r="A749" s="1" t="s">
        <v>0</v>
      </c>
      <c r="B749" s="1" t="s">
        <v>3822</v>
      </c>
      <c r="C749" s="1" t="s">
        <v>4233</v>
      </c>
      <c r="D749" s="1" t="s">
        <v>11004</v>
      </c>
      <c r="E749" s="1" t="str">
        <f>"2330"</f>
        <v>2330</v>
      </c>
      <c r="F749" s="1" t="s">
        <v>104</v>
      </c>
      <c r="G749" s="1" t="s">
        <v>105</v>
      </c>
      <c r="H749" s="1" t="s">
        <v>15</v>
      </c>
      <c r="I749" s="1" t="str">
        <f>"1"</f>
        <v>1</v>
      </c>
      <c r="J749" s="3" t="str">
        <f>"12645"</f>
        <v>12645</v>
      </c>
      <c r="K749" s="4">
        <v>46087</v>
      </c>
      <c r="L749" s="4">
        <v>46087</v>
      </c>
      <c r="M749" s="1" t="s">
        <v>11003</v>
      </c>
      <c r="N749" s="1" t="s">
        <v>11002</v>
      </c>
    </row>
    <row r="750" spans="1:14" s="1" customFormat="1" x14ac:dyDescent="0.35">
      <c r="A750" s="1" t="s">
        <v>0</v>
      </c>
      <c r="B750" s="1" t="s">
        <v>3356</v>
      </c>
      <c r="C750" s="1" t="s">
        <v>3813</v>
      </c>
      <c r="D750" s="1" t="s">
        <v>11001</v>
      </c>
      <c r="E750" s="1" t="str">
        <f>"2310"</f>
        <v>2310</v>
      </c>
      <c r="F750" s="1" t="str">
        <f>"014998019"</f>
        <v>014998019</v>
      </c>
      <c r="G750" s="1" t="s">
        <v>4671</v>
      </c>
      <c r="H750" s="1" t="s">
        <v>15</v>
      </c>
      <c r="I750" s="1" t="str">
        <f>"1"</f>
        <v>1</v>
      </c>
      <c r="J750" s="3" t="str">
        <f>"165000"</f>
        <v>165000</v>
      </c>
      <c r="K750" s="4">
        <v>46079</v>
      </c>
      <c r="L750" s="4">
        <v>46079</v>
      </c>
      <c r="M750" s="1" t="s">
        <v>11000</v>
      </c>
      <c r="N750" s="1" t="s">
        <v>10999</v>
      </c>
    </row>
    <row r="751" spans="1:14" s="1" customFormat="1" x14ac:dyDescent="0.35">
      <c r="A751" s="1" t="s">
        <v>0</v>
      </c>
      <c r="B751" s="1" t="s">
        <v>3356</v>
      </c>
      <c r="C751" s="1" t="s">
        <v>3813</v>
      </c>
      <c r="D751" s="1" t="s">
        <v>10998</v>
      </c>
      <c r="E751" s="1" t="str">
        <f>"2320"</f>
        <v>2320</v>
      </c>
      <c r="F751" s="1" t="str">
        <f>"015303843"</f>
        <v>015303843</v>
      </c>
      <c r="G751" s="1" t="s">
        <v>930</v>
      </c>
      <c r="H751" s="1" t="s">
        <v>15</v>
      </c>
      <c r="I751" s="1" t="str">
        <f>"1"</f>
        <v>1</v>
      </c>
      <c r="J751" s="3" t="str">
        <f>"218378"</f>
        <v>218378</v>
      </c>
      <c r="K751" s="4">
        <v>46094</v>
      </c>
      <c r="L751" s="4">
        <v>46094</v>
      </c>
      <c r="M751" s="1" t="s">
        <v>10997</v>
      </c>
      <c r="N751" s="1" t="s">
        <v>10996</v>
      </c>
    </row>
    <row r="752" spans="1:14" s="1" customFormat="1" x14ac:dyDescent="0.35">
      <c r="A752" s="1" t="s">
        <v>0</v>
      </c>
      <c r="B752" s="1" t="s">
        <v>1791</v>
      </c>
      <c r="C752" s="1" t="s">
        <v>1904</v>
      </c>
      <c r="D752" s="1" t="s">
        <v>10995</v>
      </c>
      <c r="E752" s="1" t="str">
        <f>"1240"</f>
        <v>1240</v>
      </c>
      <c r="F752" s="1" t="str">
        <f>"014111265"</f>
        <v>014111265</v>
      </c>
      <c r="G752" s="1" t="s">
        <v>71</v>
      </c>
      <c r="H752" s="1" t="s">
        <v>15</v>
      </c>
      <c r="I752" s="1" t="str">
        <f>"26"</f>
        <v>26</v>
      </c>
      <c r="J752" s="3" t="str">
        <f>"339"</f>
        <v>339</v>
      </c>
      <c r="K752" s="4">
        <v>46052</v>
      </c>
      <c r="L752" s="4">
        <v>46055</v>
      </c>
      <c r="M752" s="1" t="s">
        <v>10994</v>
      </c>
      <c r="N752" s="1" t="s">
        <v>10993</v>
      </c>
    </row>
    <row r="753" spans="1:14" s="1" customFormat="1" x14ac:dyDescent="0.35">
      <c r="A753" s="1" t="s">
        <v>0</v>
      </c>
      <c r="B753" s="1" t="s">
        <v>3356</v>
      </c>
      <c r="C753" s="1" t="s">
        <v>4693</v>
      </c>
      <c r="D753" s="1" t="s">
        <v>10992</v>
      </c>
      <c r="E753" s="1" t="str">
        <f>"5855"</f>
        <v>5855</v>
      </c>
      <c r="F753" s="1" t="str">
        <f>"015847217"</f>
        <v>015847217</v>
      </c>
      <c r="G753" s="1" t="s">
        <v>614</v>
      </c>
      <c r="H753" s="1" t="s">
        <v>15</v>
      </c>
      <c r="I753" s="1" t="str">
        <f>"5"</f>
        <v>5</v>
      </c>
      <c r="J753" s="3" t="str">
        <f>"34084"</f>
        <v>34084</v>
      </c>
      <c r="K753" s="4">
        <v>46105</v>
      </c>
      <c r="L753" s="4">
        <v>46105</v>
      </c>
      <c r="M753" s="1" t="s">
        <v>10991</v>
      </c>
      <c r="N753" s="1" t="s">
        <v>10990</v>
      </c>
    </row>
    <row r="754" spans="1:14" s="1" customFormat="1" x14ac:dyDescent="0.35">
      <c r="A754" s="1" t="s">
        <v>0</v>
      </c>
      <c r="B754" s="1" t="s">
        <v>2196</v>
      </c>
      <c r="C754" s="1" t="s">
        <v>2265</v>
      </c>
      <c r="D754" s="1" t="s">
        <v>10989</v>
      </c>
      <c r="E754" s="1" t="str">
        <f>"8405"</f>
        <v>8405</v>
      </c>
      <c r="F754" s="1" t="str">
        <f>"015472559"</f>
        <v>015472559</v>
      </c>
      <c r="G754" s="1" t="s">
        <v>893</v>
      </c>
      <c r="H754" s="1" t="s">
        <v>15</v>
      </c>
      <c r="I754" s="1" t="str">
        <f>"11"</f>
        <v>11</v>
      </c>
      <c r="J754" s="3">
        <v>38.4</v>
      </c>
      <c r="K754" s="4">
        <v>46094</v>
      </c>
      <c r="L754" s="4">
        <v>46111</v>
      </c>
      <c r="N754" s="1" t="s">
        <v>10988</v>
      </c>
    </row>
    <row r="755" spans="1:14" s="1" customFormat="1" x14ac:dyDescent="0.35">
      <c r="A755" s="1" t="s">
        <v>0</v>
      </c>
      <c r="B755" s="1" t="s">
        <v>2196</v>
      </c>
      <c r="C755" s="1" t="s">
        <v>2265</v>
      </c>
      <c r="D755" s="1" t="s">
        <v>10987</v>
      </c>
      <c r="E755" s="1" t="str">
        <f>"8415"</f>
        <v>8415</v>
      </c>
      <c r="F755" s="1" t="str">
        <f>"015386754"</f>
        <v>015386754</v>
      </c>
      <c r="G755" s="1" t="s">
        <v>761</v>
      </c>
      <c r="H755" s="1" t="s">
        <v>15</v>
      </c>
      <c r="I755" s="1" t="str">
        <f>"1"</f>
        <v>1</v>
      </c>
      <c r="J755" s="3">
        <v>63.88</v>
      </c>
      <c r="K755" s="4">
        <v>46094</v>
      </c>
      <c r="L755" s="4">
        <v>46111</v>
      </c>
      <c r="N755" s="1" t="s">
        <v>10985</v>
      </c>
    </row>
    <row r="756" spans="1:14" s="1" customFormat="1" x14ac:dyDescent="0.35">
      <c r="A756" s="1" t="s">
        <v>0</v>
      </c>
      <c r="B756" s="1" t="s">
        <v>2196</v>
      </c>
      <c r="C756" s="1" t="s">
        <v>2265</v>
      </c>
      <c r="D756" s="1" t="s">
        <v>10986</v>
      </c>
      <c r="E756" s="1" t="str">
        <f>"8415"</f>
        <v>8415</v>
      </c>
      <c r="F756" s="1" t="str">
        <f>"015386742"</f>
        <v>015386742</v>
      </c>
      <c r="G756" s="1" t="s">
        <v>761</v>
      </c>
      <c r="H756" s="1" t="s">
        <v>15</v>
      </c>
      <c r="I756" s="1" t="str">
        <f>"15"</f>
        <v>15</v>
      </c>
      <c r="J756" s="3">
        <v>63.88</v>
      </c>
      <c r="K756" s="4">
        <v>46094</v>
      </c>
      <c r="L756" s="4">
        <v>46111</v>
      </c>
      <c r="N756" s="1" t="s">
        <v>10985</v>
      </c>
    </row>
    <row r="757" spans="1:14" s="1" customFormat="1" x14ac:dyDescent="0.35">
      <c r="A757" s="1" t="s">
        <v>0</v>
      </c>
      <c r="B757" s="1" t="s">
        <v>2196</v>
      </c>
      <c r="C757" s="1" t="s">
        <v>2265</v>
      </c>
      <c r="D757" s="1" t="s">
        <v>10984</v>
      </c>
      <c r="E757" s="1" t="str">
        <f>"8415"</f>
        <v>8415</v>
      </c>
      <c r="F757" s="1" t="str">
        <f>"015801355"</f>
        <v>015801355</v>
      </c>
      <c r="G757" s="1" t="s">
        <v>761</v>
      </c>
      <c r="H757" s="1" t="s">
        <v>15</v>
      </c>
      <c r="I757" s="1" t="str">
        <f>"1"</f>
        <v>1</v>
      </c>
      <c r="J757" s="3">
        <v>80.94</v>
      </c>
      <c r="K757" s="4">
        <v>46094</v>
      </c>
      <c r="L757" s="4">
        <v>46111</v>
      </c>
      <c r="N757" s="1" t="s">
        <v>10983</v>
      </c>
    </row>
    <row r="758" spans="1:14" s="1" customFormat="1" x14ac:dyDescent="0.35">
      <c r="A758" s="1" t="s">
        <v>0</v>
      </c>
      <c r="B758" s="1" t="s">
        <v>2196</v>
      </c>
      <c r="C758" s="1" t="s">
        <v>2265</v>
      </c>
      <c r="D758" s="1" t="s">
        <v>10982</v>
      </c>
      <c r="E758" s="1" t="str">
        <f>"2310"</f>
        <v>2310</v>
      </c>
      <c r="F758" s="1" t="s">
        <v>4332</v>
      </c>
      <c r="G758" s="1" t="s">
        <v>4333</v>
      </c>
      <c r="H758" s="1" t="s">
        <v>15</v>
      </c>
      <c r="I758" s="1" t="str">
        <f>"1"</f>
        <v>1</v>
      </c>
      <c r="J758" s="3" t="str">
        <f>"25000"</f>
        <v>25000</v>
      </c>
      <c r="K758" s="4">
        <v>46088</v>
      </c>
      <c r="L758" s="4">
        <v>46104</v>
      </c>
      <c r="N758" s="1" t="s">
        <v>10981</v>
      </c>
    </row>
    <row r="759" spans="1:14" s="1" customFormat="1" x14ac:dyDescent="0.35">
      <c r="A759" s="1" t="s">
        <v>0</v>
      </c>
      <c r="B759" s="1" t="s">
        <v>2196</v>
      </c>
      <c r="C759" s="1" t="s">
        <v>2265</v>
      </c>
      <c r="D759" s="1" t="s">
        <v>10980</v>
      </c>
      <c r="E759" s="1" t="str">
        <f>"2320"</f>
        <v>2320</v>
      </c>
      <c r="F759" s="1" t="s">
        <v>1664</v>
      </c>
      <c r="G759" s="1" t="s">
        <v>1665</v>
      </c>
      <c r="H759" s="1" t="s">
        <v>15</v>
      </c>
      <c r="I759" s="1" t="str">
        <f>"1"</f>
        <v>1</v>
      </c>
      <c r="J759" s="3" t="str">
        <f>"10000"</f>
        <v>10000</v>
      </c>
      <c r="K759" s="4">
        <v>46088</v>
      </c>
      <c r="L759" s="4">
        <v>46104</v>
      </c>
      <c r="N759" s="1" t="s">
        <v>10979</v>
      </c>
    </row>
    <row r="760" spans="1:14" s="1" customFormat="1" x14ac:dyDescent="0.35">
      <c r="A760" s="1" t="s">
        <v>0</v>
      </c>
      <c r="B760" s="1" t="s">
        <v>2196</v>
      </c>
      <c r="C760" s="1" t="s">
        <v>2265</v>
      </c>
      <c r="D760" s="1" t="s">
        <v>10978</v>
      </c>
      <c r="E760" s="1" t="str">
        <f>"2310"</f>
        <v>2310</v>
      </c>
      <c r="F760" s="1" t="s">
        <v>4332</v>
      </c>
      <c r="G760" s="1" t="s">
        <v>4333</v>
      </c>
      <c r="H760" s="1" t="s">
        <v>15</v>
      </c>
      <c r="I760" s="1" t="str">
        <f>"3"</f>
        <v>3</v>
      </c>
      <c r="J760" s="3" t="str">
        <f>"7500"</f>
        <v>7500</v>
      </c>
      <c r="K760" s="4">
        <v>46088</v>
      </c>
      <c r="L760" s="4">
        <v>46104</v>
      </c>
      <c r="N760" s="1" t="s">
        <v>10973</v>
      </c>
    </row>
    <row r="761" spans="1:14" s="1" customFormat="1" x14ac:dyDescent="0.35">
      <c r="A761" s="1" t="s">
        <v>0</v>
      </c>
      <c r="B761" s="1" t="s">
        <v>2196</v>
      </c>
      <c r="C761" s="1" t="s">
        <v>2265</v>
      </c>
      <c r="D761" s="1" t="s">
        <v>10977</v>
      </c>
      <c r="E761" s="1" t="str">
        <f>"2310"</f>
        <v>2310</v>
      </c>
      <c r="F761" s="1" t="s">
        <v>4332</v>
      </c>
      <c r="G761" s="1" t="s">
        <v>4333</v>
      </c>
      <c r="H761" s="1" t="s">
        <v>15</v>
      </c>
      <c r="I761" s="1" t="str">
        <f>"1"</f>
        <v>1</v>
      </c>
      <c r="J761" s="3" t="str">
        <f>"7500"</f>
        <v>7500</v>
      </c>
      <c r="K761" s="4">
        <v>46088</v>
      </c>
      <c r="L761" s="4">
        <v>46104</v>
      </c>
      <c r="N761" s="1" t="s">
        <v>10973</v>
      </c>
    </row>
    <row r="762" spans="1:14" s="1" customFormat="1" x14ac:dyDescent="0.35">
      <c r="A762" s="1" t="s">
        <v>0</v>
      </c>
      <c r="B762" s="1" t="s">
        <v>2196</v>
      </c>
      <c r="C762" s="1" t="s">
        <v>2265</v>
      </c>
      <c r="D762" s="1" t="s">
        <v>10976</v>
      </c>
      <c r="E762" s="1" t="str">
        <f>"2310"</f>
        <v>2310</v>
      </c>
      <c r="F762" s="1" t="s">
        <v>4332</v>
      </c>
      <c r="G762" s="1" t="s">
        <v>4333</v>
      </c>
      <c r="H762" s="1" t="s">
        <v>15</v>
      </c>
      <c r="I762" s="1" t="str">
        <f>"1"</f>
        <v>1</v>
      </c>
      <c r="J762" s="3" t="str">
        <f>"15000"</f>
        <v>15000</v>
      </c>
      <c r="K762" s="4">
        <v>46088</v>
      </c>
      <c r="L762" s="4">
        <v>46104</v>
      </c>
      <c r="N762" s="1" t="s">
        <v>10973</v>
      </c>
    </row>
    <row r="763" spans="1:14" s="1" customFormat="1" x14ac:dyDescent="0.35">
      <c r="A763" s="1" t="s">
        <v>0</v>
      </c>
      <c r="B763" s="1" t="s">
        <v>2196</v>
      </c>
      <c r="C763" s="1" t="s">
        <v>2265</v>
      </c>
      <c r="D763" s="1" t="s">
        <v>10975</v>
      </c>
      <c r="E763" s="1" t="str">
        <f>"2310"</f>
        <v>2310</v>
      </c>
      <c r="F763" s="1" t="s">
        <v>4332</v>
      </c>
      <c r="G763" s="1" t="s">
        <v>4333</v>
      </c>
      <c r="H763" s="1" t="s">
        <v>15</v>
      </c>
      <c r="I763" s="1" t="str">
        <f>"1"</f>
        <v>1</v>
      </c>
      <c r="J763" s="3" t="str">
        <f>"15000"</f>
        <v>15000</v>
      </c>
      <c r="K763" s="4">
        <v>46088</v>
      </c>
      <c r="L763" s="4">
        <v>46104</v>
      </c>
      <c r="N763" s="1" t="s">
        <v>10973</v>
      </c>
    </row>
    <row r="764" spans="1:14" s="1" customFormat="1" x14ac:dyDescent="0.35">
      <c r="A764" s="1" t="s">
        <v>0</v>
      </c>
      <c r="B764" s="1" t="s">
        <v>2196</v>
      </c>
      <c r="C764" s="1" t="s">
        <v>2265</v>
      </c>
      <c r="D764" s="1" t="s">
        <v>10974</v>
      </c>
      <c r="E764" s="1" t="str">
        <f>"2310"</f>
        <v>2310</v>
      </c>
      <c r="F764" s="1" t="s">
        <v>3373</v>
      </c>
      <c r="G764" s="1" t="s">
        <v>3374</v>
      </c>
      <c r="H764" s="1" t="s">
        <v>15</v>
      </c>
      <c r="I764" s="1" t="str">
        <f>"1"</f>
        <v>1</v>
      </c>
      <c r="J764" s="3" t="str">
        <f>"9176"</f>
        <v>9176</v>
      </c>
      <c r="K764" s="4">
        <v>46088</v>
      </c>
      <c r="L764" s="4">
        <v>46104</v>
      </c>
      <c r="N764" s="1" t="s">
        <v>10973</v>
      </c>
    </row>
    <row r="765" spans="1:14" s="1" customFormat="1" x14ac:dyDescent="0.35">
      <c r="A765" s="1" t="s">
        <v>0</v>
      </c>
      <c r="B765" s="1" t="s">
        <v>2196</v>
      </c>
      <c r="C765" s="1" t="s">
        <v>2265</v>
      </c>
      <c r="D765" s="1" t="s">
        <v>10972</v>
      </c>
      <c r="E765" s="1" t="str">
        <f>"2310"</f>
        <v>2310</v>
      </c>
      <c r="F765" s="1" t="s">
        <v>3373</v>
      </c>
      <c r="G765" s="1" t="s">
        <v>3374</v>
      </c>
      <c r="H765" s="1" t="s">
        <v>15</v>
      </c>
      <c r="I765" s="1" t="str">
        <f>"2"</f>
        <v>2</v>
      </c>
      <c r="J765" s="3" t="str">
        <f>"9176"</f>
        <v>9176</v>
      </c>
      <c r="K765" s="4">
        <v>46088</v>
      </c>
      <c r="L765" s="4">
        <v>46104</v>
      </c>
      <c r="N765" s="1" t="s">
        <v>10971</v>
      </c>
    </row>
    <row r="766" spans="1:14" s="1" customFormat="1" x14ac:dyDescent="0.35">
      <c r="A766" s="1" t="s">
        <v>0</v>
      </c>
      <c r="B766" s="1" t="s">
        <v>2196</v>
      </c>
      <c r="C766" s="1" t="s">
        <v>2265</v>
      </c>
      <c r="D766" s="1" t="s">
        <v>10970</v>
      </c>
      <c r="E766" s="1" t="str">
        <f>"8405"</f>
        <v>8405</v>
      </c>
      <c r="F766" s="1" t="str">
        <f>"015472559"</f>
        <v>015472559</v>
      </c>
      <c r="G766" s="1" t="s">
        <v>893</v>
      </c>
      <c r="H766" s="1" t="s">
        <v>15</v>
      </c>
      <c r="I766" s="1" t="str">
        <f>"5"</f>
        <v>5</v>
      </c>
      <c r="J766" s="3">
        <v>38.4</v>
      </c>
      <c r="K766" s="4">
        <v>46109</v>
      </c>
      <c r="L766" s="4">
        <v>46111</v>
      </c>
      <c r="N766" s="1" t="s">
        <v>10969</v>
      </c>
    </row>
    <row r="767" spans="1:14" s="1" customFormat="1" x14ac:dyDescent="0.35">
      <c r="A767" s="1" t="s">
        <v>4492</v>
      </c>
      <c r="B767" s="1" t="s">
        <v>3356</v>
      </c>
      <c r="C767" s="1" t="s">
        <v>3357</v>
      </c>
      <c r="D767" s="1" t="s">
        <v>10968</v>
      </c>
      <c r="E767" s="1" t="str">
        <f>"2310"</f>
        <v>2310</v>
      </c>
      <c r="F767" s="1" t="str">
        <f>"010907739"</f>
        <v>010907739</v>
      </c>
      <c r="G767" s="1" t="s">
        <v>710</v>
      </c>
      <c r="H767" s="1" t="s">
        <v>15</v>
      </c>
      <c r="I767" s="1" t="str">
        <f>"1"</f>
        <v>1</v>
      </c>
      <c r="J767" s="3" t="str">
        <f>"9176"</f>
        <v>9176</v>
      </c>
      <c r="K767" s="4">
        <v>46057</v>
      </c>
      <c r="L767" s="4">
        <v>46067</v>
      </c>
      <c r="M767" s="1" t="s">
        <v>10967</v>
      </c>
      <c r="N767" s="1" t="s">
        <v>10966</v>
      </c>
    </row>
    <row r="768" spans="1:14" s="1" customFormat="1" x14ac:dyDescent="0.35">
      <c r="A768" s="1" t="s">
        <v>4492</v>
      </c>
      <c r="B768" s="1" t="s">
        <v>3356</v>
      </c>
      <c r="C768" s="1" t="s">
        <v>3357</v>
      </c>
      <c r="D768" s="1" t="s">
        <v>10965</v>
      </c>
      <c r="E768" s="1" t="str">
        <f>"6130"</f>
        <v>6130</v>
      </c>
      <c r="F768" s="1" t="str">
        <f>"014965249"</f>
        <v>014965249</v>
      </c>
      <c r="G768" s="1" t="s">
        <v>10964</v>
      </c>
      <c r="H768" s="1" t="s">
        <v>15</v>
      </c>
      <c r="I768" s="1" t="str">
        <f>"4"</f>
        <v>4</v>
      </c>
      <c r="J768" s="3">
        <v>4178.03</v>
      </c>
      <c r="K768" s="4">
        <v>46079</v>
      </c>
      <c r="L768" s="4">
        <v>46088</v>
      </c>
      <c r="M768" s="1" t="s">
        <v>10963</v>
      </c>
      <c r="N768" s="1" t="s">
        <v>10962</v>
      </c>
    </row>
    <row r="769" spans="1:14" s="1" customFormat="1" x14ac:dyDescent="0.35">
      <c r="A769" s="1" t="s">
        <v>4492</v>
      </c>
      <c r="B769" s="1" t="s">
        <v>3356</v>
      </c>
      <c r="C769" s="1" t="s">
        <v>3357</v>
      </c>
      <c r="D769" s="1" t="s">
        <v>10961</v>
      </c>
      <c r="E769" s="1" t="str">
        <f>"7810"</f>
        <v>7810</v>
      </c>
      <c r="F769" s="1" t="s">
        <v>174</v>
      </c>
      <c r="G769" s="1" t="s">
        <v>175</v>
      </c>
      <c r="H769" s="1" t="s">
        <v>15</v>
      </c>
      <c r="I769" s="1" t="str">
        <f>"2"</f>
        <v>2</v>
      </c>
      <c r="J769" s="3" t="str">
        <f>"2095"</f>
        <v>2095</v>
      </c>
      <c r="K769" s="4">
        <v>46079</v>
      </c>
      <c r="L769" s="4">
        <v>46087</v>
      </c>
      <c r="M769" s="1" t="s">
        <v>10960</v>
      </c>
      <c r="N769" s="1" t="s">
        <v>10959</v>
      </c>
    </row>
    <row r="770" spans="1:14" s="1" customFormat="1" x14ac:dyDescent="0.35">
      <c r="A770" s="1" t="s">
        <v>4492</v>
      </c>
      <c r="B770" s="1" t="s">
        <v>3356</v>
      </c>
      <c r="C770" s="1" t="s">
        <v>3357</v>
      </c>
      <c r="D770" s="1" t="s">
        <v>10958</v>
      </c>
      <c r="E770" s="1" t="str">
        <f>"6230"</f>
        <v>6230</v>
      </c>
      <c r="F770" s="1" t="s">
        <v>3594</v>
      </c>
      <c r="G770" s="1" t="s">
        <v>3595</v>
      </c>
      <c r="H770" s="1" t="s">
        <v>15</v>
      </c>
      <c r="I770" s="1" t="str">
        <f>"5"</f>
        <v>5</v>
      </c>
      <c r="J770" s="3">
        <v>677.38</v>
      </c>
      <c r="K770" s="4">
        <v>46079</v>
      </c>
      <c r="L770" s="4">
        <v>46108</v>
      </c>
      <c r="M770" s="1" t="s">
        <v>10957</v>
      </c>
      <c r="N770" s="1" t="s">
        <v>10956</v>
      </c>
    </row>
    <row r="771" spans="1:14" s="1" customFormat="1" x14ac:dyDescent="0.35">
      <c r="A771" s="1" t="s">
        <v>4492</v>
      </c>
      <c r="B771" s="1" t="s">
        <v>3356</v>
      </c>
      <c r="C771" s="1" t="s">
        <v>3357</v>
      </c>
      <c r="D771" s="1" t="s">
        <v>10955</v>
      </c>
      <c r="E771" s="1" t="str">
        <f>"2310"</f>
        <v>2310</v>
      </c>
      <c r="F771" s="1" t="str">
        <f>"014998019"</f>
        <v>014998019</v>
      </c>
      <c r="G771" s="1" t="s">
        <v>4671</v>
      </c>
      <c r="H771" s="1" t="s">
        <v>15</v>
      </c>
      <c r="I771" s="1" t="str">
        <f>"1"</f>
        <v>1</v>
      </c>
      <c r="J771" s="3" t="str">
        <f>"165000"</f>
        <v>165000</v>
      </c>
      <c r="K771" s="4">
        <v>46080</v>
      </c>
      <c r="L771" s="4">
        <v>46082</v>
      </c>
      <c r="M771" s="1" t="s">
        <v>4524</v>
      </c>
      <c r="N771" s="1" t="s">
        <v>10954</v>
      </c>
    </row>
    <row r="772" spans="1:14" s="1" customFormat="1" x14ac:dyDescent="0.35">
      <c r="A772" s="1" t="s">
        <v>4492</v>
      </c>
      <c r="B772" s="1" t="s">
        <v>3356</v>
      </c>
      <c r="C772" s="1" t="s">
        <v>3357</v>
      </c>
      <c r="D772" s="1" t="s">
        <v>10953</v>
      </c>
      <c r="E772" s="1" t="str">
        <f>"2320"</f>
        <v>2320</v>
      </c>
      <c r="F772" s="1" t="str">
        <f>"010911597"</f>
        <v>010911597</v>
      </c>
      <c r="G772" s="1" t="s">
        <v>4468</v>
      </c>
      <c r="H772" s="1" t="s">
        <v>15</v>
      </c>
      <c r="I772" s="1" t="str">
        <f>"1"</f>
        <v>1</v>
      </c>
      <c r="J772" s="3" t="str">
        <f>"150120"</f>
        <v>150120</v>
      </c>
      <c r="K772" s="4">
        <v>46074</v>
      </c>
      <c r="L772" s="4">
        <v>46088</v>
      </c>
      <c r="M772" s="1" t="s">
        <v>10952</v>
      </c>
      <c r="N772" s="1" t="s">
        <v>10951</v>
      </c>
    </row>
    <row r="773" spans="1:14" s="1" customFormat="1" x14ac:dyDescent="0.35">
      <c r="A773" s="1" t="s">
        <v>4492</v>
      </c>
      <c r="B773" s="1" t="s">
        <v>3356</v>
      </c>
      <c r="C773" s="1" t="s">
        <v>3357</v>
      </c>
      <c r="D773" s="1" t="s">
        <v>10950</v>
      </c>
      <c r="E773" s="1" t="str">
        <f>"7830"</f>
        <v>7830</v>
      </c>
      <c r="F773" s="1" t="s">
        <v>2167</v>
      </c>
      <c r="G773" s="1" t="s">
        <v>2168</v>
      </c>
      <c r="H773" s="1" t="s">
        <v>15</v>
      </c>
      <c r="I773" s="1" t="str">
        <f>"1"</f>
        <v>1</v>
      </c>
      <c r="J773" s="3" t="str">
        <f>"3000"</f>
        <v>3000</v>
      </c>
      <c r="K773" s="4">
        <v>46077</v>
      </c>
      <c r="L773" s="4">
        <v>46108</v>
      </c>
      <c r="M773" s="1" t="s">
        <v>10949</v>
      </c>
      <c r="N773" s="1" t="s">
        <v>10948</v>
      </c>
    </row>
    <row r="774" spans="1:14" s="1" customFormat="1" x14ac:dyDescent="0.35">
      <c r="A774" s="1" t="s">
        <v>4492</v>
      </c>
      <c r="B774" s="1" t="s">
        <v>3356</v>
      </c>
      <c r="C774" s="1" t="s">
        <v>3357</v>
      </c>
      <c r="D774" s="1" t="s">
        <v>10947</v>
      </c>
      <c r="E774" s="1" t="str">
        <f>"3590"</f>
        <v>3590</v>
      </c>
      <c r="F774" s="1" t="s">
        <v>1052</v>
      </c>
      <c r="G774" s="1" t="s">
        <v>1053</v>
      </c>
      <c r="H774" s="1" t="s">
        <v>15</v>
      </c>
      <c r="I774" s="1" t="str">
        <f>"1"</f>
        <v>1</v>
      </c>
      <c r="J774" s="3" t="str">
        <f>"20000"</f>
        <v>20000</v>
      </c>
      <c r="K774" s="4">
        <v>46083</v>
      </c>
      <c r="L774" s="4">
        <v>46087</v>
      </c>
      <c r="M774" s="1" t="s">
        <v>10946</v>
      </c>
      <c r="N774" s="1" t="s">
        <v>10945</v>
      </c>
    </row>
    <row r="775" spans="1:14" s="1" customFormat="1" x14ac:dyDescent="0.35">
      <c r="A775" s="1" t="s">
        <v>4492</v>
      </c>
      <c r="B775" s="1" t="s">
        <v>3356</v>
      </c>
      <c r="C775" s="1" t="s">
        <v>3357</v>
      </c>
      <c r="D775" s="1" t="s">
        <v>10944</v>
      </c>
      <c r="E775" s="1" t="str">
        <f>"2310"</f>
        <v>2310</v>
      </c>
      <c r="F775" s="1" t="s">
        <v>4332</v>
      </c>
      <c r="G775" s="1" t="s">
        <v>4333</v>
      </c>
      <c r="H775" s="1" t="s">
        <v>15</v>
      </c>
      <c r="I775" s="1" t="str">
        <f>"1"</f>
        <v>1</v>
      </c>
      <c r="J775" s="3" t="str">
        <f>"3000"</f>
        <v>3000</v>
      </c>
      <c r="K775" s="4">
        <v>46091</v>
      </c>
      <c r="L775" s="4">
        <v>46103</v>
      </c>
      <c r="M775" s="1" t="s">
        <v>10943</v>
      </c>
      <c r="N775" s="1" t="s">
        <v>10942</v>
      </c>
    </row>
    <row r="776" spans="1:14" s="1" customFormat="1" x14ac:dyDescent="0.35">
      <c r="A776" s="1" t="s">
        <v>4492</v>
      </c>
      <c r="B776" s="1" t="s">
        <v>3356</v>
      </c>
      <c r="C776" s="1" t="s">
        <v>3357</v>
      </c>
      <c r="D776" s="1" t="s">
        <v>10941</v>
      </c>
      <c r="E776" s="1" t="str">
        <f>"2320"</f>
        <v>2320</v>
      </c>
      <c r="F776" s="1" t="str">
        <f>"010907892"</f>
        <v>010907892</v>
      </c>
      <c r="G776" s="1" t="s">
        <v>930</v>
      </c>
      <c r="H776" s="1" t="s">
        <v>15</v>
      </c>
      <c r="I776" s="1" t="str">
        <f>"1"</f>
        <v>1</v>
      </c>
      <c r="J776" s="3" t="str">
        <f>"23000"</f>
        <v>23000</v>
      </c>
      <c r="K776" s="4">
        <v>46095</v>
      </c>
      <c r="L776" s="4">
        <v>46100</v>
      </c>
      <c r="M776" s="1" t="s">
        <v>10940</v>
      </c>
      <c r="N776" s="1" t="s">
        <v>10939</v>
      </c>
    </row>
    <row r="777" spans="1:14" s="1" customFormat="1" x14ac:dyDescent="0.35">
      <c r="A777" s="1" t="s">
        <v>4492</v>
      </c>
      <c r="B777" s="1" t="s">
        <v>3356</v>
      </c>
      <c r="C777" s="1" t="s">
        <v>3357</v>
      </c>
      <c r="D777" s="1" t="s">
        <v>10938</v>
      </c>
      <c r="E777" s="1" t="str">
        <f>"2310"</f>
        <v>2310</v>
      </c>
      <c r="F777" s="1" t="str">
        <f>"014998019"</f>
        <v>014998019</v>
      </c>
      <c r="G777" s="1" t="s">
        <v>4671</v>
      </c>
      <c r="H777" s="1" t="s">
        <v>15</v>
      </c>
      <c r="I777" s="1" t="str">
        <f>"1"</f>
        <v>1</v>
      </c>
      <c r="J777" s="3" t="str">
        <f>"165000"</f>
        <v>165000</v>
      </c>
      <c r="K777" s="4">
        <v>46097</v>
      </c>
      <c r="L777" s="4">
        <v>46097</v>
      </c>
      <c r="M777" s="1" t="s">
        <v>4524</v>
      </c>
      <c r="N777" s="1" t="s">
        <v>10937</v>
      </c>
    </row>
    <row r="778" spans="1:14" s="1" customFormat="1" x14ac:dyDescent="0.35">
      <c r="A778" s="1" t="s">
        <v>4492</v>
      </c>
      <c r="B778" s="1" t="s">
        <v>3268</v>
      </c>
      <c r="C778" s="1" t="s">
        <v>3269</v>
      </c>
      <c r="D778" s="1" t="s">
        <v>10936</v>
      </c>
      <c r="E778" s="1" t="str">
        <f>"1095"</f>
        <v>1095</v>
      </c>
      <c r="F778" s="1" t="str">
        <f>"015432189"</f>
        <v>015432189</v>
      </c>
      <c r="G778" s="1" t="s">
        <v>704</v>
      </c>
      <c r="H778" s="1" t="s">
        <v>15</v>
      </c>
      <c r="I778" s="1" t="str">
        <f>"10"</f>
        <v>10</v>
      </c>
      <c r="J778" s="3" t="str">
        <f>"959"</f>
        <v>959</v>
      </c>
      <c r="K778" s="4">
        <v>46041</v>
      </c>
      <c r="L778" s="4">
        <v>46042</v>
      </c>
      <c r="M778" s="1" t="s">
        <v>10935</v>
      </c>
      <c r="N778" s="1" t="s">
        <v>10934</v>
      </c>
    </row>
    <row r="779" spans="1:14" s="1" customFormat="1" x14ac:dyDescent="0.35">
      <c r="A779" s="1" t="s">
        <v>4492</v>
      </c>
      <c r="B779" s="1" t="s">
        <v>3268</v>
      </c>
      <c r="C779" s="1" t="s">
        <v>3269</v>
      </c>
      <c r="D779" s="1" t="s">
        <v>10936</v>
      </c>
      <c r="E779" s="1" t="str">
        <f>"1095"</f>
        <v>1095</v>
      </c>
      <c r="F779" s="1" t="str">
        <f>"015432189"</f>
        <v>015432189</v>
      </c>
      <c r="G779" s="1" t="s">
        <v>704</v>
      </c>
      <c r="H779" s="1" t="s">
        <v>15</v>
      </c>
      <c r="I779" s="1" t="str">
        <f>"10"</f>
        <v>10</v>
      </c>
      <c r="J779" s="3" t="str">
        <f>"959"</f>
        <v>959</v>
      </c>
      <c r="K779" s="4">
        <v>46041</v>
      </c>
      <c r="L779" s="4">
        <v>46042</v>
      </c>
      <c r="M779" s="1" t="s">
        <v>10935</v>
      </c>
      <c r="N779" s="1" t="s">
        <v>10934</v>
      </c>
    </row>
    <row r="780" spans="1:14" s="1" customFormat="1" x14ac:dyDescent="0.35">
      <c r="A780" s="1" t="s">
        <v>4492</v>
      </c>
      <c r="B780" s="1" t="s">
        <v>3268</v>
      </c>
      <c r="C780" s="1" t="s">
        <v>3269</v>
      </c>
      <c r="D780" s="1" t="s">
        <v>10933</v>
      </c>
      <c r="E780" s="1" t="str">
        <f>"1095"</f>
        <v>1095</v>
      </c>
      <c r="F780" s="1" t="str">
        <f>"015432189"</f>
        <v>015432189</v>
      </c>
      <c r="G780" s="1" t="s">
        <v>704</v>
      </c>
      <c r="H780" s="1" t="s">
        <v>15</v>
      </c>
      <c r="I780" s="1" t="str">
        <f>"13"</f>
        <v>13</v>
      </c>
      <c r="J780" s="3" t="str">
        <f>"959"</f>
        <v>959</v>
      </c>
      <c r="K780" s="4">
        <v>46041</v>
      </c>
      <c r="L780" s="4">
        <v>46042</v>
      </c>
      <c r="M780" s="1" t="s">
        <v>10932</v>
      </c>
      <c r="N780" s="1" t="s">
        <v>10929</v>
      </c>
    </row>
    <row r="781" spans="1:14" s="1" customFormat="1" x14ac:dyDescent="0.35">
      <c r="A781" s="1" t="s">
        <v>4492</v>
      </c>
      <c r="B781" s="1" t="s">
        <v>3268</v>
      </c>
      <c r="C781" s="1" t="s">
        <v>3269</v>
      </c>
      <c r="D781" s="1" t="s">
        <v>10933</v>
      </c>
      <c r="E781" s="1" t="str">
        <f>"1095"</f>
        <v>1095</v>
      </c>
      <c r="F781" s="1" t="str">
        <f>"015432189"</f>
        <v>015432189</v>
      </c>
      <c r="G781" s="1" t="s">
        <v>704</v>
      </c>
      <c r="H781" s="1" t="s">
        <v>15</v>
      </c>
      <c r="I781" s="1" t="str">
        <f>"13"</f>
        <v>13</v>
      </c>
      <c r="J781" s="3" t="str">
        <f>"959"</f>
        <v>959</v>
      </c>
      <c r="K781" s="4">
        <v>46041</v>
      </c>
      <c r="L781" s="4">
        <v>46042</v>
      </c>
      <c r="M781" s="1" t="s">
        <v>10932</v>
      </c>
      <c r="N781" s="1" t="s">
        <v>10929</v>
      </c>
    </row>
    <row r="782" spans="1:14" s="1" customFormat="1" x14ac:dyDescent="0.35">
      <c r="A782" s="1" t="s">
        <v>4492</v>
      </c>
      <c r="B782" s="1" t="s">
        <v>3268</v>
      </c>
      <c r="C782" s="1" t="s">
        <v>3269</v>
      </c>
      <c r="D782" s="1" t="s">
        <v>10931</v>
      </c>
      <c r="E782" s="1" t="str">
        <f>"1095"</f>
        <v>1095</v>
      </c>
      <c r="F782" s="1" t="str">
        <f>"015432189"</f>
        <v>015432189</v>
      </c>
      <c r="G782" s="1" t="s">
        <v>704</v>
      </c>
      <c r="H782" s="1" t="s">
        <v>15</v>
      </c>
      <c r="I782" s="1" t="str">
        <f>"10"</f>
        <v>10</v>
      </c>
      <c r="J782" s="3" t="str">
        <f>"959"</f>
        <v>959</v>
      </c>
      <c r="K782" s="4">
        <v>46041</v>
      </c>
      <c r="L782" s="4">
        <v>46042</v>
      </c>
      <c r="M782" s="1" t="s">
        <v>10930</v>
      </c>
      <c r="N782" s="1" t="s">
        <v>10929</v>
      </c>
    </row>
    <row r="783" spans="1:14" s="1" customFormat="1" x14ac:dyDescent="0.35">
      <c r="A783" s="1" t="s">
        <v>4492</v>
      </c>
      <c r="B783" s="1" t="s">
        <v>3268</v>
      </c>
      <c r="C783" s="1" t="s">
        <v>3269</v>
      </c>
      <c r="D783" s="1" t="s">
        <v>10931</v>
      </c>
      <c r="E783" s="1" t="str">
        <f>"1095"</f>
        <v>1095</v>
      </c>
      <c r="F783" s="1" t="str">
        <f>"015432189"</f>
        <v>015432189</v>
      </c>
      <c r="G783" s="1" t="s">
        <v>704</v>
      </c>
      <c r="H783" s="1" t="s">
        <v>15</v>
      </c>
      <c r="I783" s="1" t="str">
        <f>"10"</f>
        <v>10</v>
      </c>
      <c r="J783" s="3" t="str">
        <f>"959"</f>
        <v>959</v>
      </c>
      <c r="K783" s="4">
        <v>46041</v>
      </c>
      <c r="L783" s="4">
        <v>46042</v>
      </c>
      <c r="M783" s="1" t="s">
        <v>10930</v>
      </c>
      <c r="N783" s="1" t="s">
        <v>10929</v>
      </c>
    </row>
    <row r="784" spans="1:14" s="1" customFormat="1" x14ac:dyDescent="0.35">
      <c r="A784" s="1" t="s">
        <v>4492</v>
      </c>
      <c r="B784" s="1" t="s">
        <v>3268</v>
      </c>
      <c r="C784" s="1" t="s">
        <v>3269</v>
      </c>
      <c r="D784" s="1" t="s">
        <v>10928</v>
      </c>
      <c r="E784" s="1" t="str">
        <f>"2530"</f>
        <v>2530</v>
      </c>
      <c r="F784" s="1" t="s">
        <v>3402</v>
      </c>
      <c r="G784" s="1" t="s">
        <v>3403</v>
      </c>
      <c r="H784" s="1" t="s">
        <v>15</v>
      </c>
      <c r="I784" s="1" t="str">
        <f>"2"</f>
        <v>2</v>
      </c>
      <c r="J784" s="3" t="str">
        <f>"2386"</f>
        <v>2386</v>
      </c>
      <c r="K784" s="4">
        <v>46058</v>
      </c>
      <c r="L784" s="4">
        <v>46067</v>
      </c>
      <c r="M784" s="1" t="s">
        <v>10927</v>
      </c>
      <c r="N784" s="1" t="s">
        <v>10926</v>
      </c>
    </row>
    <row r="785" spans="1:14" s="1" customFormat="1" x14ac:dyDescent="0.35">
      <c r="A785" s="1" t="s">
        <v>4492</v>
      </c>
      <c r="B785" s="1" t="s">
        <v>11</v>
      </c>
      <c r="C785" s="1" t="s">
        <v>12</v>
      </c>
      <c r="D785" s="1" t="s">
        <v>10925</v>
      </c>
      <c r="E785" s="1" t="str">
        <f>"8415"</f>
        <v>8415</v>
      </c>
      <c r="F785" s="1" t="str">
        <f>"016795970"</f>
        <v>016795970</v>
      </c>
      <c r="G785" s="1" t="s">
        <v>10922</v>
      </c>
      <c r="H785" s="1" t="s">
        <v>47</v>
      </c>
      <c r="I785" s="1" t="str">
        <f>"23"</f>
        <v>23</v>
      </c>
      <c r="J785" s="3">
        <v>224.56</v>
      </c>
      <c r="K785" s="4">
        <v>46027</v>
      </c>
      <c r="L785" s="4">
        <v>46036</v>
      </c>
      <c r="M785" s="1" t="s">
        <v>4524</v>
      </c>
      <c r="N785" s="1" t="s">
        <v>10921</v>
      </c>
    </row>
    <row r="786" spans="1:14" s="1" customFormat="1" x14ac:dyDescent="0.35">
      <c r="A786" s="1" t="s">
        <v>4492</v>
      </c>
      <c r="B786" s="1" t="s">
        <v>11</v>
      </c>
      <c r="C786" s="1" t="s">
        <v>12</v>
      </c>
      <c r="D786" s="1" t="s">
        <v>10924</v>
      </c>
      <c r="E786" s="1" t="str">
        <f>"8415"</f>
        <v>8415</v>
      </c>
      <c r="F786" s="1" t="str">
        <f>"016795968"</f>
        <v>016795968</v>
      </c>
      <c r="G786" s="1" t="s">
        <v>10922</v>
      </c>
      <c r="H786" s="1" t="s">
        <v>47</v>
      </c>
      <c r="I786" s="1" t="str">
        <f>"17"</f>
        <v>17</v>
      </c>
      <c r="J786" s="3">
        <v>224.56</v>
      </c>
      <c r="K786" s="4">
        <v>46027</v>
      </c>
      <c r="L786" s="4">
        <v>46036</v>
      </c>
      <c r="M786" s="1" t="s">
        <v>4524</v>
      </c>
      <c r="N786" s="1" t="s">
        <v>10921</v>
      </c>
    </row>
    <row r="787" spans="1:14" s="1" customFormat="1" x14ac:dyDescent="0.35">
      <c r="A787" s="1" t="s">
        <v>4492</v>
      </c>
      <c r="B787" s="1" t="s">
        <v>11</v>
      </c>
      <c r="C787" s="1" t="s">
        <v>12</v>
      </c>
      <c r="D787" s="1" t="s">
        <v>10923</v>
      </c>
      <c r="E787" s="1" t="str">
        <f>"8415"</f>
        <v>8415</v>
      </c>
      <c r="F787" s="1" t="str">
        <f>"016795972"</f>
        <v>016795972</v>
      </c>
      <c r="G787" s="1" t="s">
        <v>10922</v>
      </c>
      <c r="H787" s="1" t="s">
        <v>47</v>
      </c>
      <c r="I787" s="1" t="str">
        <f>"1"</f>
        <v>1</v>
      </c>
      <c r="J787" s="3">
        <v>224.56</v>
      </c>
      <c r="K787" s="4">
        <v>46070</v>
      </c>
      <c r="L787" s="4">
        <v>46072</v>
      </c>
      <c r="M787" s="1" t="s">
        <v>4524</v>
      </c>
      <c r="N787" s="1" t="s">
        <v>10921</v>
      </c>
    </row>
    <row r="788" spans="1:14" s="1" customFormat="1" x14ac:dyDescent="0.35">
      <c r="A788" s="1" t="s">
        <v>4492</v>
      </c>
      <c r="B788" s="1" t="s">
        <v>73</v>
      </c>
      <c r="C788" s="1" t="s">
        <v>10920</v>
      </c>
      <c r="D788" s="1" t="s">
        <v>10919</v>
      </c>
      <c r="E788" s="1" t="str">
        <f>"1615"</f>
        <v>1615</v>
      </c>
      <c r="F788" s="1" t="str">
        <f>"012149167"</f>
        <v>012149167</v>
      </c>
      <c r="G788" s="1" t="s">
        <v>10918</v>
      </c>
      <c r="H788" s="1" t="s">
        <v>15</v>
      </c>
      <c r="I788" s="1" t="str">
        <f>"1"</f>
        <v>1</v>
      </c>
      <c r="J788" s="3" t="str">
        <f>"10373"</f>
        <v>10373</v>
      </c>
      <c r="K788" s="4">
        <v>46055</v>
      </c>
      <c r="L788" s="4">
        <v>46059</v>
      </c>
      <c r="M788" s="1" t="s">
        <v>10917</v>
      </c>
      <c r="N788" s="1" t="s">
        <v>10916</v>
      </c>
    </row>
    <row r="789" spans="1:14" s="1" customFormat="1" x14ac:dyDescent="0.35">
      <c r="A789" s="1" t="s">
        <v>4492</v>
      </c>
      <c r="B789" s="1" t="s">
        <v>2641</v>
      </c>
      <c r="C789" s="1" t="s">
        <v>10915</v>
      </c>
      <c r="D789" s="1" t="s">
        <v>10914</v>
      </c>
      <c r="E789" s="1" t="str">
        <f>"5855"</f>
        <v>5855</v>
      </c>
      <c r="F789" s="1" t="str">
        <f>"015777174"</f>
        <v>015777174</v>
      </c>
      <c r="G789" s="1" t="s">
        <v>952</v>
      </c>
      <c r="H789" s="1" t="s">
        <v>15</v>
      </c>
      <c r="I789" s="1" t="str">
        <f>"10"</f>
        <v>10</v>
      </c>
      <c r="J789" s="3" t="str">
        <f>"1800"</f>
        <v>1800</v>
      </c>
      <c r="K789" s="4">
        <v>45964</v>
      </c>
      <c r="L789" s="4">
        <v>46031</v>
      </c>
      <c r="M789" s="1" t="s">
        <v>10913</v>
      </c>
      <c r="N789" s="1" t="s">
        <v>10912</v>
      </c>
    </row>
    <row r="790" spans="1:14" s="1" customFormat="1" x14ac:dyDescent="0.35">
      <c r="A790" s="1" t="s">
        <v>4492</v>
      </c>
      <c r="B790" s="1" t="s">
        <v>1303</v>
      </c>
      <c r="C790" s="1" t="s">
        <v>1304</v>
      </c>
      <c r="D790" s="1" t="s">
        <v>10911</v>
      </c>
      <c r="E790" s="1" t="str">
        <f>"3930"</f>
        <v>3930</v>
      </c>
      <c r="F790" s="1" t="str">
        <f>"015080886"</f>
        <v>015080886</v>
      </c>
      <c r="G790" s="1" t="s">
        <v>124</v>
      </c>
      <c r="H790" s="1" t="s">
        <v>15</v>
      </c>
      <c r="I790" s="1" t="str">
        <f>"1"</f>
        <v>1</v>
      </c>
      <c r="J790" s="3" t="str">
        <f>"85556"</f>
        <v>85556</v>
      </c>
      <c r="K790" s="4">
        <v>46064</v>
      </c>
      <c r="L790" s="4">
        <v>46066</v>
      </c>
      <c r="M790" s="1" t="s">
        <v>10910</v>
      </c>
      <c r="N790" s="1" t="s">
        <v>10909</v>
      </c>
    </row>
    <row r="791" spans="1:14" s="1" customFormat="1" x14ac:dyDescent="0.35">
      <c r="A791" s="1" t="s">
        <v>4492</v>
      </c>
      <c r="B791" s="1" t="s">
        <v>1303</v>
      </c>
      <c r="C791" s="1" t="s">
        <v>1304</v>
      </c>
      <c r="D791" s="1" t="s">
        <v>10908</v>
      </c>
      <c r="E791" s="1" t="str">
        <f>"2320"</f>
        <v>2320</v>
      </c>
      <c r="F791" s="1" t="s">
        <v>4526</v>
      </c>
      <c r="G791" s="1" t="s">
        <v>4525</v>
      </c>
      <c r="H791" s="1" t="s">
        <v>15</v>
      </c>
      <c r="I791" s="1" t="str">
        <f>"1"</f>
        <v>1</v>
      </c>
      <c r="J791" s="3">
        <v>610434.26</v>
      </c>
      <c r="K791" s="4">
        <v>46056</v>
      </c>
      <c r="L791" s="4">
        <v>46056</v>
      </c>
      <c r="M791" s="1" t="s">
        <v>4524</v>
      </c>
      <c r="N791" s="1" t="s">
        <v>10907</v>
      </c>
    </row>
    <row r="792" spans="1:14" s="1" customFormat="1" x14ac:dyDescent="0.35">
      <c r="A792" s="1" t="s">
        <v>4492</v>
      </c>
      <c r="B792" s="1" t="s">
        <v>1303</v>
      </c>
      <c r="C792" s="1" t="s">
        <v>1304</v>
      </c>
      <c r="D792" s="1" t="s">
        <v>10906</v>
      </c>
      <c r="E792" s="1" t="str">
        <f>"2330"</f>
        <v>2330</v>
      </c>
      <c r="F792" s="1" t="s">
        <v>104</v>
      </c>
      <c r="G792" s="1" t="s">
        <v>105</v>
      </c>
      <c r="H792" s="1" t="s">
        <v>15</v>
      </c>
      <c r="I792" s="1" t="str">
        <f>"1"</f>
        <v>1</v>
      </c>
      <c r="J792" s="3">
        <v>968678.86</v>
      </c>
      <c r="K792" s="4">
        <v>46074</v>
      </c>
      <c r="L792" s="4">
        <v>46088</v>
      </c>
      <c r="M792" s="1" t="s">
        <v>10905</v>
      </c>
      <c r="N792" s="1" t="s">
        <v>10904</v>
      </c>
    </row>
    <row r="793" spans="1:14" s="1" customFormat="1" x14ac:dyDescent="0.35">
      <c r="A793" s="1" t="s">
        <v>4492</v>
      </c>
      <c r="B793" s="1" t="s">
        <v>1303</v>
      </c>
      <c r="C793" s="1" t="s">
        <v>1304</v>
      </c>
      <c r="D793" s="1" t="s">
        <v>10903</v>
      </c>
      <c r="E793" s="1" t="str">
        <f>"2320"</f>
        <v>2320</v>
      </c>
      <c r="F793" s="1" t="str">
        <f>"010911597"</f>
        <v>010911597</v>
      </c>
      <c r="G793" s="1" t="s">
        <v>4468</v>
      </c>
      <c r="H793" s="1" t="s">
        <v>15</v>
      </c>
      <c r="I793" s="1" t="str">
        <f>"1"</f>
        <v>1</v>
      </c>
      <c r="J793" s="3" t="str">
        <f>"150120"</f>
        <v>150120</v>
      </c>
      <c r="K793" s="4">
        <v>46074</v>
      </c>
      <c r="L793" s="4">
        <v>46088</v>
      </c>
      <c r="M793" s="1" t="s">
        <v>10902</v>
      </c>
      <c r="N793" s="1" t="s">
        <v>10901</v>
      </c>
    </row>
    <row r="794" spans="1:14" s="1" customFormat="1" x14ac:dyDescent="0.35">
      <c r="A794" s="1" t="s">
        <v>4492</v>
      </c>
      <c r="B794" s="1" t="s">
        <v>1303</v>
      </c>
      <c r="C794" s="1" t="s">
        <v>1304</v>
      </c>
      <c r="D794" s="1" t="s">
        <v>10900</v>
      </c>
      <c r="E794" s="1" t="str">
        <f>"2330"</f>
        <v>2330</v>
      </c>
      <c r="F794" s="1" t="s">
        <v>104</v>
      </c>
      <c r="G794" s="1" t="s">
        <v>105</v>
      </c>
      <c r="H794" s="1" t="s">
        <v>15</v>
      </c>
      <c r="I794" s="1" t="str">
        <f>"1"</f>
        <v>1</v>
      </c>
      <c r="J794" s="3" t="str">
        <f>"4906"</f>
        <v>4906</v>
      </c>
      <c r="K794" s="4">
        <v>46076</v>
      </c>
      <c r="L794" s="4">
        <v>46077</v>
      </c>
      <c r="M794" s="1" t="s">
        <v>4524</v>
      </c>
      <c r="N794" s="1" t="s">
        <v>10897</v>
      </c>
    </row>
    <row r="795" spans="1:14" s="1" customFormat="1" x14ac:dyDescent="0.35">
      <c r="A795" s="1" t="s">
        <v>4492</v>
      </c>
      <c r="B795" s="1" t="s">
        <v>1303</v>
      </c>
      <c r="C795" s="1" t="s">
        <v>1304</v>
      </c>
      <c r="D795" s="1" t="s">
        <v>10899</v>
      </c>
      <c r="E795" s="1" t="str">
        <f>"2330"</f>
        <v>2330</v>
      </c>
      <c r="F795" s="1" t="s">
        <v>104</v>
      </c>
      <c r="G795" s="1" t="s">
        <v>105</v>
      </c>
      <c r="H795" s="1" t="s">
        <v>15</v>
      </c>
      <c r="I795" s="1" t="str">
        <f>"1"</f>
        <v>1</v>
      </c>
      <c r="J795" s="3" t="str">
        <f>"4906"</f>
        <v>4906</v>
      </c>
      <c r="K795" s="4">
        <v>46076</v>
      </c>
      <c r="L795" s="4">
        <v>46088</v>
      </c>
      <c r="M795" s="1" t="s">
        <v>10898</v>
      </c>
      <c r="N795" s="1" t="s">
        <v>10897</v>
      </c>
    </row>
    <row r="796" spans="1:14" s="1" customFormat="1" x14ac:dyDescent="0.35">
      <c r="A796" s="1" t="s">
        <v>4492</v>
      </c>
      <c r="B796" s="1" t="s">
        <v>1303</v>
      </c>
      <c r="C796" s="1" t="s">
        <v>1304</v>
      </c>
      <c r="D796" s="1" t="s">
        <v>10896</v>
      </c>
      <c r="E796" s="1" t="str">
        <f>"2320"</f>
        <v>2320</v>
      </c>
      <c r="F796" s="1" t="s">
        <v>100</v>
      </c>
      <c r="G796" s="1" t="s">
        <v>101</v>
      </c>
      <c r="H796" s="1" t="s">
        <v>15</v>
      </c>
      <c r="I796" s="1" t="str">
        <f>"1"</f>
        <v>1</v>
      </c>
      <c r="J796" s="3" t="str">
        <f>"33000"</f>
        <v>33000</v>
      </c>
      <c r="K796" s="4">
        <v>46082</v>
      </c>
      <c r="L796" s="4">
        <v>46095</v>
      </c>
      <c r="M796" s="1" t="s">
        <v>10895</v>
      </c>
      <c r="N796" s="1" t="s">
        <v>10894</v>
      </c>
    </row>
    <row r="797" spans="1:14" s="1" customFormat="1" x14ac:dyDescent="0.35">
      <c r="A797" s="1" t="s">
        <v>4492</v>
      </c>
      <c r="B797" s="1" t="s">
        <v>1303</v>
      </c>
      <c r="C797" s="1" t="s">
        <v>1304</v>
      </c>
      <c r="D797" s="1" t="s">
        <v>10893</v>
      </c>
      <c r="E797" s="1" t="str">
        <f>"2310"</f>
        <v>2310</v>
      </c>
      <c r="F797" s="1" t="s">
        <v>4332</v>
      </c>
      <c r="G797" s="1" t="s">
        <v>4333</v>
      </c>
      <c r="H797" s="1" t="s">
        <v>15</v>
      </c>
      <c r="I797" s="1" t="str">
        <f>"1"</f>
        <v>1</v>
      </c>
      <c r="J797" s="3" t="str">
        <f>"81369"</f>
        <v>81369</v>
      </c>
      <c r="K797" s="4">
        <v>46095</v>
      </c>
      <c r="L797" s="4">
        <v>46109</v>
      </c>
      <c r="M797" s="1" t="s">
        <v>10892</v>
      </c>
      <c r="N797" s="1" t="s">
        <v>10891</v>
      </c>
    </row>
    <row r="798" spans="1:14" s="1" customFormat="1" x14ac:dyDescent="0.35">
      <c r="A798" s="1" t="s">
        <v>4492</v>
      </c>
      <c r="B798" s="1" t="s">
        <v>1303</v>
      </c>
      <c r="C798" s="1" t="s">
        <v>1304</v>
      </c>
      <c r="D798" s="1" t="s">
        <v>10890</v>
      </c>
      <c r="E798" s="1" t="str">
        <f>"2310"</f>
        <v>2310</v>
      </c>
      <c r="F798" s="1" t="s">
        <v>4332</v>
      </c>
      <c r="G798" s="1" t="s">
        <v>4333</v>
      </c>
      <c r="H798" s="1" t="s">
        <v>15</v>
      </c>
      <c r="I798" s="1" t="str">
        <f>"1"</f>
        <v>1</v>
      </c>
      <c r="J798" s="3" t="str">
        <f>"81369"</f>
        <v>81369</v>
      </c>
      <c r="K798" s="4">
        <v>46095</v>
      </c>
      <c r="L798" s="4">
        <v>46109</v>
      </c>
      <c r="M798" s="1" t="s">
        <v>10889</v>
      </c>
      <c r="N798" s="1" t="s">
        <v>10888</v>
      </c>
    </row>
    <row r="799" spans="1:14" s="1" customFormat="1" x14ac:dyDescent="0.35">
      <c r="A799" s="1" t="s">
        <v>4492</v>
      </c>
      <c r="B799" s="1" t="s">
        <v>1303</v>
      </c>
      <c r="C799" s="1" t="s">
        <v>1304</v>
      </c>
      <c r="D799" s="1" t="s">
        <v>10887</v>
      </c>
      <c r="E799" s="1" t="str">
        <f>"2310"</f>
        <v>2310</v>
      </c>
      <c r="F799" s="1" t="s">
        <v>4332</v>
      </c>
      <c r="G799" s="1" t="s">
        <v>4333</v>
      </c>
      <c r="H799" s="1" t="s">
        <v>15</v>
      </c>
      <c r="I799" s="1" t="str">
        <f>"1"</f>
        <v>1</v>
      </c>
      <c r="J799" s="3">
        <v>26812.5</v>
      </c>
      <c r="K799" s="4">
        <v>46095</v>
      </c>
      <c r="L799" s="4">
        <v>46109</v>
      </c>
      <c r="M799" s="1" t="s">
        <v>10886</v>
      </c>
      <c r="N799" s="1" t="s">
        <v>10885</v>
      </c>
    </row>
    <row r="800" spans="1:14" s="1" customFormat="1" x14ac:dyDescent="0.35">
      <c r="A800" s="1" t="s">
        <v>4492</v>
      </c>
      <c r="B800" s="1" t="s">
        <v>1303</v>
      </c>
      <c r="C800" s="1" t="s">
        <v>1304</v>
      </c>
      <c r="D800" s="1" t="s">
        <v>10884</v>
      </c>
      <c r="E800" s="1" t="str">
        <f>"2330"</f>
        <v>2330</v>
      </c>
      <c r="F800" s="1" t="s">
        <v>104</v>
      </c>
      <c r="G800" s="1" t="s">
        <v>105</v>
      </c>
      <c r="H800" s="1" t="s">
        <v>15</v>
      </c>
      <c r="I800" s="1" t="str">
        <f>"1"</f>
        <v>1</v>
      </c>
      <c r="J800" s="3" t="str">
        <f>"14555"</f>
        <v>14555</v>
      </c>
      <c r="K800" s="4">
        <v>46096</v>
      </c>
      <c r="L800" s="4">
        <v>46109</v>
      </c>
      <c r="M800" s="1" t="s">
        <v>10883</v>
      </c>
      <c r="N800" s="1" t="s">
        <v>10882</v>
      </c>
    </row>
    <row r="801" spans="1:14" s="1" customFormat="1" x14ac:dyDescent="0.35">
      <c r="A801" s="1" t="s">
        <v>4492</v>
      </c>
      <c r="B801" s="1" t="s">
        <v>1303</v>
      </c>
      <c r="C801" s="1" t="s">
        <v>1304</v>
      </c>
      <c r="D801" s="1" t="s">
        <v>10881</v>
      </c>
      <c r="E801" s="1" t="str">
        <f>"6115"</f>
        <v>6115</v>
      </c>
      <c r="F801" s="1" t="str">
        <f>"014620290"</f>
        <v>014620290</v>
      </c>
      <c r="G801" s="1" t="s">
        <v>383</v>
      </c>
      <c r="H801" s="1" t="s">
        <v>15</v>
      </c>
      <c r="I801" s="1" t="str">
        <f>"2"</f>
        <v>2</v>
      </c>
      <c r="J801" s="3" t="str">
        <f>"24334"</f>
        <v>24334</v>
      </c>
      <c r="K801" s="4">
        <v>46103</v>
      </c>
      <c r="L801" s="4">
        <v>46105</v>
      </c>
      <c r="M801" s="1" t="s">
        <v>4556</v>
      </c>
      <c r="N801" s="1" t="s">
        <v>10880</v>
      </c>
    </row>
    <row r="802" spans="1:14" s="1" customFormat="1" x14ac:dyDescent="0.35">
      <c r="A802" s="1" t="s">
        <v>4492</v>
      </c>
      <c r="B802" s="1" t="s">
        <v>73</v>
      </c>
      <c r="C802" s="1" t="s">
        <v>10876</v>
      </c>
      <c r="D802" s="1" t="s">
        <v>10879</v>
      </c>
      <c r="E802" s="1" t="str">
        <f>"2360"</f>
        <v>2360</v>
      </c>
      <c r="F802" s="1" t="str">
        <f>"016631082"</f>
        <v>016631082</v>
      </c>
      <c r="G802" s="1" t="s">
        <v>1275</v>
      </c>
      <c r="H802" s="1" t="s">
        <v>15</v>
      </c>
      <c r="I802" s="1" t="str">
        <f>"1"</f>
        <v>1</v>
      </c>
      <c r="J802" s="3" t="str">
        <f>"77060"</f>
        <v>77060</v>
      </c>
      <c r="K802" s="4">
        <v>46014</v>
      </c>
      <c r="L802" s="4">
        <v>46042</v>
      </c>
      <c r="M802" s="1" t="s">
        <v>10878</v>
      </c>
      <c r="N802" s="1" t="s">
        <v>10877</v>
      </c>
    </row>
    <row r="803" spans="1:14" s="1" customFormat="1" x14ac:dyDescent="0.35">
      <c r="A803" s="1" t="s">
        <v>4492</v>
      </c>
      <c r="B803" s="1" t="s">
        <v>73</v>
      </c>
      <c r="C803" s="1" t="s">
        <v>10876</v>
      </c>
      <c r="D803" s="1" t="s">
        <v>10875</v>
      </c>
      <c r="E803" s="1" t="str">
        <f>"2320"</f>
        <v>2320</v>
      </c>
      <c r="F803" s="1" t="str">
        <f>"012926536"</f>
        <v>012926536</v>
      </c>
      <c r="G803" s="1" t="s">
        <v>1093</v>
      </c>
      <c r="H803" s="1" t="s">
        <v>15</v>
      </c>
      <c r="I803" s="1" t="str">
        <f>"1"</f>
        <v>1</v>
      </c>
      <c r="J803" s="3">
        <v>35002.92</v>
      </c>
      <c r="K803" s="4">
        <v>46021</v>
      </c>
      <c r="L803" s="4">
        <v>46049</v>
      </c>
      <c r="M803" s="1" t="s">
        <v>4524</v>
      </c>
      <c r="N803" s="1" t="s">
        <v>10874</v>
      </c>
    </row>
    <row r="804" spans="1:14" s="1" customFormat="1" x14ac:dyDescent="0.35">
      <c r="A804" s="1" t="s">
        <v>4492</v>
      </c>
      <c r="B804" s="1" t="s">
        <v>11</v>
      </c>
      <c r="C804" s="1" t="s">
        <v>57</v>
      </c>
      <c r="D804" s="1" t="s">
        <v>10873</v>
      </c>
      <c r="E804" s="1" t="str">
        <f>"8415"</f>
        <v>8415</v>
      </c>
      <c r="F804" s="1" t="str">
        <f>"015475765"</f>
        <v>015475765</v>
      </c>
      <c r="G804" s="1" t="s">
        <v>18</v>
      </c>
      <c r="H804" s="1" t="s">
        <v>15</v>
      </c>
      <c r="I804" s="1" t="str">
        <f>"1"</f>
        <v>1</v>
      </c>
      <c r="J804" s="3">
        <v>115.68</v>
      </c>
      <c r="K804" s="4">
        <v>46036</v>
      </c>
      <c r="L804" s="4">
        <v>46043</v>
      </c>
      <c r="M804" s="1" t="s">
        <v>10872</v>
      </c>
      <c r="N804" s="1" t="s">
        <v>10871</v>
      </c>
    </row>
    <row r="805" spans="1:14" s="1" customFormat="1" x14ac:dyDescent="0.35">
      <c r="A805" s="1" t="s">
        <v>4492</v>
      </c>
      <c r="B805" s="1" t="s">
        <v>11</v>
      </c>
      <c r="C805" s="1" t="s">
        <v>57</v>
      </c>
      <c r="D805" s="1" t="s">
        <v>10870</v>
      </c>
      <c r="E805" s="1" t="str">
        <f>"8415"</f>
        <v>8415</v>
      </c>
      <c r="F805" s="1" t="str">
        <f>"015475765"</f>
        <v>015475765</v>
      </c>
      <c r="G805" s="1" t="s">
        <v>18</v>
      </c>
      <c r="H805" s="1" t="s">
        <v>15</v>
      </c>
      <c r="I805" s="1" t="str">
        <f>"1"</f>
        <v>1</v>
      </c>
      <c r="J805" s="3">
        <v>115.68</v>
      </c>
      <c r="K805" s="4">
        <v>46036</v>
      </c>
      <c r="L805" s="4">
        <v>46043</v>
      </c>
      <c r="M805" s="1" t="s">
        <v>10869</v>
      </c>
      <c r="N805" s="1" t="s">
        <v>10866</v>
      </c>
    </row>
    <row r="806" spans="1:14" s="1" customFormat="1" x14ac:dyDescent="0.35">
      <c r="A806" s="1" t="s">
        <v>4492</v>
      </c>
      <c r="B806" s="1" t="s">
        <v>11</v>
      </c>
      <c r="C806" s="1" t="s">
        <v>57</v>
      </c>
      <c r="D806" s="1" t="s">
        <v>10868</v>
      </c>
      <c r="E806" s="1" t="str">
        <f>"8415"</f>
        <v>8415</v>
      </c>
      <c r="F806" s="1" t="str">
        <f>"015475797"</f>
        <v>015475797</v>
      </c>
      <c r="G806" s="1" t="s">
        <v>18</v>
      </c>
      <c r="H806" s="1" t="s">
        <v>15</v>
      </c>
      <c r="I806" s="1" t="str">
        <f>"1"</f>
        <v>1</v>
      </c>
      <c r="J806" s="3">
        <v>115.68</v>
      </c>
      <c r="K806" s="4">
        <v>46036</v>
      </c>
      <c r="L806" s="4">
        <v>46043</v>
      </c>
      <c r="M806" s="1" t="s">
        <v>10867</v>
      </c>
      <c r="N806" s="1" t="s">
        <v>10866</v>
      </c>
    </row>
    <row r="807" spans="1:14" s="1" customFormat="1" x14ac:dyDescent="0.35">
      <c r="A807" s="1" t="s">
        <v>4492</v>
      </c>
      <c r="B807" s="1" t="s">
        <v>3822</v>
      </c>
      <c r="C807" s="1" t="s">
        <v>3823</v>
      </c>
      <c r="D807" s="1" t="s">
        <v>10865</v>
      </c>
      <c r="E807" s="1" t="str">
        <f>"6545"</f>
        <v>6545</v>
      </c>
      <c r="F807" s="1" t="str">
        <f>"015300929"</f>
        <v>015300929</v>
      </c>
      <c r="G807" s="1" t="s">
        <v>167</v>
      </c>
      <c r="H807" s="1" t="s">
        <v>168</v>
      </c>
      <c r="I807" s="1" t="str">
        <f>"15"</f>
        <v>15</v>
      </c>
      <c r="J807" s="3">
        <v>48.71</v>
      </c>
      <c r="K807" s="4">
        <v>46056</v>
      </c>
      <c r="L807" s="4">
        <v>46092</v>
      </c>
      <c r="M807" s="1" t="s">
        <v>10864</v>
      </c>
      <c r="N807" s="1" t="s">
        <v>3829</v>
      </c>
    </row>
    <row r="808" spans="1:14" s="1" customFormat="1" x14ac:dyDescent="0.35">
      <c r="A808" s="1" t="s">
        <v>4492</v>
      </c>
      <c r="B808" s="1" t="s">
        <v>388</v>
      </c>
      <c r="C808" s="1" t="s">
        <v>389</v>
      </c>
      <c r="D808" s="1" t="s">
        <v>10863</v>
      </c>
      <c r="E808" s="1" t="str">
        <f>"8145"</f>
        <v>8145</v>
      </c>
      <c r="F808" s="1" t="s">
        <v>2635</v>
      </c>
      <c r="G808" s="1" t="s">
        <v>2636</v>
      </c>
      <c r="H808" s="1" t="s">
        <v>15</v>
      </c>
      <c r="I808" s="1" t="str">
        <f>"1"</f>
        <v>1</v>
      </c>
      <c r="J808" s="3" t="str">
        <f>"13963"</f>
        <v>13963</v>
      </c>
      <c r="K808" s="4">
        <v>46085</v>
      </c>
      <c r="L808" s="4">
        <v>46087</v>
      </c>
      <c r="M808" s="1" t="s">
        <v>10862</v>
      </c>
      <c r="N808" s="1" t="s">
        <v>10859</v>
      </c>
    </row>
    <row r="809" spans="1:14" s="1" customFormat="1" x14ac:dyDescent="0.35">
      <c r="A809" s="1" t="s">
        <v>4492</v>
      </c>
      <c r="B809" s="1" t="s">
        <v>388</v>
      </c>
      <c r="C809" s="1" t="s">
        <v>389</v>
      </c>
      <c r="D809" s="1" t="s">
        <v>10861</v>
      </c>
      <c r="E809" s="1" t="str">
        <f>"8145"</f>
        <v>8145</v>
      </c>
      <c r="F809" s="1" t="s">
        <v>2635</v>
      </c>
      <c r="G809" s="1" t="s">
        <v>2636</v>
      </c>
      <c r="H809" s="1" t="s">
        <v>15</v>
      </c>
      <c r="I809" s="1" t="str">
        <f>"1"</f>
        <v>1</v>
      </c>
      <c r="J809" s="3" t="str">
        <f>"13963"</f>
        <v>13963</v>
      </c>
      <c r="K809" s="4">
        <v>46085</v>
      </c>
      <c r="L809" s="4">
        <v>46087</v>
      </c>
      <c r="M809" s="1" t="s">
        <v>10860</v>
      </c>
      <c r="N809" s="1" t="s">
        <v>10859</v>
      </c>
    </row>
    <row r="810" spans="1:14" s="1" customFormat="1" x14ac:dyDescent="0.35">
      <c r="A810" s="1" t="s">
        <v>4492</v>
      </c>
      <c r="B810" s="1" t="s">
        <v>388</v>
      </c>
      <c r="C810" s="1" t="s">
        <v>389</v>
      </c>
      <c r="D810" s="1" t="s">
        <v>10858</v>
      </c>
      <c r="E810" s="1" t="str">
        <f>"6230"</f>
        <v>6230</v>
      </c>
      <c r="F810" s="1" t="s">
        <v>5291</v>
      </c>
      <c r="G810" s="1" t="s">
        <v>5290</v>
      </c>
      <c r="H810" s="1" t="s">
        <v>15</v>
      </c>
      <c r="I810" s="1" t="str">
        <f>"4"</f>
        <v>4</v>
      </c>
      <c r="J810" s="3">
        <v>89.84</v>
      </c>
      <c r="K810" s="4">
        <v>46086</v>
      </c>
      <c r="L810" s="4">
        <v>46087</v>
      </c>
      <c r="M810" s="1" t="s">
        <v>4524</v>
      </c>
      <c r="N810" s="1" t="s">
        <v>10857</v>
      </c>
    </row>
    <row r="811" spans="1:14" s="1" customFormat="1" x14ac:dyDescent="0.35">
      <c r="A811" s="1" t="s">
        <v>4492</v>
      </c>
      <c r="B811" s="1" t="s">
        <v>388</v>
      </c>
      <c r="C811" s="1" t="s">
        <v>389</v>
      </c>
      <c r="D811" s="1" t="s">
        <v>10856</v>
      </c>
      <c r="E811" s="1" t="str">
        <f>"6230"</f>
        <v>6230</v>
      </c>
      <c r="F811" s="1" t="s">
        <v>5291</v>
      </c>
      <c r="G811" s="1" t="s">
        <v>5290</v>
      </c>
      <c r="H811" s="1" t="s">
        <v>15</v>
      </c>
      <c r="I811" s="1" t="str">
        <f>"36"</f>
        <v>36</v>
      </c>
      <c r="J811" s="3" t="str">
        <f>"195"</f>
        <v>195</v>
      </c>
      <c r="K811" s="4">
        <v>46086</v>
      </c>
      <c r="L811" s="4">
        <v>46087</v>
      </c>
      <c r="M811" s="1" t="s">
        <v>4524</v>
      </c>
      <c r="N811" s="1" t="s">
        <v>10855</v>
      </c>
    </row>
    <row r="812" spans="1:14" s="1" customFormat="1" x14ac:dyDescent="0.35">
      <c r="A812" s="1" t="s">
        <v>4492</v>
      </c>
      <c r="B812" s="1" t="s">
        <v>388</v>
      </c>
      <c r="C812" s="1" t="s">
        <v>389</v>
      </c>
      <c r="D812" s="1" t="s">
        <v>10854</v>
      </c>
      <c r="E812" s="1" t="str">
        <f>"8115"</f>
        <v>8115</v>
      </c>
      <c r="F812" s="1" t="str">
        <f>"012417524"</f>
        <v>012417524</v>
      </c>
      <c r="G812" s="1" t="s">
        <v>431</v>
      </c>
      <c r="H812" s="1" t="s">
        <v>15</v>
      </c>
      <c r="I812" s="1" t="str">
        <f>"1"</f>
        <v>1</v>
      </c>
      <c r="J812" s="3" t="str">
        <f>"5457"</f>
        <v>5457</v>
      </c>
      <c r="K812" s="4">
        <v>46086</v>
      </c>
      <c r="L812" s="4">
        <v>46107</v>
      </c>
      <c r="M812" s="1" t="s">
        <v>10853</v>
      </c>
      <c r="N812" s="1" t="s">
        <v>10852</v>
      </c>
    </row>
    <row r="813" spans="1:14" s="1" customFormat="1" x14ac:dyDescent="0.35">
      <c r="A813" s="1" t="s">
        <v>4492</v>
      </c>
      <c r="B813" s="1" t="s">
        <v>388</v>
      </c>
      <c r="C813" s="1" t="s">
        <v>389</v>
      </c>
      <c r="D813" s="1" t="s">
        <v>10851</v>
      </c>
      <c r="E813" s="1" t="str">
        <f>"1730"</f>
        <v>1730</v>
      </c>
      <c r="F813" s="1" t="str">
        <f>"014554913"</f>
        <v>014554913</v>
      </c>
      <c r="G813" s="1" t="s">
        <v>10850</v>
      </c>
      <c r="H813" s="1" t="s">
        <v>15</v>
      </c>
      <c r="I813" s="1" t="str">
        <f>"1"</f>
        <v>1</v>
      </c>
      <c r="J813" s="3" t="str">
        <f>"37600"</f>
        <v>37600</v>
      </c>
      <c r="K813" s="4">
        <v>46106</v>
      </c>
      <c r="L813" s="4">
        <v>46107</v>
      </c>
      <c r="M813" s="1" t="s">
        <v>10849</v>
      </c>
      <c r="N813" s="1" t="s">
        <v>10848</v>
      </c>
    </row>
    <row r="814" spans="1:14" s="1" customFormat="1" x14ac:dyDescent="0.35">
      <c r="A814" s="1" t="s">
        <v>4492</v>
      </c>
      <c r="B814" s="1" t="s">
        <v>319</v>
      </c>
      <c r="C814" s="1" t="s">
        <v>10847</v>
      </c>
      <c r="D814" s="1" t="s">
        <v>10846</v>
      </c>
      <c r="E814" s="1" t="str">
        <f>"3930"</f>
        <v>3930</v>
      </c>
      <c r="F814" s="1" t="str">
        <f>"013832942"</f>
        <v>013832942</v>
      </c>
      <c r="G814" s="1" t="s">
        <v>124</v>
      </c>
      <c r="H814" s="1" t="s">
        <v>15</v>
      </c>
      <c r="I814" s="1" t="str">
        <f>"1"</f>
        <v>1</v>
      </c>
      <c r="J814" s="3" t="str">
        <f>"15008"</f>
        <v>15008</v>
      </c>
      <c r="K814" s="4">
        <v>46084</v>
      </c>
      <c r="L814" s="4">
        <v>46095</v>
      </c>
      <c r="M814" s="1" t="s">
        <v>10845</v>
      </c>
      <c r="N814" s="1" t="s">
        <v>10844</v>
      </c>
    </row>
    <row r="815" spans="1:14" s="1" customFormat="1" x14ac:dyDescent="0.35">
      <c r="A815" s="1" t="s">
        <v>4492</v>
      </c>
      <c r="B815" s="1" t="s">
        <v>3822</v>
      </c>
      <c r="C815" s="1" t="s">
        <v>3830</v>
      </c>
      <c r="D815" s="1" t="s">
        <v>10843</v>
      </c>
      <c r="E815" s="1" t="str">
        <f>"8415"</f>
        <v>8415</v>
      </c>
      <c r="F815" s="1" t="str">
        <f>"015386742"</f>
        <v>015386742</v>
      </c>
      <c r="G815" s="1" t="s">
        <v>761</v>
      </c>
      <c r="H815" s="1" t="s">
        <v>15</v>
      </c>
      <c r="I815" s="1" t="str">
        <f>"2"</f>
        <v>2</v>
      </c>
      <c r="J815" s="3">
        <v>67.540000000000006</v>
      </c>
      <c r="K815" s="4">
        <v>45566</v>
      </c>
      <c r="L815" s="4">
        <v>46099</v>
      </c>
      <c r="M815" s="1" t="s">
        <v>10842</v>
      </c>
    </row>
    <row r="816" spans="1:14" s="1" customFormat="1" x14ac:dyDescent="0.35">
      <c r="A816" s="1" t="s">
        <v>4492</v>
      </c>
      <c r="B816" s="1" t="s">
        <v>3822</v>
      </c>
      <c r="C816" s="1" t="s">
        <v>3830</v>
      </c>
      <c r="D816" s="1" t="s">
        <v>10841</v>
      </c>
      <c r="E816" s="1" t="str">
        <f>"7830"</f>
        <v>7830</v>
      </c>
      <c r="F816" s="1" t="s">
        <v>2004</v>
      </c>
      <c r="G816" s="1" t="s">
        <v>2005</v>
      </c>
      <c r="H816" s="1" t="s">
        <v>15</v>
      </c>
      <c r="I816" s="1" t="str">
        <f>"1"</f>
        <v>1</v>
      </c>
      <c r="J816" s="3" t="str">
        <f>"3000"</f>
        <v>3000</v>
      </c>
      <c r="K816" s="4">
        <v>45975</v>
      </c>
      <c r="L816" s="4">
        <v>46044</v>
      </c>
      <c r="M816" s="1" t="s">
        <v>10840</v>
      </c>
      <c r="N816" s="1" t="s">
        <v>10839</v>
      </c>
    </row>
    <row r="817" spans="1:14" s="1" customFormat="1" x14ac:dyDescent="0.35">
      <c r="A817" s="1" t="s">
        <v>4492</v>
      </c>
      <c r="B817" s="1" t="s">
        <v>3822</v>
      </c>
      <c r="C817" s="1" t="s">
        <v>3830</v>
      </c>
      <c r="D817" s="1" t="s">
        <v>10838</v>
      </c>
      <c r="E817" s="1" t="str">
        <f>"8340"</f>
        <v>8340</v>
      </c>
      <c r="F817" s="1" t="str">
        <f>"015074375"</f>
        <v>015074375</v>
      </c>
      <c r="G817" s="1" t="s">
        <v>10837</v>
      </c>
      <c r="H817" s="1" t="s">
        <v>15</v>
      </c>
      <c r="I817" s="1" t="str">
        <f>"1"</f>
        <v>1</v>
      </c>
      <c r="J817" s="3">
        <v>13762.35</v>
      </c>
      <c r="K817" s="4">
        <v>45978</v>
      </c>
      <c r="L817" s="4">
        <v>46065</v>
      </c>
      <c r="M817" s="1" t="s">
        <v>10836</v>
      </c>
      <c r="N817" s="1" t="s">
        <v>10835</v>
      </c>
    </row>
    <row r="818" spans="1:14" s="1" customFormat="1" x14ac:dyDescent="0.35">
      <c r="A818" s="1" t="s">
        <v>4492</v>
      </c>
      <c r="B818" s="1" t="s">
        <v>3822</v>
      </c>
      <c r="C818" s="1" t="s">
        <v>3830</v>
      </c>
      <c r="D818" s="1" t="s">
        <v>10834</v>
      </c>
      <c r="E818" s="1" t="str">
        <f>"7830"</f>
        <v>7830</v>
      </c>
      <c r="F818" s="1" t="str">
        <f>"012569914"</f>
        <v>012569914</v>
      </c>
      <c r="G818" s="1" t="s">
        <v>10833</v>
      </c>
      <c r="H818" s="1" t="s">
        <v>15</v>
      </c>
      <c r="I818" s="1" t="str">
        <f>"2"</f>
        <v>2</v>
      </c>
      <c r="J818" s="3">
        <v>2780.16</v>
      </c>
      <c r="K818" s="4">
        <v>46025</v>
      </c>
      <c r="L818" s="4">
        <v>46038</v>
      </c>
      <c r="M818" s="1" t="s">
        <v>10832</v>
      </c>
      <c r="N818" s="1" t="s">
        <v>10831</v>
      </c>
    </row>
    <row r="819" spans="1:14" s="1" customFormat="1" x14ac:dyDescent="0.35">
      <c r="A819" s="1" t="s">
        <v>4492</v>
      </c>
      <c r="B819" s="1" t="s">
        <v>3822</v>
      </c>
      <c r="C819" s="1" t="s">
        <v>3830</v>
      </c>
      <c r="D819" s="1" t="s">
        <v>10830</v>
      </c>
      <c r="E819" s="1" t="str">
        <f>"6160"</f>
        <v>6160</v>
      </c>
      <c r="F819" s="1" t="str">
        <f>"004042669"</f>
        <v>004042669</v>
      </c>
      <c r="G819" s="1" t="s">
        <v>10829</v>
      </c>
      <c r="H819" s="1" t="s">
        <v>15</v>
      </c>
      <c r="I819" s="1" t="str">
        <f>"10"</f>
        <v>10</v>
      </c>
      <c r="J819" s="3">
        <v>24.62</v>
      </c>
      <c r="K819" s="4">
        <v>46032</v>
      </c>
      <c r="L819" s="4">
        <v>46064</v>
      </c>
      <c r="M819" s="1" t="s">
        <v>10828</v>
      </c>
      <c r="N819" s="1" t="s">
        <v>10827</v>
      </c>
    </row>
    <row r="820" spans="1:14" s="1" customFormat="1" x14ac:dyDescent="0.35">
      <c r="A820" s="1" t="s">
        <v>4492</v>
      </c>
      <c r="B820" s="1" t="s">
        <v>3822</v>
      </c>
      <c r="C820" s="1" t="s">
        <v>3830</v>
      </c>
      <c r="D820" s="1" t="s">
        <v>10826</v>
      </c>
      <c r="E820" s="1" t="str">
        <f>"5133"</f>
        <v>5133</v>
      </c>
      <c r="F820" s="1" t="s">
        <v>588</v>
      </c>
      <c r="G820" s="1" t="s">
        <v>589</v>
      </c>
      <c r="H820" s="1" t="s">
        <v>15</v>
      </c>
      <c r="I820" s="1" t="str">
        <f>"2"</f>
        <v>2</v>
      </c>
      <c r="J820" s="3">
        <v>88.28</v>
      </c>
      <c r="K820" s="4">
        <v>46032</v>
      </c>
      <c r="L820" s="4">
        <v>46037</v>
      </c>
      <c r="M820" s="1" t="s">
        <v>10825</v>
      </c>
      <c r="N820" s="1" t="s">
        <v>10822</v>
      </c>
    </row>
    <row r="821" spans="1:14" s="1" customFormat="1" x14ac:dyDescent="0.35">
      <c r="A821" s="1" t="s">
        <v>4492</v>
      </c>
      <c r="B821" s="1" t="s">
        <v>3822</v>
      </c>
      <c r="C821" s="1" t="s">
        <v>3830</v>
      </c>
      <c r="D821" s="1" t="s">
        <v>10824</v>
      </c>
      <c r="E821" s="1" t="str">
        <f>"5133"</f>
        <v>5133</v>
      </c>
      <c r="F821" s="1" t="s">
        <v>588</v>
      </c>
      <c r="G821" s="1" t="s">
        <v>589</v>
      </c>
      <c r="H821" s="1" t="s">
        <v>15</v>
      </c>
      <c r="I821" s="1" t="str">
        <f>"2"</f>
        <v>2</v>
      </c>
      <c r="J821" s="3" t="str">
        <f>"50"</f>
        <v>50</v>
      </c>
      <c r="K821" s="4">
        <v>46032</v>
      </c>
      <c r="L821" s="4">
        <v>46037</v>
      </c>
      <c r="M821" s="1" t="s">
        <v>10823</v>
      </c>
      <c r="N821" s="1" t="s">
        <v>10822</v>
      </c>
    </row>
    <row r="822" spans="1:14" s="1" customFormat="1" x14ac:dyDescent="0.35">
      <c r="A822" s="1" t="s">
        <v>4492</v>
      </c>
      <c r="B822" s="1" t="s">
        <v>3822</v>
      </c>
      <c r="C822" s="1" t="s">
        <v>3830</v>
      </c>
      <c r="D822" s="1" t="s">
        <v>10821</v>
      </c>
      <c r="E822" s="1" t="str">
        <f>"5120"</f>
        <v>5120</v>
      </c>
      <c r="F822" s="1" t="s">
        <v>2085</v>
      </c>
      <c r="G822" s="1" t="s">
        <v>2086</v>
      </c>
      <c r="H822" s="1" t="s">
        <v>15</v>
      </c>
      <c r="I822" s="1" t="str">
        <f>"1"</f>
        <v>1</v>
      </c>
      <c r="J822" s="3">
        <v>515.01</v>
      </c>
      <c r="K822" s="4">
        <v>46032</v>
      </c>
      <c r="L822" s="4">
        <v>46064</v>
      </c>
      <c r="M822" s="1" t="s">
        <v>10820</v>
      </c>
      <c r="N822" s="1" t="s">
        <v>3896</v>
      </c>
    </row>
    <row r="823" spans="1:14" s="1" customFormat="1" x14ac:dyDescent="0.35">
      <c r="A823" s="1" t="s">
        <v>4492</v>
      </c>
      <c r="B823" s="1" t="s">
        <v>3822</v>
      </c>
      <c r="C823" s="1" t="s">
        <v>3830</v>
      </c>
      <c r="D823" s="1" t="s">
        <v>10819</v>
      </c>
      <c r="E823" s="1" t="str">
        <f>"5120"</f>
        <v>5120</v>
      </c>
      <c r="F823" s="1" t="s">
        <v>2085</v>
      </c>
      <c r="G823" s="1" t="s">
        <v>2086</v>
      </c>
      <c r="H823" s="1" t="s">
        <v>15</v>
      </c>
      <c r="I823" s="1" t="str">
        <f>"2"</f>
        <v>2</v>
      </c>
      <c r="J823" s="3" t="str">
        <f>"1090"</f>
        <v>1090</v>
      </c>
      <c r="K823" s="4">
        <v>46032</v>
      </c>
      <c r="L823" s="4">
        <v>46064</v>
      </c>
      <c r="M823" s="1" t="s">
        <v>10818</v>
      </c>
      <c r="N823" s="1" t="s">
        <v>3896</v>
      </c>
    </row>
    <row r="824" spans="1:14" s="1" customFormat="1" x14ac:dyDescent="0.35">
      <c r="A824" s="1" t="s">
        <v>4492</v>
      </c>
      <c r="B824" s="1" t="s">
        <v>3822</v>
      </c>
      <c r="C824" s="1" t="s">
        <v>3830</v>
      </c>
      <c r="D824" s="1" t="s">
        <v>10817</v>
      </c>
      <c r="E824" s="1" t="str">
        <f>"6130"</f>
        <v>6130</v>
      </c>
      <c r="F824" s="1" t="str">
        <f>"005568469"</f>
        <v>005568469</v>
      </c>
      <c r="G824" s="1" t="s">
        <v>882</v>
      </c>
      <c r="H824" s="1" t="s">
        <v>15</v>
      </c>
      <c r="I824" s="1" t="str">
        <f>"1"</f>
        <v>1</v>
      </c>
      <c r="J824" s="3" t="str">
        <f>"2099"</f>
        <v>2099</v>
      </c>
      <c r="K824" s="4">
        <v>46032</v>
      </c>
      <c r="L824" s="4">
        <v>46064</v>
      </c>
      <c r="M824" s="1" t="s">
        <v>10816</v>
      </c>
      <c r="N824" s="1" t="s">
        <v>10815</v>
      </c>
    </row>
    <row r="825" spans="1:14" s="1" customFormat="1" x14ac:dyDescent="0.35">
      <c r="A825" s="1" t="s">
        <v>4492</v>
      </c>
      <c r="B825" s="1" t="s">
        <v>3822</v>
      </c>
      <c r="C825" s="1" t="s">
        <v>3830</v>
      </c>
      <c r="D825" s="1" t="s">
        <v>10814</v>
      </c>
      <c r="E825" s="1" t="str">
        <f>"2340"</f>
        <v>2340</v>
      </c>
      <c r="F825" s="1" t="s">
        <v>1071</v>
      </c>
      <c r="G825" s="1" t="s">
        <v>1072</v>
      </c>
      <c r="H825" s="1" t="s">
        <v>15</v>
      </c>
      <c r="I825" s="1" t="str">
        <f>"1"</f>
        <v>1</v>
      </c>
      <c r="J825" s="3" t="str">
        <f>"10000"</f>
        <v>10000</v>
      </c>
      <c r="K825" s="4">
        <v>46032</v>
      </c>
      <c r="L825" s="4">
        <v>46046</v>
      </c>
      <c r="M825" s="1" t="s">
        <v>10813</v>
      </c>
      <c r="N825" s="1" t="s">
        <v>10812</v>
      </c>
    </row>
    <row r="826" spans="1:14" s="1" customFormat="1" x14ac:dyDescent="0.35">
      <c r="A826" s="1" t="s">
        <v>4492</v>
      </c>
      <c r="B826" s="1" t="s">
        <v>3822</v>
      </c>
      <c r="C826" s="1" t="s">
        <v>3830</v>
      </c>
      <c r="D826" s="1" t="s">
        <v>10811</v>
      </c>
      <c r="E826" s="1" t="str">
        <f>"5120"</f>
        <v>5120</v>
      </c>
      <c r="F826" s="1" t="str">
        <f>"001897963"</f>
        <v>001897963</v>
      </c>
      <c r="G826" s="1" t="s">
        <v>10810</v>
      </c>
      <c r="H826" s="1" t="s">
        <v>15</v>
      </c>
      <c r="I826" s="1" t="str">
        <f>"2"</f>
        <v>2</v>
      </c>
      <c r="J826" s="3">
        <v>96.98</v>
      </c>
      <c r="K826" s="4">
        <v>46044</v>
      </c>
      <c r="L826" s="4">
        <v>46046</v>
      </c>
      <c r="M826" s="1" t="s">
        <v>10809</v>
      </c>
      <c r="N826" s="1" t="s">
        <v>10808</v>
      </c>
    </row>
    <row r="827" spans="1:14" s="1" customFormat="1" x14ac:dyDescent="0.35">
      <c r="A827" s="1" t="s">
        <v>4492</v>
      </c>
      <c r="B827" s="1" t="s">
        <v>3822</v>
      </c>
      <c r="C827" s="1" t="s">
        <v>3830</v>
      </c>
      <c r="D827" s="1" t="s">
        <v>10807</v>
      </c>
      <c r="E827" s="1" t="str">
        <f>"8115"</f>
        <v>8115</v>
      </c>
      <c r="F827" s="1" t="str">
        <f>"001682275"</f>
        <v>001682275</v>
      </c>
      <c r="G827" s="1" t="s">
        <v>431</v>
      </c>
      <c r="H827" s="1" t="s">
        <v>15</v>
      </c>
      <c r="I827" s="1" t="str">
        <f>"1"</f>
        <v>1</v>
      </c>
      <c r="J827" s="3" t="str">
        <f>"1324"</f>
        <v>1324</v>
      </c>
      <c r="K827" s="4">
        <v>46060</v>
      </c>
      <c r="L827" s="4">
        <v>46065</v>
      </c>
      <c r="M827" s="1" t="s">
        <v>10806</v>
      </c>
      <c r="N827" s="1" t="s">
        <v>10805</v>
      </c>
    </row>
    <row r="828" spans="1:14" s="1" customFormat="1" x14ac:dyDescent="0.35">
      <c r="A828" s="1" t="s">
        <v>4492</v>
      </c>
      <c r="B828" s="1" t="s">
        <v>3822</v>
      </c>
      <c r="C828" s="1" t="s">
        <v>3830</v>
      </c>
      <c r="D828" s="1" t="s">
        <v>10804</v>
      </c>
      <c r="E828" s="1" t="str">
        <f>"6230"</f>
        <v>6230</v>
      </c>
      <c r="F828" s="1" t="str">
        <f>"014954298"</f>
        <v>014954298</v>
      </c>
      <c r="G828" s="1" t="s">
        <v>4051</v>
      </c>
      <c r="H828" s="1" t="s">
        <v>206</v>
      </c>
      <c r="I828" s="1" t="str">
        <f>"6"</f>
        <v>6</v>
      </c>
      <c r="J828" s="3">
        <v>91.57</v>
      </c>
      <c r="K828" s="4">
        <v>46063</v>
      </c>
      <c r="L828" s="4">
        <v>46065</v>
      </c>
      <c r="M828" s="1" t="s">
        <v>10803</v>
      </c>
      <c r="N828" s="1" t="s">
        <v>10802</v>
      </c>
    </row>
    <row r="829" spans="1:14" s="1" customFormat="1" x14ac:dyDescent="0.35">
      <c r="A829" s="1" t="s">
        <v>4492</v>
      </c>
      <c r="B829" s="1" t="s">
        <v>3822</v>
      </c>
      <c r="C829" s="1" t="s">
        <v>3830</v>
      </c>
      <c r="D829" s="1" t="s">
        <v>10801</v>
      </c>
      <c r="E829" s="1" t="str">
        <f>"5110"</f>
        <v>5110</v>
      </c>
      <c r="F829" s="1" t="s">
        <v>10800</v>
      </c>
      <c r="G829" s="1" t="s">
        <v>10799</v>
      </c>
      <c r="H829" s="1" t="s">
        <v>15</v>
      </c>
      <c r="I829" s="1" t="str">
        <f>"2"</f>
        <v>2</v>
      </c>
      <c r="J829" s="3" t="str">
        <f>"10"</f>
        <v>10</v>
      </c>
      <c r="K829" s="4">
        <v>46071</v>
      </c>
      <c r="L829" s="4">
        <v>46071</v>
      </c>
      <c r="M829" s="1" t="s">
        <v>4556</v>
      </c>
      <c r="N829" s="1" t="s">
        <v>10798</v>
      </c>
    </row>
    <row r="830" spans="1:14" s="1" customFormat="1" x14ac:dyDescent="0.35">
      <c r="A830" s="1" t="s">
        <v>4492</v>
      </c>
      <c r="B830" s="1" t="s">
        <v>3822</v>
      </c>
      <c r="C830" s="1" t="s">
        <v>3830</v>
      </c>
      <c r="D830" s="1" t="s">
        <v>10797</v>
      </c>
      <c r="E830" s="1" t="str">
        <f>"5120"</f>
        <v>5120</v>
      </c>
      <c r="F830" s="1" t="s">
        <v>3875</v>
      </c>
      <c r="G830" s="1" t="s">
        <v>3876</v>
      </c>
      <c r="H830" s="1" t="s">
        <v>15</v>
      </c>
      <c r="I830" s="1" t="str">
        <f>"2"</f>
        <v>2</v>
      </c>
      <c r="J830" s="3" t="str">
        <f>"10"</f>
        <v>10</v>
      </c>
      <c r="K830" s="4">
        <v>46071</v>
      </c>
      <c r="L830" s="4">
        <v>46072</v>
      </c>
      <c r="N830" s="1" t="s">
        <v>10796</v>
      </c>
    </row>
    <row r="831" spans="1:14" s="1" customFormat="1" x14ac:dyDescent="0.35">
      <c r="A831" s="1" t="s">
        <v>4492</v>
      </c>
      <c r="B831" s="1" t="s">
        <v>3822</v>
      </c>
      <c r="C831" s="1" t="s">
        <v>3830</v>
      </c>
      <c r="D831" s="1" t="s">
        <v>10795</v>
      </c>
      <c r="E831" s="1" t="str">
        <f>"2410"</f>
        <v>2410</v>
      </c>
      <c r="F831" s="1" t="str">
        <f>"014120930"</f>
        <v>014120930</v>
      </c>
      <c r="G831" s="1" t="s">
        <v>1770</v>
      </c>
      <c r="H831" s="1" t="s">
        <v>15</v>
      </c>
      <c r="I831" s="1" t="str">
        <f>"1"</f>
        <v>1</v>
      </c>
      <c r="J831" s="3" t="str">
        <f>"58934"</f>
        <v>58934</v>
      </c>
      <c r="K831" s="4">
        <v>46074</v>
      </c>
      <c r="L831" s="4">
        <v>46088</v>
      </c>
      <c r="M831" s="1" t="s">
        <v>10794</v>
      </c>
      <c r="N831" s="1" t="s">
        <v>10793</v>
      </c>
    </row>
    <row r="832" spans="1:14" s="1" customFormat="1" x14ac:dyDescent="0.35">
      <c r="A832" s="1" t="s">
        <v>4492</v>
      </c>
      <c r="B832" s="1" t="s">
        <v>3822</v>
      </c>
      <c r="C832" s="1" t="s">
        <v>3830</v>
      </c>
      <c r="D832" s="1" t="s">
        <v>10792</v>
      </c>
      <c r="E832" s="1" t="str">
        <f>"2320"</f>
        <v>2320</v>
      </c>
      <c r="F832" s="1" t="str">
        <f>"015221859"</f>
        <v>015221859</v>
      </c>
      <c r="G832" s="1" t="s">
        <v>3645</v>
      </c>
      <c r="H832" s="1" t="s">
        <v>15</v>
      </c>
      <c r="I832" s="1" t="str">
        <f>"1"</f>
        <v>1</v>
      </c>
      <c r="J832" s="3" t="str">
        <f>"218378"</f>
        <v>218378</v>
      </c>
      <c r="K832" s="4">
        <v>46082</v>
      </c>
      <c r="L832" s="4">
        <v>46087</v>
      </c>
      <c r="M832" s="1" t="s">
        <v>10791</v>
      </c>
      <c r="N832" s="1" t="s">
        <v>10790</v>
      </c>
    </row>
    <row r="833" spans="1:14" s="1" customFormat="1" x14ac:dyDescent="0.35">
      <c r="A833" s="1" t="s">
        <v>4492</v>
      </c>
      <c r="B833" s="1" t="s">
        <v>3822</v>
      </c>
      <c r="C833" s="1" t="s">
        <v>3830</v>
      </c>
      <c r="D833" s="1" t="s">
        <v>10789</v>
      </c>
      <c r="E833" s="1" t="str">
        <f>"8115"</f>
        <v>8115</v>
      </c>
      <c r="F833" s="1" t="str">
        <f>"001682275"</f>
        <v>001682275</v>
      </c>
      <c r="G833" s="1" t="s">
        <v>431</v>
      </c>
      <c r="H833" s="1" t="s">
        <v>15</v>
      </c>
      <c r="I833" s="1" t="str">
        <f>"1"</f>
        <v>1</v>
      </c>
      <c r="J833" s="3" t="str">
        <f>"1324"</f>
        <v>1324</v>
      </c>
      <c r="K833" s="4">
        <v>46082</v>
      </c>
      <c r="L833" s="4">
        <v>46095</v>
      </c>
      <c r="M833" s="1" t="s">
        <v>10788</v>
      </c>
      <c r="N833" s="1" t="s">
        <v>10787</v>
      </c>
    </row>
    <row r="834" spans="1:14" s="1" customFormat="1" x14ac:dyDescent="0.35">
      <c r="A834" s="1" t="s">
        <v>4492</v>
      </c>
      <c r="B834" s="1" t="s">
        <v>3822</v>
      </c>
      <c r="C834" s="1" t="s">
        <v>3830</v>
      </c>
      <c r="D834" s="1" t="s">
        <v>10786</v>
      </c>
      <c r="E834" s="1" t="str">
        <f>"7195"</f>
        <v>7195</v>
      </c>
      <c r="F834" s="1" t="s">
        <v>10785</v>
      </c>
      <c r="G834" s="1" t="s">
        <v>10784</v>
      </c>
      <c r="H834" s="1" t="s">
        <v>15</v>
      </c>
      <c r="I834" s="1" t="str">
        <f>"2"</f>
        <v>2</v>
      </c>
      <c r="J834" s="3" t="str">
        <f>"130"</f>
        <v>130</v>
      </c>
      <c r="K834" s="4">
        <v>46082</v>
      </c>
      <c r="L834" s="4">
        <v>46092</v>
      </c>
      <c r="M834" s="1" t="s">
        <v>10783</v>
      </c>
      <c r="N834" s="1" t="s">
        <v>10782</v>
      </c>
    </row>
    <row r="835" spans="1:14" s="1" customFormat="1" x14ac:dyDescent="0.35">
      <c r="A835" s="1" t="s">
        <v>4492</v>
      </c>
      <c r="B835" s="1" t="s">
        <v>3822</v>
      </c>
      <c r="C835" s="1" t="s">
        <v>3830</v>
      </c>
      <c r="D835" s="1" t="s">
        <v>10781</v>
      </c>
      <c r="E835" s="1" t="str">
        <f>"2310"</f>
        <v>2310</v>
      </c>
      <c r="F835" s="1" t="str">
        <f>"016544105"</f>
        <v>016544105</v>
      </c>
      <c r="G835" s="1" t="s">
        <v>232</v>
      </c>
      <c r="H835" s="1" t="s">
        <v>15</v>
      </c>
      <c r="I835" s="1" t="str">
        <f>"1"</f>
        <v>1</v>
      </c>
      <c r="J835" s="3">
        <v>31905.14</v>
      </c>
      <c r="K835" s="4">
        <v>46082</v>
      </c>
      <c r="L835" s="4">
        <v>46087</v>
      </c>
      <c r="M835" s="1" t="s">
        <v>10780</v>
      </c>
      <c r="N835" s="1" t="s">
        <v>10779</v>
      </c>
    </row>
    <row r="836" spans="1:14" s="1" customFormat="1" x14ac:dyDescent="0.35">
      <c r="A836" s="1" t="s">
        <v>4492</v>
      </c>
      <c r="B836" s="1" t="s">
        <v>3822</v>
      </c>
      <c r="C836" s="1" t="s">
        <v>3830</v>
      </c>
      <c r="D836" s="1" t="s">
        <v>10778</v>
      </c>
      <c r="E836" s="1" t="str">
        <f>"5675"</f>
        <v>5675</v>
      </c>
      <c r="F836" s="1" t="str">
        <f>"014220654"</f>
        <v>014220654</v>
      </c>
      <c r="G836" s="1" t="s">
        <v>6681</v>
      </c>
      <c r="H836" s="1" t="s">
        <v>15</v>
      </c>
      <c r="I836" s="1" t="str">
        <f>"100"</f>
        <v>100</v>
      </c>
      <c r="J836" s="3">
        <v>38.119999999999997</v>
      </c>
      <c r="K836" s="4">
        <v>46084</v>
      </c>
      <c r="L836" s="4">
        <v>46091</v>
      </c>
      <c r="M836" s="1" t="s">
        <v>10777</v>
      </c>
      <c r="N836" s="1" t="s">
        <v>10776</v>
      </c>
    </row>
    <row r="837" spans="1:14" s="1" customFormat="1" x14ac:dyDescent="0.35">
      <c r="A837" s="1" t="s">
        <v>4492</v>
      </c>
      <c r="B837" s="1" t="s">
        <v>3822</v>
      </c>
      <c r="C837" s="1" t="s">
        <v>3830</v>
      </c>
      <c r="D837" s="1" t="s">
        <v>10775</v>
      </c>
      <c r="E837" s="1" t="str">
        <f>"5180"</f>
        <v>5180</v>
      </c>
      <c r="F837" s="1" t="str">
        <f>"016282374"</f>
        <v>016282374</v>
      </c>
      <c r="G837" s="1" t="s">
        <v>322</v>
      </c>
      <c r="H837" s="1" t="s">
        <v>168</v>
      </c>
      <c r="I837" s="1" t="str">
        <f>"1"</f>
        <v>1</v>
      </c>
      <c r="J837" s="3" t="str">
        <f>"3847"</f>
        <v>3847</v>
      </c>
      <c r="K837" s="4">
        <v>46084</v>
      </c>
      <c r="L837" s="4">
        <v>46105</v>
      </c>
      <c r="M837" s="1" t="s">
        <v>10774</v>
      </c>
      <c r="N837" s="1" t="s">
        <v>10766</v>
      </c>
    </row>
    <row r="838" spans="1:14" s="1" customFormat="1" x14ac:dyDescent="0.35">
      <c r="A838" s="1" t="s">
        <v>4492</v>
      </c>
      <c r="B838" s="1" t="s">
        <v>3822</v>
      </c>
      <c r="C838" s="1" t="s">
        <v>3830</v>
      </c>
      <c r="D838" s="1" t="s">
        <v>10773</v>
      </c>
      <c r="E838" s="1" t="str">
        <f>"5180"</f>
        <v>5180</v>
      </c>
      <c r="F838" s="1" t="str">
        <f>"015487634"</f>
        <v>015487634</v>
      </c>
      <c r="G838" s="1" t="s">
        <v>1831</v>
      </c>
      <c r="H838" s="1" t="s">
        <v>257</v>
      </c>
      <c r="I838" s="1" t="str">
        <f>"2"</f>
        <v>2</v>
      </c>
      <c r="J838" s="3" t="str">
        <f>"2048"</f>
        <v>2048</v>
      </c>
      <c r="K838" s="4">
        <v>46084</v>
      </c>
      <c r="L838" s="4">
        <v>46091</v>
      </c>
      <c r="M838" s="1" t="s">
        <v>10772</v>
      </c>
      <c r="N838" s="1" t="s">
        <v>10771</v>
      </c>
    </row>
    <row r="839" spans="1:14" s="1" customFormat="1" x14ac:dyDescent="0.35">
      <c r="A839" s="1" t="s">
        <v>4492</v>
      </c>
      <c r="B839" s="1" t="s">
        <v>3822</v>
      </c>
      <c r="C839" s="1" t="s">
        <v>3830</v>
      </c>
      <c r="D839" s="1" t="s">
        <v>10770</v>
      </c>
      <c r="E839" s="1" t="str">
        <f>"5180"</f>
        <v>5180</v>
      </c>
      <c r="F839" s="1" t="str">
        <f>"016282373"</f>
        <v>016282373</v>
      </c>
      <c r="G839" s="1" t="s">
        <v>322</v>
      </c>
      <c r="H839" s="1" t="s">
        <v>168</v>
      </c>
      <c r="I839" s="1" t="str">
        <f>"1"</f>
        <v>1</v>
      </c>
      <c r="J839" s="3" t="str">
        <f>"6690"</f>
        <v>6690</v>
      </c>
      <c r="K839" s="4">
        <v>46084</v>
      </c>
      <c r="L839" s="4">
        <v>46105</v>
      </c>
      <c r="M839" s="1" t="s">
        <v>10769</v>
      </c>
      <c r="N839" s="1" t="s">
        <v>10766</v>
      </c>
    </row>
    <row r="840" spans="1:14" s="1" customFormat="1" x14ac:dyDescent="0.35">
      <c r="A840" s="1" t="s">
        <v>4492</v>
      </c>
      <c r="B840" s="1" t="s">
        <v>3822</v>
      </c>
      <c r="C840" s="1" t="s">
        <v>3830</v>
      </c>
      <c r="D840" s="1" t="s">
        <v>10768</v>
      </c>
      <c r="E840" s="1" t="str">
        <f>"5180"</f>
        <v>5180</v>
      </c>
      <c r="F840" s="1" t="str">
        <f>"016282370"</f>
        <v>016282370</v>
      </c>
      <c r="G840" s="1" t="s">
        <v>322</v>
      </c>
      <c r="H840" s="1" t="s">
        <v>168</v>
      </c>
      <c r="I840" s="1" t="str">
        <f>"1"</f>
        <v>1</v>
      </c>
      <c r="J840" s="3" t="str">
        <f>"7235"</f>
        <v>7235</v>
      </c>
      <c r="K840" s="4">
        <v>46084</v>
      </c>
      <c r="L840" s="4">
        <v>46093</v>
      </c>
      <c r="M840" s="1" t="s">
        <v>10767</v>
      </c>
      <c r="N840" s="1" t="s">
        <v>10766</v>
      </c>
    </row>
    <row r="841" spans="1:14" s="1" customFormat="1" x14ac:dyDescent="0.35">
      <c r="A841" s="1" t="s">
        <v>4492</v>
      </c>
      <c r="B841" s="1" t="s">
        <v>3822</v>
      </c>
      <c r="C841" s="1" t="s">
        <v>3830</v>
      </c>
      <c r="D841" s="1" t="s">
        <v>10765</v>
      </c>
      <c r="E841" s="1" t="str">
        <f>"8465"</f>
        <v>8465</v>
      </c>
      <c r="F841" s="1" t="str">
        <f>"009734807"</f>
        <v>009734807</v>
      </c>
      <c r="G841" s="1" t="s">
        <v>3069</v>
      </c>
      <c r="H841" s="1" t="s">
        <v>15</v>
      </c>
      <c r="I841" s="1" t="str">
        <f>"10"</f>
        <v>10</v>
      </c>
      <c r="J841" s="3">
        <v>91.05</v>
      </c>
      <c r="K841" s="4">
        <v>46088</v>
      </c>
      <c r="L841" s="4">
        <v>46103</v>
      </c>
      <c r="M841" s="1" t="s">
        <v>10764</v>
      </c>
      <c r="N841" s="1" t="s">
        <v>10763</v>
      </c>
    </row>
    <row r="842" spans="1:14" s="1" customFormat="1" x14ac:dyDescent="0.35">
      <c r="A842" s="1" t="s">
        <v>4492</v>
      </c>
      <c r="B842" s="1" t="s">
        <v>1791</v>
      </c>
      <c r="C842" s="1" t="s">
        <v>1792</v>
      </c>
      <c r="D842" s="1" t="s">
        <v>10762</v>
      </c>
      <c r="E842" s="1" t="str">
        <f>"1240"</f>
        <v>1240</v>
      </c>
      <c r="F842" s="1" t="str">
        <f>"016813209"</f>
        <v>016813209</v>
      </c>
      <c r="G842" s="1" t="s">
        <v>6044</v>
      </c>
      <c r="H842" s="1" t="s">
        <v>15</v>
      </c>
      <c r="I842" s="1" t="str">
        <f>"15"</f>
        <v>15</v>
      </c>
      <c r="J842" s="3" t="str">
        <f>"3269"</f>
        <v>3269</v>
      </c>
      <c r="K842" s="4">
        <v>46083</v>
      </c>
      <c r="L842" s="4">
        <v>46095</v>
      </c>
      <c r="M842" s="1" t="s">
        <v>10761</v>
      </c>
      <c r="N842" s="1" t="s">
        <v>10760</v>
      </c>
    </row>
    <row r="843" spans="1:14" s="1" customFormat="1" x14ac:dyDescent="0.35">
      <c r="A843" s="1" t="s">
        <v>4492</v>
      </c>
      <c r="B843" s="1" t="s">
        <v>1791</v>
      </c>
      <c r="C843" s="1" t="s">
        <v>1792</v>
      </c>
      <c r="D843" s="1" t="s">
        <v>10759</v>
      </c>
      <c r="E843" s="1" t="str">
        <f>"5895"</f>
        <v>5895</v>
      </c>
      <c r="F843" s="1" t="str">
        <f>"015984531"</f>
        <v>015984531</v>
      </c>
      <c r="G843" s="1" t="s">
        <v>1373</v>
      </c>
      <c r="H843" s="1" t="s">
        <v>168</v>
      </c>
      <c r="I843" s="1" t="str">
        <f>"22"</f>
        <v>22</v>
      </c>
      <c r="J843" s="3">
        <v>763.74</v>
      </c>
      <c r="K843" s="4">
        <v>46084</v>
      </c>
      <c r="L843" s="4">
        <v>46087</v>
      </c>
      <c r="M843" s="1" t="s">
        <v>10758</v>
      </c>
      <c r="N843" s="1" t="s">
        <v>10757</v>
      </c>
    </row>
    <row r="844" spans="1:14" s="1" customFormat="1" x14ac:dyDescent="0.35">
      <c r="A844" s="1" t="s">
        <v>4492</v>
      </c>
      <c r="B844" s="1" t="s">
        <v>1791</v>
      </c>
      <c r="C844" s="1" t="s">
        <v>1792</v>
      </c>
      <c r="D844" s="1" t="s">
        <v>10756</v>
      </c>
      <c r="E844" s="1" t="str">
        <f>"1240"</f>
        <v>1240</v>
      </c>
      <c r="F844" s="1" t="str">
        <f>"016859648"</f>
        <v>016859648</v>
      </c>
      <c r="G844" s="1" t="s">
        <v>8290</v>
      </c>
      <c r="H844" s="1" t="s">
        <v>15</v>
      </c>
      <c r="I844" s="1" t="str">
        <f>"3"</f>
        <v>3</v>
      </c>
      <c r="J844" s="3">
        <v>3829.66</v>
      </c>
      <c r="K844" s="4">
        <v>46091</v>
      </c>
      <c r="L844" s="4">
        <v>46092</v>
      </c>
      <c r="M844" s="1" t="s">
        <v>10755</v>
      </c>
      <c r="N844" s="1" t="s">
        <v>10754</v>
      </c>
    </row>
    <row r="845" spans="1:14" s="1" customFormat="1" x14ac:dyDescent="0.35">
      <c r="A845" s="1" t="s">
        <v>4492</v>
      </c>
      <c r="B845" s="1" t="s">
        <v>4456</v>
      </c>
      <c r="C845" s="1" t="s">
        <v>4457</v>
      </c>
      <c r="D845" s="1" t="s">
        <v>10753</v>
      </c>
      <c r="E845" s="1" t="str">
        <f>"1095"</f>
        <v>1095</v>
      </c>
      <c r="F845" s="1" t="s">
        <v>2217</v>
      </c>
      <c r="G845" s="1" t="s">
        <v>2218</v>
      </c>
      <c r="H845" s="1" t="s">
        <v>15</v>
      </c>
      <c r="I845" s="1" t="str">
        <f>"30"</f>
        <v>30</v>
      </c>
      <c r="J845" s="3" t="str">
        <f>"100"</f>
        <v>100</v>
      </c>
      <c r="K845" s="4">
        <v>46020</v>
      </c>
      <c r="L845" s="4">
        <v>46032</v>
      </c>
      <c r="M845" s="1" t="s">
        <v>10752</v>
      </c>
      <c r="N845" s="1" t="s">
        <v>10751</v>
      </c>
    </row>
    <row r="846" spans="1:14" s="1" customFormat="1" x14ac:dyDescent="0.35">
      <c r="A846" s="1" t="s">
        <v>4492</v>
      </c>
      <c r="B846" s="1" t="s">
        <v>4456</v>
      </c>
      <c r="C846" s="1" t="s">
        <v>4457</v>
      </c>
      <c r="D846" s="1" t="s">
        <v>10750</v>
      </c>
      <c r="E846" s="1" t="str">
        <f>"4240"</f>
        <v>4240</v>
      </c>
      <c r="F846" s="1" t="str">
        <f>"015835742"</f>
        <v>015835742</v>
      </c>
      <c r="G846" s="1" t="s">
        <v>1404</v>
      </c>
      <c r="H846" s="1" t="s">
        <v>15</v>
      </c>
      <c r="I846" s="1" t="str">
        <f>"30"</f>
        <v>30</v>
      </c>
      <c r="J846" s="3">
        <v>63.41</v>
      </c>
      <c r="K846" s="4">
        <v>46074</v>
      </c>
      <c r="L846" s="4">
        <v>46087</v>
      </c>
      <c r="M846" s="1" t="s">
        <v>10749</v>
      </c>
      <c r="N846" s="1" t="s">
        <v>10748</v>
      </c>
    </row>
    <row r="847" spans="1:14" s="1" customFormat="1" x14ac:dyDescent="0.35">
      <c r="A847" s="1" t="s">
        <v>4492</v>
      </c>
      <c r="B847" s="1" t="s">
        <v>73</v>
      </c>
      <c r="C847" s="1" t="s">
        <v>10728</v>
      </c>
      <c r="D847" s="1" t="s">
        <v>10747</v>
      </c>
      <c r="E847" s="1" t="str">
        <f>"6115"</f>
        <v>6115</v>
      </c>
      <c r="F847" s="1" t="str">
        <f>"016122549"</f>
        <v>016122549</v>
      </c>
      <c r="G847" s="1" t="s">
        <v>3659</v>
      </c>
      <c r="H847" s="1" t="s">
        <v>15</v>
      </c>
      <c r="I847" s="1" t="str">
        <f>"2"</f>
        <v>2</v>
      </c>
      <c r="J847" s="3" t="str">
        <f>"7873"</f>
        <v>7873</v>
      </c>
      <c r="K847" s="4">
        <v>46004</v>
      </c>
      <c r="L847" s="4">
        <v>46044</v>
      </c>
      <c r="M847" s="1" t="s">
        <v>10746</v>
      </c>
      <c r="N847" s="1" t="s">
        <v>10745</v>
      </c>
    </row>
    <row r="848" spans="1:14" s="1" customFormat="1" x14ac:dyDescent="0.35">
      <c r="A848" s="1" t="s">
        <v>4492</v>
      </c>
      <c r="B848" s="1" t="s">
        <v>73</v>
      </c>
      <c r="C848" s="1" t="s">
        <v>10728</v>
      </c>
      <c r="D848" s="1" t="s">
        <v>10744</v>
      </c>
      <c r="E848" s="1" t="str">
        <f>"2340"</f>
        <v>2340</v>
      </c>
      <c r="F848" s="1" t="s">
        <v>1071</v>
      </c>
      <c r="G848" s="1" t="s">
        <v>1072</v>
      </c>
      <c r="H848" s="1" t="s">
        <v>15</v>
      </c>
      <c r="I848" s="1" t="str">
        <f>"1"</f>
        <v>1</v>
      </c>
      <c r="J848" s="3" t="str">
        <f>"17784"</f>
        <v>17784</v>
      </c>
      <c r="K848" s="4">
        <v>46008</v>
      </c>
      <c r="L848" s="4">
        <v>46064</v>
      </c>
      <c r="M848" s="1" t="s">
        <v>10743</v>
      </c>
      <c r="N848" s="1" t="s">
        <v>10742</v>
      </c>
    </row>
    <row r="849" spans="1:14" s="1" customFormat="1" x14ac:dyDescent="0.35">
      <c r="A849" s="1" t="s">
        <v>4492</v>
      </c>
      <c r="B849" s="1" t="s">
        <v>73</v>
      </c>
      <c r="C849" s="1" t="s">
        <v>10728</v>
      </c>
      <c r="D849" s="1" t="s">
        <v>10741</v>
      </c>
      <c r="E849" s="1" t="str">
        <f>"5855"</f>
        <v>5855</v>
      </c>
      <c r="F849" s="1" t="str">
        <f>"016943200"</f>
        <v>016943200</v>
      </c>
      <c r="G849" s="1" t="s">
        <v>5814</v>
      </c>
      <c r="H849" s="1" t="s">
        <v>15</v>
      </c>
      <c r="I849" s="1" t="str">
        <f>"8"</f>
        <v>8</v>
      </c>
      <c r="J849" s="3" t="str">
        <f>"35000"</f>
        <v>35000</v>
      </c>
      <c r="K849" s="4">
        <v>46097</v>
      </c>
      <c r="L849" s="4">
        <v>46103</v>
      </c>
      <c r="M849" s="1" t="s">
        <v>10740</v>
      </c>
      <c r="N849" s="1" t="s">
        <v>10737</v>
      </c>
    </row>
    <row r="850" spans="1:14" s="1" customFormat="1" x14ac:dyDescent="0.35">
      <c r="A850" s="1" t="s">
        <v>4492</v>
      </c>
      <c r="B850" s="1" t="s">
        <v>73</v>
      </c>
      <c r="C850" s="1" t="s">
        <v>10728</v>
      </c>
      <c r="D850" s="1" t="s">
        <v>10739</v>
      </c>
      <c r="E850" s="1" t="str">
        <f>"5855"</f>
        <v>5855</v>
      </c>
      <c r="F850" s="1" t="s">
        <v>7225</v>
      </c>
      <c r="G850" s="1" t="s">
        <v>7224</v>
      </c>
      <c r="H850" s="1" t="s">
        <v>15</v>
      </c>
      <c r="I850" s="1" t="str">
        <f>"1"</f>
        <v>1</v>
      </c>
      <c r="J850" s="3" t="str">
        <f>"5000"</f>
        <v>5000</v>
      </c>
      <c r="K850" s="4">
        <v>46097</v>
      </c>
      <c r="L850" s="4">
        <v>46103</v>
      </c>
      <c r="M850" s="1" t="s">
        <v>10738</v>
      </c>
      <c r="N850" s="1" t="s">
        <v>10737</v>
      </c>
    </row>
    <row r="851" spans="1:14" s="1" customFormat="1" x14ac:dyDescent="0.35">
      <c r="A851" s="1" t="s">
        <v>4492</v>
      </c>
      <c r="B851" s="1" t="s">
        <v>73</v>
      </c>
      <c r="C851" s="1" t="s">
        <v>10728</v>
      </c>
      <c r="D851" s="1" t="s">
        <v>10736</v>
      </c>
      <c r="E851" s="1" t="str">
        <f>"5855"</f>
        <v>5855</v>
      </c>
      <c r="F851" s="1" t="str">
        <f>"015345931"</f>
        <v>015345931</v>
      </c>
      <c r="G851" s="1" t="s">
        <v>742</v>
      </c>
      <c r="H851" s="1" t="s">
        <v>15</v>
      </c>
      <c r="I851" s="1" t="str">
        <f>"8"</f>
        <v>8</v>
      </c>
      <c r="J851" s="3" t="str">
        <f>"970"</f>
        <v>970</v>
      </c>
      <c r="K851" s="4">
        <v>46097</v>
      </c>
      <c r="L851" s="4">
        <v>46099</v>
      </c>
      <c r="M851" s="1" t="s">
        <v>4524</v>
      </c>
      <c r="N851" s="1" t="s">
        <v>10735</v>
      </c>
    </row>
    <row r="852" spans="1:14" s="1" customFormat="1" x14ac:dyDescent="0.35">
      <c r="A852" s="1" t="s">
        <v>4492</v>
      </c>
      <c r="B852" s="1" t="s">
        <v>73</v>
      </c>
      <c r="C852" s="1" t="s">
        <v>10728</v>
      </c>
      <c r="D852" s="1" t="s">
        <v>10734</v>
      </c>
      <c r="E852" s="1" t="str">
        <f>"2310"</f>
        <v>2310</v>
      </c>
      <c r="F852" s="1" t="s">
        <v>4332</v>
      </c>
      <c r="G852" s="1" t="s">
        <v>4333</v>
      </c>
      <c r="H852" s="1" t="s">
        <v>15</v>
      </c>
      <c r="I852" s="1" t="str">
        <f>"1"</f>
        <v>1</v>
      </c>
      <c r="J852" s="3">
        <v>26812.5</v>
      </c>
      <c r="K852" s="4">
        <v>46097</v>
      </c>
      <c r="L852" s="4">
        <v>46109</v>
      </c>
      <c r="M852" s="1" t="s">
        <v>10733</v>
      </c>
      <c r="N852" s="1" t="s">
        <v>10732</v>
      </c>
    </row>
    <row r="853" spans="1:14" s="1" customFormat="1" x14ac:dyDescent="0.35">
      <c r="A853" s="1" t="s">
        <v>4492</v>
      </c>
      <c r="B853" s="1" t="s">
        <v>73</v>
      </c>
      <c r="C853" s="1" t="s">
        <v>10728</v>
      </c>
      <c r="D853" s="1" t="s">
        <v>10731</v>
      </c>
      <c r="E853" s="1" t="str">
        <f>"6720"</f>
        <v>6720</v>
      </c>
      <c r="F853" s="1" t="s">
        <v>1719</v>
      </c>
      <c r="G853" s="1" t="s">
        <v>1720</v>
      </c>
      <c r="H853" s="1" t="s">
        <v>15</v>
      </c>
      <c r="I853" s="1" t="str">
        <f>"2"</f>
        <v>2</v>
      </c>
      <c r="J853" s="3" t="str">
        <f>"600"</f>
        <v>600</v>
      </c>
      <c r="K853" s="4">
        <v>46097</v>
      </c>
      <c r="L853" s="4">
        <v>46109</v>
      </c>
      <c r="M853" s="1" t="s">
        <v>10730</v>
      </c>
      <c r="N853" s="1" t="s">
        <v>10729</v>
      </c>
    </row>
    <row r="854" spans="1:14" s="1" customFormat="1" x14ac:dyDescent="0.35">
      <c r="A854" s="1" t="s">
        <v>4492</v>
      </c>
      <c r="B854" s="1" t="s">
        <v>73</v>
      </c>
      <c r="C854" s="1" t="s">
        <v>10728</v>
      </c>
      <c r="D854" s="1" t="s">
        <v>10727</v>
      </c>
      <c r="E854" s="1" t="str">
        <f>"5855"</f>
        <v>5855</v>
      </c>
      <c r="F854" s="1" t="str">
        <f>"015847217"</f>
        <v>015847217</v>
      </c>
      <c r="G854" s="1" t="s">
        <v>614</v>
      </c>
      <c r="H854" s="1" t="s">
        <v>15</v>
      </c>
      <c r="I854" s="1" t="str">
        <f>"5"</f>
        <v>5</v>
      </c>
      <c r="J854" s="3" t="str">
        <f>"34084"</f>
        <v>34084</v>
      </c>
      <c r="K854" s="4">
        <v>46097</v>
      </c>
      <c r="L854" s="4">
        <v>46100</v>
      </c>
      <c r="M854" s="1" t="s">
        <v>4524</v>
      </c>
      <c r="N854" s="1" t="s">
        <v>10726</v>
      </c>
    </row>
    <row r="855" spans="1:14" s="1" customFormat="1" x14ac:dyDescent="0.35">
      <c r="A855" s="1" t="s">
        <v>4492</v>
      </c>
      <c r="B855" s="1" t="s">
        <v>73</v>
      </c>
      <c r="C855" s="1" t="s">
        <v>10725</v>
      </c>
      <c r="D855" s="1" t="s">
        <v>10724</v>
      </c>
      <c r="E855" s="1" t="str">
        <f>"2310"</f>
        <v>2310</v>
      </c>
      <c r="F855" s="1" t="str">
        <f>"014998019"</f>
        <v>014998019</v>
      </c>
      <c r="G855" s="1" t="s">
        <v>4671</v>
      </c>
      <c r="H855" s="1" t="s">
        <v>15</v>
      </c>
      <c r="I855" s="1" t="str">
        <f>"1"</f>
        <v>1</v>
      </c>
      <c r="J855" s="3" t="str">
        <f>"165000"</f>
        <v>165000</v>
      </c>
      <c r="K855" s="4">
        <v>46079</v>
      </c>
      <c r="L855" s="4">
        <v>46095</v>
      </c>
      <c r="M855" s="1" t="s">
        <v>10723</v>
      </c>
      <c r="N855" s="1" t="s">
        <v>10722</v>
      </c>
    </row>
    <row r="856" spans="1:14" s="1" customFormat="1" x14ac:dyDescent="0.35">
      <c r="A856" s="1" t="s">
        <v>4492</v>
      </c>
      <c r="B856" s="1" t="s">
        <v>4456</v>
      </c>
      <c r="C856" s="1" t="s">
        <v>10709</v>
      </c>
      <c r="D856" s="1" t="s">
        <v>10721</v>
      </c>
      <c r="E856" s="1" t="str">
        <f>"2310"</f>
        <v>2310</v>
      </c>
      <c r="F856" s="1" t="str">
        <f>"010907741"</f>
        <v>010907741</v>
      </c>
      <c r="G856" s="1" t="s">
        <v>710</v>
      </c>
      <c r="H856" s="1" t="s">
        <v>15</v>
      </c>
      <c r="I856" s="1" t="str">
        <f>"1"</f>
        <v>1</v>
      </c>
      <c r="J856" s="3" t="str">
        <f>"30027"</f>
        <v>30027</v>
      </c>
      <c r="K856" s="4">
        <v>46039</v>
      </c>
      <c r="L856" s="4">
        <v>46055</v>
      </c>
      <c r="M856" s="1" t="s">
        <v>10720</v>
      </c>
      <c r="N856" s="1" t="s">
        <v>10717</v>
      </c>
    </row>
    <row r="857" spans="1:14" s="1" customFormat="1" x14ac:dyDescent="0.35">
      <c r="A857" s="1" t="s">
        <v>4492</v>
      </c>
      <c r="B857" s="1" t="s">
        <v>4456</v>
      </c>
      <c r="C857" s="1" t="s">
        <v>10709</v>
      </c>
      <c r="D857" s="1" t="s">
        <v>10719</v>
      </c>
      <c r="E857" s="1" t="str">
        <f>"2310"</f>
        <v>2310</v>
      </c>
      <c r="F857" s="1" t="str">
        <f>"010907741"</f>
        <v>010907741</v>
      </c>
      <c r="G857" s="1" t="s">
        <v>710</v>
      </c>
      <c r="H857" s="1" t="s">
        <v>15</v>
      </c>
      <c r="I857" s="1" t="str">
        <f>"1"</f>
        <v>1</v>
      </c>
      <c r="J857" s="3" t="str">
        <f>"30027"</f>
        <v>30027</v>
      </c>
      <c r="K857" s="4">
        <v>46039</v>
      </c>
      <c r="L857" s="4">
        <v>46055</v>
      </c>
      <c r="M857" s="1" t="s">
        <v>10718</v>
      </c>
      <c r="N857" s="1" t="s">
        <v>10717</v>
      </c>
    </row>
    <row r="858" spans="1:14" s="1" customFormat="1" x14ac:dyDescent="0.35">
      <c r="A858" s="1" t="s">
        <v>4492</v>
      </c>
      <c r="B858" s="1" t="s">
        <v>4456</v>
      </c>
      <c r="C858" s="1" t="s">
        <v>10709</v>
      </c>
      <c r="D858" s="1" t="s">
        <v>10716</v>
      </c>
      <c r="E858" s="1" t="str">
        <f>"2310"</f>
        <v>2310</v>
      </c>
      <c r="F858" s="1" t="str">
        <f>"010907741"</f>
        <v>010907741</v>
      </c>
      <c r="G858" s="1" t="s">
        <v>710</v>
      </c>
      <c r="H858" s="1" t="s">
        <v>15</v>
      </c>
      <c r="I858" s="1" t="str">
        <f>"1"</f>
        <v>1</v>
      </c>
      <c r="J858" s="3" t="str">
        <f>"30027"</f>
        <v>30027</v>
      </c>
      <c r="K858" s="4">
        <v>46081</v>
      </c>
      <c r="L858" s="4">
        <v>46082</v>
      </c>
      <c r="M858" s="1" t="s">
        <v>4524</v>
      </c>
      <c r="N858" s="1" t="s">
        <v>10713</v>
      </c>
    </row>
    <row r="859" spans="1:14" s="1" customFormat="1" x14ac:dyDescent="0.35">
      <c r="A859" s="1" t="s">
        <v>4492</v>
      </c>
      <c r="B859" s="1" t="s">
        <v>4456</v>
      </c>
      <c r="C859" s="1" t="s">
        <v>10709</v>
      </c>
      <c r="D859" s="1" t="s">
        <v>10715</v>
      </c>
      <c r="E859" s="1" t="str">
        <f>"2320"</f>
        <v>2320</v>
      </c>
      <c r="F859" s="1" t="s">
        <v>100</v>
      </c>
      <c r="G859" s="1" t="s">
        <v>101</v>
      </c>
      <c r="H859" s="1" t="s">
        <v>15</v>
      </c>
      <c r="I859" s="1" t="str">
        <f>"1"</f>
        <v>1</v>
      </c>
      <c r="J859" s="3" t="str">
        <f>"33000"</f>
        <v>33000</v>
      </c>
      <c r="K859" s="4">
        <v>46083</v>
      </c>
      <c r="L859" s="4">
        <v>46095</v>
      </c>
      <c r="M859" s="1" t="s">
        <v>10714</v>
      </c>
      <c r="N859" s="1" t="s">
        <v>10713</v>
      </c>
    </row>
    <row r="860" spans="1:14" s="1" customFormat="1" x14ac:dyDescent="0.35">
      <c r="A860" s="1" t="s">
        <v>4492</v>
      </c>
      <c r="B860" s="1" t="s">
        <v>4456</v>
      </c>
      <c r="C860" s="1" t="s">
        <v>10709</v>
      </c>
      <c r="D860" s="1" t="s">
        <v>10712</v>
      </c>
      <c r="E860" s="1" t="str">
        <f>"2340"</f>
        <v>2340</v>
      </c>
      <c r="F860" s="1" t="s">
        <v>1071</v>
      </c>
      <c r="G860" s="1" t="s">
        <v>1072</v>
      </c>
      <c r="H860" s="1" t="s">
        <v>15</v>
      </c>
      <c r="I860" s="1" t="str">
        <f>"1"</f>
        <v>1</v>
      </c>
      <c r="J860" s="3" t="str">
        <f>"9000"</f>
        <v>9000</v>
      </c>
      <c r="K860" s="4">
        <v>46098</v>
      </c>
      <c r="L860" s="4">
        <v>46103</v>
      </c>
      <c r="M860" s="1" t="s">
        <v>10711</v>
      </c>
      <c r="N860" s="1" t="s">
        <v>10710</v>
      </c>
    </row>
    <row r="861" spans="1:14" s="1" customFormat="1" x14ac:dyDescent="0.35">
      <c r="A861" s="1" t="s">
        <v>4492</v>
      </c>
      <c r="B861" s="1" t="s">
        <v>4456</v>
      </c>
      <c r="C861" s="1" t="s">
        <v>10709</v>
      </c>
      <c r="D861" s="1" t="s">
        <v>10708</v>
      </c>
      <c r="E861" s="1" t="str">
        <f>"2340"</f>
        <v>2340</v>
      </c>
      <c r="F861" s="1" t="s">
        <v>1071</v>
      </c>
      <c r="G861" s="1" t="s">
        <v>1072</v>
      </c>
      <c r="H861" s="1" t="s">
        <v>15</v>
      </c>
      <c r="I861" s="1" t="str">
        <f>"1"</f>
        <v>1</v>
      </c>
      <c r="J861" s="3" t="str">
        <f>"5000"</f>
        <v>5000</v>
      </c>
      <c r="K861" s="4">
        <v>46098</v>
      </c>
      <c r="L861" s="4">
        <v>46100</v>
      </c>
      <c r="M861" s="1" t="s">
        <v>10707</v>
      </c>
      <c r="N861" s="1" t="s">
        <v>10706</v>
      </c>
    </row>
    <row r="862" spans="1:14" s="1" customFormat="1" x14ac:dyDescent="0.35">
      <c r="A862" s="1" t="s">
        <v>4492</v>
      </c>
      <c r="B862" s="1" t="s">
        <v>73</v>
      </c>
      <c r="C862" s="1" t="s">
        <v>10705</v>
      </c>
      <c r="D862" s="1" t="s">
        <v>10704</v>
      </c>
      <c r="E862" s="1" t="str">
        <f>"2310"</f>
        <v>2310</v>
      </c>
      <c r="F862" s="1" t="s">
        <v>4332</v>
      </c>
      <c r="G862" s="1" t="s">
        <v>4333</v>
      </c>
      <c r="H862" s="1" t="s">
        <v>15</v>
      </c>
      <c r="I862" s="1" t="str">
        <f>"1"</f>
        <v>1</v>
      </c>
      <c r="J862" s="3" t="str">
        <f>"26275"</f>
        <v>26275</v>
      </c>
      <c r="K862" s="4">
        <v>46098</v>
      </c>
      <c r="L862" s="4">
        <v>46109</v>
      </c>
      <c r="M862" s="1" t="s">
        <v>10703</v>
      </c>
      <c r="N862" s="1" t="s">
        <v>10702</v>
      </c>
    </row>
    <row r="863" spans="1:14" s="1" customFormat="1" x14ac:dyDescent="0.35">
      <c r="A863" s="1" t="s">
        <v>4492</v>
      </c>
      <c r="B863" s="1" t="s">
        <v>3822</v>
      </c>
      <c r="C863" s="1" t="s">
        <v>4044</v>
      </c>
      <c r="D863" s="1" t="s">
        <v>10701</v>
      </c>
      <c r="E863" s="1" t="str">
        <f>"6545"</f>
        <v>6545</v>
      </c>
      <c r="F863" s="1" t="str">
        <f>"015392732"</f>
        <v>015392732</v>
      </c>
      <c r="G863" s="1" t="s">
        <v>990</v>
      </c>
      <c r="H863" s="1" t="s">
        <v>168</v>
      </c>
      <c r="I863" s="1" t="str">
        <f>"1"</f>
        <v>1</v>
      </c>
      <c r="J863" s="3">
        <v>446.17</v>
      </c>
      <c r="K863" s="4">
        <v>46085</v>
      </c>
      <c r="L863" s="4">
        <v>46092</v>
      </c>
      <c r="M863" s="1" t="s">
        <v>10700</v>
      </c>
      <c r="N863" s="1" t="s">
        <v>10699</v>
      </c>
    </row>
    <row r="864" spans="1:14" s="1" customFormat="1" x14ac:dyDescent="0.35">
      <c r="A864" s="1" t="s">
        <v>4492</v>
      </c>
      <c r="B864" s="1" t="s">
        <v>3822</v>
      </c>
      <c r="C864" s="1" t="s">
        <v>4044</v>
      </c>
      <c r="D864" s="1" t="s">
        <v>10698</v>
      </c>
      <c r="E864" s="1" t="str">
        <f>"8465"</f>
        <v>8465</v>
      </c>
      <c r="F864" s="1" t="str">
        <f>"009734807"</f>
        <v>009734807</v>
      </c>
      <c r="G864" s="1" t="s">
        <v>3069</v>
      </c>
      <c r="H864" s="1" t="s">
        <v>15</v>
      </c>
      <c r="I864" s="1" t="str">
        <f>"12"</f>
        <v>12</v>
      </c>
      <c r="J864" s="3">
        <v>91.05</v>
      </c>
      <c r="K864" s="4">
        <v>46091</v>
      </c>
      <c r="L864" s="4">
        <v>46103</v>
      </c>
      <c r="M864" s="1" t="s">
        <v>10697</v>
      </c>
      <c r="N864" s="1" t="s">
        <v>10696</v>
      </c>
    </row>
    <row r="865" spans="1:14" s="1" customFormat="1" x14ac:dyDescent="0.35">
      <c r="A865" s="1" t="s">
        <v>4492</v>
      </c>
      <c r="B865" s="1" t="s">
        <v>3356</v>
      </c>
      <c r="C865" s="1" t="s">
        <v>3368</v>
      </c>
      <c r="D865" s="1" t="s">
        <v>10695</v>
      </c>
      <c r="E865" s="1" t="str">
        <f>"4310"</f>
        <v>4310</v>
      </c>
      <c r="F865" s="1" t="s">
        <v>3332</v>
      </c>
      <c r="G865" s="1" t="s">
        <v>3333</v>
      </c>
      <c r="H865" s="1" t="s">
        <v>15</v>
      </c>
      <c r="I865" s="1" t="str">
        <f>"1"</f>
        <v>1</v>
      </c>
      <c r="J865" s="3" t="str">
        <f>"75000"</f>
        <v>75000</v>
      </c>
      <c r="K865" s="4">
        <v>45996</v>
      </c>
      <c r="L865" s="4">
        <v>46044</v>
      </c>
      <c r="M865" s="1" t="s">
        <v>10694</v>
      </c>
      <c r="N865" s="1" t="s">
        <v>10679</v>
      </c>
    </row>
    <row r="866" spans="1:14" s="1" customFormat="1" x14ac:dyDescent="0.35">
      <c r="A866" s="1" t="s">
        <v>4492</v>
      </c>
      <c r="B866" s="1" t="s">
        <v>3356</v>
      </c>
      <c r="C866" s="1" t="s">
        <v>3368</v>
      </c>
      <c r="D866" s="1" t="s">
        <v>10693</v>
      </c>
      <c r="E866" s="1" t="str">
        <f>"2310"</f>
        <v>2310</v>
      </c>
      <c r="F866" s="1" t="str">
        <f>"010907741"</f>
        <v>010907741</v>
      </c>
      <c r="G866" s="1" t="s">
        <v>710</v>
      </c>
      <c r="H866" s="1" t="s">
        <v>15</v>
      </c>
      <c r="I866" s="1" t="str">
        <f>"1"</f>
        <v>1</v>
      </c>
      <c r="J866" s="3" t="str">
        <f>"30027"</f>
        <v>30027</v>
      </c>
      <c r="K866" s="4">
        <v>46039</v>
      </c>
      <c r="L866" s="4">
        <v>46055</v>
      </c>
      <c r="M866" s="1" t="s">
        <v>10692</v>
      </c>
      <c r="N866" s="1" t="s">
        <v>10679</v>
      </c>
    </row>
    <row r="867" spans="1:14" s="1" customFormat="1" x14ac:dyDescent="0.35">
      <c r="A867" s="1" t="s">
        <v>4492</v>
      </c>
      <c r="B867" s="1" t="s">
        <v>3356</v>
      </c>
      <c r="C867" s="1" t="s">
        <v>3368</v>
      </c>
      <c r="D867" s="1" t="s">
        <v>10691</v>
      </c>
      <c r="E867" s="1" t="str">
        <f>"2310"</f>
        <v>2310</v>
      </c>
      <c r="F867" s="1" t="str">
        <f>"010907741"</f>
        <v>010907741</v>
      </c>
      <c r="G867" s="1" t="s">
        <v>710</v>
      </c>
      <c r="H867" s="1" t="s">
        <v>15</v>
      </c>
      <c r="I867" s="1" t="str">
        <f>"1"</f>
        <v>1</v>
      </c>
      <c r="J867" s="3" t="str">
        <f>"30027"</f>
        <v>30027</v>
      </c>
      <c r="K867" s="4">
        <v>46039</v>
      </c>
      <c r="L867" s="4">
        <v>46055</v>
      </c>
      <c r="M867" s="1" t="s">
        <v>10690</v>
      </c>
      <c r="N867" s="1" t="s">
        <v>10679</v>
      </c>
    </row>
    <row r="868" spans="1:14" s="1" customFormat="1" x14ac:dyDescent="0.35">
      <c r="A868" s="1" t="s">
        <v>4492</v>
      </c>
      <c r="B868" s="1" t="s">
        <v>3356</v>
      </c>
      <c r="C868" s="1" t="s">
        <v>3368</v>
      </c>
      <c r="D868" s="1" t="s">
        <v>10689</v>
      </c>
      <c r="E868" s="1" t="str">
        <f>"2310"</f>
        <v>2310</v>
      </c>
      <c r="F868" s="1" t="str">
        <f>"010907741"</f>
        <v>010907741</v>
      </c>
      <c r="G868" s="1" t="s">
        <v>710</v>
      </c>
      <c r="H868" s="1" t="s">
        <v>15</v>
      </c>
      <c r="I868" s="1" t="str">
        <f>"1"</f>
        <v>1</v>
      </c>
      <c r="J868" s="3" t="str">
        <f>"30027"</f>
        <v>30027</v>
      </c>
      <c r="K868" s="4">
        <v>46039</v>
      </c>
      <c r="L868" s="4">
        <v>46071</v>
      </c>
      <c r="M868" s="1" t="s">
        <v>10688</v>
      </c>
      <c r="N868" s="1" t="s">
        <v>10679</v>
      </c>
    </row>
    <row r="869" spans="1:14" s="1" customFormat="1" x14ac:dyDescent="0.35">
      <c r="A869" s="1" t="s">
        <v>4492</v>
      </c>
      <c r="B869" s="1" t="s">
        <v>3356</v>
      </c>
      <c r="C869" s="1" t="s">
        <v>3368</v>
      </c>
      <c r="D869" s="1" t="s">
        <v>10687</v>
      </c>
      <c r="E869" s="1" t="str">
        <f>"2310"</f>
        <v>2310</v>
      </c>
      <c r="F869" s="1" t="str">
        <f>"010907741"</f>
        <v>010907741</v>
      </c>
      <c r="G869" s="1" t="s">
        <v>710</v>
      </c>
      <c r="H869" s="1" t="s">
        <v>15</v>
      </c>
      <c r="I869" s="1" t="str">
        <f>"1"</f>
        <v>1</v>
      </c>
      <c r="J869" s="3" t="str">
        <f>"30027"</f>
        <v>30027</v>
      </c>
      <c r="K869" s="4">
        <v>46039</v>
      </c>
      <c r="L869" s="4">
        <v>46071</v>
      </c>
      <c r="M869" s="1" t="s">
        <v>10686</v>
      </c>
      <c r="N869" s="1" t="s">
        <v>10679</v>
      </c>
    </row>
    <row r="870" spans="1:14" s="1" customFormat="1" x14ac:dyDescent="0.35">
      <c r="A870" s="1" t="s">
        <v>4492</v>
      </c>
      <c r="B870" s="1" t="s">
        <v>3356</v>
      </c>
      <c r="C870" s="1" t="s">
        <v>3368</v>
      </c>
      <c r="D870" s="1" t="s">
        <v>10685</v>
      </c>
      <c r="E870" s="1" t="str">
        <f>"2310"</f>
        <v>2310</v>
      </c>
      <c r="F870" s="1" t="str">
        <f>"010907741"</f>
        <v>010907741</v>
      </c>
      <c r="G870" s="1" t="s">
        <v>710</v>
      </c>
      <c r="H870" s="1" t="s">
        <v>15</v>
      </c>
      <c r="I870" s="1" t="str">
        <f>"1"</f>
        <v>1</v>
      </c>
      <c r="J870" s="3" t="str">
        <f>"30027"</f>
        <v>30027</v>
      </c>
      <c r="K870" s="4">
        <v>46039</v>
      </c>
      <c r="L870" s="4">
        <v>46055</v>
      </c>
      <c r="M870" s="1" t="s">
        <v>10684</v>
      </c>
      <c r="N870" s="1" t="s">
        <v>10679</v>
      </c>
    </row>
    <row r="871" spans="1:14" s="1" customFormat="1" x14ac:dyDescent="0.35">
      <c r="A871" s="1" t="s">
        <v>4492</v>
      </c>
      <c r="B871" s="1" t="s">
        <v>3356</v>
      </c>
      <c r="C871" s="1" t="s">
        <v>3368</v>
      </c>
      <c r="D871" s="1" t="s">
        <v>10683</v>
      </c>
      <c r="E871" s="1" t="str">
        <f>"2310"</f>
        <v>2310</v>
      </c>
      <c r="F871" s="1" t="str">
        <f>"010907741"</f>
        <v>010907741</v>
      </c>
      <c r="G871" s="1" t="s">
        <v>710</v>
      </c>
      <c r="H871" s="1" t="s">
        <v>15</v>
      </c>
      <c r="I871" s="1" t="str">
        <f>"1"</f>
        <v>1</v>
      </c>
      <c r="J871" s="3" t="str">
        <f>"30027"</f>
        <v>30027</v>
      </c>
      <c r="K871" s="4">
        <v>46039</v>
      </c>
      <c r="L871" s="4">
        <v>46055</v>
      </c>
      <c r="M871" s="1" t="s">
        <v>10682</v>
      </c>
      <c r="N871" s="1" t="s">
        <v>10679</v>
      </c>
    </row>
    <row r="872" spans="1:14" s="1" customFormat="1" x14ac:dyDescent="0.35">
      <c r="A872" s="1" t="s">
        <v>4492</v>
      </c>
      <c r="B872" s="1" t="s">
        <v>3356</v>
      </c>
      <c r="C872" s="1" t="s">
        <v>3368</v>
      </c>
      <c r="D872" s="1" t="s">
        <v>10681</v>
      </c>
      <c r="E872" s="1" t="str">
        <f>"2310"</f>
        <v>2310</v>
      </c>
      <c r="F872" s="1" t="str">
        <f>"010907741"</f>
        <v>010907741</v>
      </c>
      <c r="G872" s="1" t="s">
        <v>710</v>
      </c>
      <c r="H872" s="1" t="s">
        <v>15</v>
      </c>
      <c r="I872" s="1" t="str">
        <f>"1"</f>
        <v>1</v>
      </c>
      <c r="J872" s="3" t="str">
        <f>"30027"</f>
        <v>30027</v>
      </c>
      <c r="K872" s="4">
        <v>46039</v>
      </c>
      <c r="L872" s="4">
        <v>46055</v>
      </c>
      <c r="M872" s="1" t="s">
        <v>10680</v>
      </c>
      <c r="N872" s="1" t="s">
        <v>10679</v>
      </c>
    </row>
    <row r="873" spans="1:14" s="1" customFormat="1" x14ac:dyDescent="0.35">
      <c r="A873" s="1" t="s">
        <v>4492</v>
      </c>
      <c r="B873" s="1" t="s">
        <v>913</v>
      </c>
      <c r="C873" s="1" t="s">
        <v>10669</v>
      </c>
      <c r="D873" s="1" t="s">
        <v>10678</v>
      </c>
      <c r="E873" s="1" t="str">
        <f>"2330"</f>
        <v>2330</v>
      </c>
      <c r="F873" s="1" t="s">
        <v>104</v>
      </c>
      <c r="G873" s="1" t="s">
        <v>105</v>
      </c>
      <c r="H873" s="1" t="s">
        <v>15</v>
      </c>
      <c r="I873" s="1" t="str">
        <f>"1"</f>
        <v>1</v>
      </c>
      <c r="J873" s="3" t="str">
        <f>"65000"</f>
        <v>65000</v>
      </c>
      <c r="K873" s="4">
        <v>45974</v>
      </c>
      <c r="L873" s="4">
        <v>46037</v>
      </c>
      <c r="M873" s="1" t="s">
        <v>10677</v>
      </c>
      <c r="N873" s="1" t="s">
        <v>10676</v>
      </c>
    </row>
    <row r="874" spans="1:14" s="1" customFormat="1" x14ac:dyDescent="0.35">
      <c r="A874" s="1" t="s">
        <v>4492</v>
      </c>
      <c r="B874" s="1" t="s">
        <v>913</v>
      </c>
      <c r="C874" s="1" t="s">
        <v>10669</v>
      </c>
      <c r="D874" s="1" t="s">
        <v>10675</v>
      </c>
      <c r="E874" s="1" t="str">
        <f>"2330"</f>
        <v>2330</v>
      </c>
      <c r="F874" s="1" t="str">
        <f>"017058894"</f>
        <v>017058894</v>
      </c>
      <c r="G874" s="1" t="s">
        <v>3511</v>
      </c>
      <c r="H874" s="1" t="s">
        <v>15</v>
      </c>
      <c r="I874" s="1" t="str">
        <f>"1"</f>
        <v>1</v>
      </c>
      <c r="J874" s="3" t="str">
        <f>"110064"</f>
        <v>110064</v>
      </c>
      <c r="K874" s="4">
        <v>46006</v>
      </c>
      <c r="L874" s="4">
        <v>46030</v>
      </c>
      <c r="M874" s="1" t="s">
        <v>10674</v>
      </c>
      <c r="N874" s="1" t="s">
        <v>10673</v>
      </c>
    </row>
    <row r="875" spans="1:14" s="1" customFormat="1" x14ac:dyDescent="0.35">
      <c r="A875" s="1" t="s">
        <v>4492</v>
      </c>
      <c r="B875" s="1" t="s">
        <v>913</v>
      </c>
      <c r="C875" s="1" t="s">
        <v>10669</v>
      </c>
      <c r="D875" s="1" t="s">
        <v>10672</v>
      </c>
      <c r="E875" s="1" t="str">
        <f>"3805"</f>
        <v>3805</v>
      </c>
      <c r="F875" s="1" t="str">
        <f>"010751816"</f>
        <v>010751816</v>
      </c>
      <c r="G875" s="1" t="s">
        <v>420</v>
      </c>
      <c r="H875" s="1" t="s">
        <v>15</v>
      </c>
      <c r="I875" s="1" t="str">
        <f>"1"</f>
        <v>1</v>
      </c>
      <c r="J875" s="3" t="str">
        <f>"554434"</f>
        <v>554434</v>
      </c>
      <c r="K875" s="4">
        <v>46006</v>
      </c>
      <c r="L875" s="4">
        <v>46035</v>
      </c>
      <c r="M875" s="1" t="s">
        <v>10671</v>
      </c>
      <c r="N875" s="1" t="s">
        <v>10670</v>
      </c>
    </row>
    <row r="876" spans="1:14" s="1" customFormat="1" x14ac:dyDescent="0.35">
      <c r="A876" s="1" t="s">
        <v>4492</v>
      </c>
      <c r="B876" s="1" t="s">
        <v>913</v>
      </c>
      <c r="C876" s="1" t="s">
        <v>10669</v>
      </c>
      <c r="D876" s="1" t="s">
        <v>10668</v>
      </c>
      <c r="E876" s="1" t="str">
        <f>"2330"</f>
        <v>2330</v>
      </c>
      <c r="F876" s="1" t="str">
        <f>"016325212"</f>
        <v>016325212</v>
      </c>
      <c r="G876" s="1" t="s">
        <v>1526</v>
      </c>
      <c r="H876" s="1" t="s">
        <v>15</v>
      </c>
      <c r="I876" s="1" t="str">
        <f>"1"</f>
        <v>1</v>
      </c>
      <c r="J876" s="3" t="str">
        <f>"80427"</f>
        <v>80427</v>
      </c>
      <c r="K876" s="4">
        <v>46007</v>
      </c>
      <c r="L876" s="4">
        <v>46035</v>
      </c>
      <c r="M876" s="1" t="s">
        <v>10667</v>
      </c>
      <c r="N876" s="1" t="s">
        <v>10666</v>
      </c>
    </row>
    <row r="877" spans="1:14" s="1" customFormat="1" x14ac:dyDescent="0.35">
      <c r="A877" s="1" t="s">
        <v>4492</v>
      </c>
      <c r="B877" s="1" t="s">
        <v>4381</v>
      </c>
      <c r="C877" s="1" t="s">
        <v>10665</v>
      </c>
      <c r="D877" s="1" t="s">
        <v>10664</v>
      </c>
      <c r="E877" s="1" t="str">
        <f>"2310"</f>
        <v>2310</v>
      </c>
      <c r="F877" s="1" t="str">
        <f>"014998019"</f>
        <v>014998019</v>
      </c>
      <c r="G877" s="1" t="s">
        <v>4671</v>
      </c>
      <c r="H877" s="1" t="s">
        <v>15</v>
      </c>
      <c r="I877" s="1" t="str">
        <f>"1"</f>
        <v>1</v>
      </c>
      <c r="J877" s="3" t="str">
        <f>"165000"</f>
        <v>165000</v>
      </c>
      <c r="K877" s="4">
        <v>46071</v>
      </c>
      <c r="L877" s="4">
        <v>46072</v>
      </c>
      <c r="M877" s="1" t="s">
        <v>4524</v>
      </c>
      <c r="N877" s="1" t="s">
        <v>10663</v>
      </c>
    </row>
    <row r="878" spans="1:14" s="1" customFormat="1" x14ac:dyDescent="0.35">
      <c r="A878" s="1" t="s">
        <v>4492</v>
      </c>
      <c r="B878" s="1" t="s">
        <v>2630</v>
      </c>
      <c r="C878" s="1" t="s">
        <v>10653</v>
      </c>
      <c r="D878" s="1" t="s">
        <v>10662</v>
      </c>
      <c r="E878" s="1" t="str">
        <f>"5855"</f>
        <v>5855</v>
      </c>
      <c r="F878" s="1" t="str">
        <f>"015356166"</f>
        <v>015356166</v>
      </c>
      <c r="G878" s="1" t="s">
        <v>742</v>
      </c>
      <c r="H878" s="1" t="s">
        <v>15</v>
      </c>
      <c r="I878" s="1" t="str">
        <f>"10"</f>
        <v>10</v>
      </c>
      <c r="J878" s="3" t="str">
        <f>"898"</f>
        <v>898</v>
      </c>
      <c r="K878" s="4">
        <v>46020</v>
      </c>
      <c r="L878" s="4">
        <v>46029</v>
      </c>
      <c r="M878" s="1" t="s">
        <v>10661</v>
      </c>
      <c r="N878" s="1" t="s">
        <v>10660</v>
      </c>
    </row>
    <row r="879" spans="1:14" s="1" customFormat="1" x14ac:dyDescent="0.35">
      <c r="A879" s="1" t="s">
        <v>4492</v>
      </c>
      <c r="B879" s="1" t="s">
        <v>2630</v>
      </c>
      <c r="C879" s="1" t="s">
        <v>10653</v>
      </c>
      <c r="D879" s="1" t="s">
        <v>10659</v>
      </c>
      <c r="E879" s="1" t="str">
        <f>"5855"</f>
        <v>5855</v>
      </c>
      <c r="F879" s="1" t="str">
        <f>"015345931"</f>
        <v>015345931</v>
      </c>
      <c r="G879" s="1" t="s">
        <v>742</v>
      </c>
      <c r="H879" s="1" t="s">
        <v>15</v>
      </c>
      <c r="I879" s="1" t="str">
        <f>"40"</f>
        <v>40</v>
      </c>
      <c r="J879" s="3" t="str">
        <f>"1040"</f>
        <v>1040</v>
      </c>
      <c r="K879" s="4">
        <v>46036</v>
      </c>
      <c r="L879" s="4">
        <v>46038</v>
      </c>
      <c r="M879" s="1" t="s">
        <v>10658</v>
      </c>
      <c r="N879" s="1" t="s">
        <v>10657</v>
      </c>
    </row>
    <row r="880" spans="1:14" s="1" customFormat="1" x14ac:dyDescent="0.35">
      <c r="A880" s="1" t="s">
        <v>4492</v>
      </c>
      <c r="B880" s="1" t="s">
        <v>2630</v>
      </c>
      <c r="C880" s="1" t="s">
        <v>10653</v>
      </c>
      <c r="D880" s="1" t="s">
        <v>10656</v>
      </c>
      <c r="E880" s="1" t="str">
        <f>"5855"</f>
        <v>5855</v>
      </c>
      <c r="F880" s="1" t="str">
        <f>"015345931"</f>
        <v>015345931</v>
      </c>
      <c r="G880" s="1" t="s">
        <v>742</v>
      </c>
      <c r="H880" s="1" t="s">
        <v>15</v>
      </c>
      <c r="I880" s="1" t="str">
        <f>"40"</f>
        <v>40</v>
      </c>
      <c r="J880" s="3" t="str">
        <f>"1040"</f>
        <v>1040</v>
      </c>
      <c r="K880" s="4">
        <v>46044</v>
      </c>
      <c r="L880" s="4">
        <v>46045</v>
      </c>
      <c r="M880" s="1" t="s">
        <v>10655</v>
      </c>
      <c r="N880" s="1" t="s">
        <v>10654</v>
      </c>
    </row>
    <row r="881" spans="1:14" s="1" customFormat="1" x14ac:dyDescent="0.35">
      <c r="A881" s="1" t="s">
        <v>4492</v>
      </c>
      <c r="B881" s="1" t="s">
        <v>2630</v>
      </c>
      <c r="C881" s="1" t="s">
        <v>10653</v>
      </c>
      <c r="D881" s="1" t="s">
        <v>10652</v>
      </c>
      <c r="E881" s="1" t="str">
        <f>"5855"</f>
        <v>5855</v>
      </c>
      <c r="F881" s="1" t="str">
        <f>"015356166"</f>
        <v>015356166</v>
      </c>
      <c r="G881" s="1" t="s">
        <v>742</v>
      </c>
      <c r="H881" s="1" t="s">
        <v>15</v>
      </c>
      <c r="I881" s="1" t="str">
        <f>"3"</f>
        <v>3</v>
      </c>
      <c r="J881" s="3" t="str">
        <f>"898"</f>
        <v>898</v>
      </c>
      <c r="K881" s="4">
        <v>46057</v>
      </c>
      <c r="L881" s="4">
        <v>46059</v>
      </c>
      <c r="M881" s="1" t="s">
        <v>4524</v>
      </c>
      <c r="N881" s="1" t="s">
        <v>10651</v>
      </c>
    </row>
    <row r="882" spans="1:14" s="1" customFormat="1" x14ac:dyDescent="0.35">
      <c r="A882" s="1" t="s">
        <v>4492</v>
      </c>
      <c r="B882" s="1" t="s">
        <v>1303</v>
      </c>
      <c r="C882" s="1" t="s">
        <v>10636</v>
      </c>
      <c r="D882" s="1" t="s">
        <v>10650</v>
      </c>
      <c r="E882" s="1" t="str">
        <f>"1095"</f>
        <v>1095</v>
      </c>
      <c r="F882" s="1" t="str">
        <f>"015652809"</f>
        <v>015652809</v>
      </c>
      <c r="G882" s="1" t="s">
        <v>1102</v>
      </c>
      <c r="H882" s="1" t="s">
        <v>15</v>
      </c>
      <c r="I882" s="1" t="str">
        <f>"1"</f>
        <v>1</v>
      </c>
      <c r="J882" s="3">
        <v>971.5</v>
      </c>
      <c r="K882" s="4">
        <v>46014</v>
      </c>
      <c r="L882" s="4">
        <v>46071</v>
      </c>
      <c r="M882" s="1" t="s">
        <v>10649</v>
      </c>
      <c r="N882" s="1" t="s">
        <v>10648</v>
      </c>
    </row>
    <row r="883" spans="1:14" s="1" customFormat="1" x14ac:dyDescent="0.35">
      <c r="A883" s="1" t="s">
        <v>4492</v>
      </c>
      <c r="B883" s="1" t="s">
        <v>1303</v>
      </c>
      <c r="C883" s="1" t="s">
        <v>10636</v>
      </c>
      <c r="D883" s="1" t="s">
        <v>10647</v>
      </c>
      <c r="E883" s="1" t="str">
        <f>"5855"</f>
        <v>5855</v>
      </c>
      <c r="F883" s="1" t="str">
        <f>"015485687"</f>
        <v>015485687</v>
      </c>
      <c r="G883" s="1" t="s">
        <v>798</v>
      </c>
      <c r="H883" s="1" t="s">
        <v>15</v>
      </c>
      <c r="I883" s="1" t="str">
        <f>"2"</f>
        <v>2</v>
      </c>
      <c r="J883" s="3" t="str">
        <f>"10402"</f>
        <v>10402</v>
      </c>
      <c r="K883" s="4">
        <v>46044</v>
      </c>
      <c r="L883" s="4">
        <v>46111</v>
      </c>
      <c r="M883" s="1" t="s">
        <v>10646</v>
      </c>
      <c r="N883" s="1" t="s">
        <v>10645</v>
      </c>
    </row>
    <row r="884" spans="1:14" s="1" customFormat="1" x14ac:dyDescent="0.35">
      <c r="A884" s="1" t="s">
        <v>4492</v>
      </c>
      <c r="B884" s="1" t="s">
        <v>1303</v>
      </c>
      <c r="C884" s="1" t="s">
        <v>10636</v>
      </c>
      <c r="D884" s="1" t="s">
        <v>10644</v>
      </c>
      <c r="E884" s="1" t="str">
        <f>"4240"</f>
        <v>4240</v>
      </c>
      <c r="F884" s="1" t="s">
        <v>372</v>
      </c>
      <c r="G884" s="1" t="s">
        <v>373</v>
      </c>
      <c r="H884" s="1" t="s">
        <v>15</v>
      </c>
      <c r="I884" s="1" t="str">
        <f>"1"</f>
        <v>1</v>
      </c>
      <c r="J884" s="3">
        <v>262.58999999999997</v>
      </c>
      <c r="K884" s="4">
        <v>46047</v>
      </c>
      <c r="L884" s="4">
        <v>46049</v>
      </c>
      <c r="M884" s="1" t="s">
        <v>10643</v>
      </c>
      <c r="N884" s="1" t="s">
        <v>10642</v>
      </c>
    </row>
    <row r="885" spans="1:14" s="1" customFormat="1" x14ac:dyDescent="0.35">
      <c r="A885" s="1" t="s">
        <v>4492</v>
      </c>
      <c r="B885" s="1" t="s">
        <v>1303</v>
      </c>
      <c r="C885" s="1" t="s">
        <v>10636</v>
      </c>
      <c r="D885" s="1" t="s">
        <v>10641</v>
      </c>
      <c r="E885" s="1" t="str">
        <f>"5855"</f>
        <v>5855</v>
      </c>
      <c r="F885" s="1" t="str">
        <f>"015096871"</f>
        <v>015096871</v>
      </c>
      <c r="G885" s="1" t="s">
        <v>7641</v>
      </c>
      <c r="H885" s="1" t="s">
        <v>15</v>
      </c>
      <c r="I885" s="1" t="str">
        <f>"1"</f>
        <v>1</v>
      </c>
      <c r="J885" s="3" t="str">
        <f>"15264"</f>
        <v>15264</v>
      </c>
      <c r="K885" s="4">
        <v>46050</v>
      </c>
      <c r="L885" s="4">
        <v>46055</v>
      </c>
      <c r="M885" s="1" t="s">
        <v>10640</v>
      </c>
      <c r="N885" s="1" t="s">
        <v>10639</v>
      </c>
    </row>
    <row r="886" spans="1:14" s="1" customFormat="1" x14ac:dyDescent="0.35">
      <c r="A886" s="1" t="s">
        <v>4492</v>
      </c>
      <c r="B886" s="1" t="s">
        <v>1303</v>
      </c>
      <c r="C886" s="1" t="s">
        <v>10636</v>
      </c>
      <c r="D886" s="1" t="s">
        <v>10638</v>
      </c>
      <c r="E886" s="1" t="str">
        <f>"5855"</f>
        <v>5855</v>
      </c>
      <c r="F886" s="1" t="str">
        <f>"014778738"</f>
        <v>014778738</v>
      </c>
      <c r="G886" s="1" t="s">
        <v>614</v>
      </c>
      <c r="H886" s="1" t="s">
        <v>15</v>
      </c>
      <c r="I886" s="1" t="str">
        <f>"1"</f>
        <v>1</v>
      </c>
      <c r="J886" s="3" t="str">
        <f>"7481"</f>
        <v>7481</v>
      </c>
      <c r="K886" s="4">
        <v>46046</v>
      </c>
      <c r="L886" s="4">
        <v>46055</v>
      </c>
      <c r="M886" s="1" t="s">
        <v>10637</v>
      </c>
      <c r="N886" s="1" t="s">
        <v>10634</v>
      </c>
    </row>
    <row r="887" spans="1:14" s="1" customFormat="1" x14ac:dyDescent="0.35">
      <c r="A887" s="1" t="s">
        <v>4492</v>
      </c>
      <c r="B887" s="1" t="s">
        <v>1303</v>
      </c>
      <c r="C887" s="1" t="s">
        <v>10636</v>
      </c>
      <c r="D887" s="1" t="s">
        <v>10635</v>
      </c>
      <c r="E887" s="1" t="str">
        <f>"5855"</f>
        <v>5855</v>
      </c>
      <c r="F887" s="1" t="str">
        <f>"014778738"</f>
        <v>014778738</v>
      </c>
      <c r="G887" s="1" t="s">
        <v>614</v>
      </c>
      <c r="H887" s="1" t="s">
        <v>15</v>
      </c>
      <c r="I887" s="1" t="str">
        <f>"1"</f>
        <v>1</v>
      </c>
      <c r="J887" s="3" t="str">
        <f>"7481"</f>
        <v>7481</v>
      </c>
      <c r="K887" s="4">
        <v>46046</v>
      </c>
      <c r="L887" s="4">
        <v>46047</v>
      </c>
      <c r="M887" s="1" t="s">
        <v>4524</v>
      </c>
      <c r="N887" s="1" t="s">
        <v>10634</v>
      </c>
    </row>
    <row r="888" spans="1:14" s="1" customFormat="1" x14ac:dyDescent="0.35">
      <c r="A888" s="1" t="s">
        <v>4492</v>
      </c>
      <c r="B888" s="1" t="s">
        <v>1989</v>
      </c>
      <c r="C888" s="1" t="s">
        <v>10630</v>
      </c>
      <c r="D888" s="1" t="s">
        <v>10633</v>
      </c>
      <c r="E888" s="1" t="str">
        <f>"5855"</f>
        <v>5855</v>
      </c>
      <c r="F888" s="1" t="str">
        <f>"015485687"</f>
        <v>015485687</v>
      </c>
      <c r="G888" s="1" t="s">
        <v>798</v>
      </c>
      <c r="H888" s="1" t="s">
        <v>15</v>
      </c>
      <c r="I888" s="1" t="str">
        <f>"70"</f>
        <v>70</v>
      </c>
      <c r="J888" s="3" t="str">
        <f>"10402"</f>
        <v>10402</v>
      </c>
      <c r="K888" s="4">
        <v>46086</v>
      </c>
      <c r="L888" s="4">
        <v>46088</v>
      </c>
      <c r="M888" s="1" t="s">
        <v>10632</v>
      </c>
      <c r="N888" s="1" t="s">
        <v>10627</v>
      </c>
    </row>
    <row r="889" spans="1:14" s="1" customFormat="1" x14ac:dyDescent="0.35">
      <c r="A889" s="1" t="s">
        <v>4492</v>
      </c>
      <c r="B889" s="1" t="s">
        <v>1989</v>
      </c>
      <c r="C889" s="1" t="s">
        <v>10630</v>
      </c>
      <c r="D889" s="1" t="s">
        <v>10631</v>
      </c>
      <c r="E889" s="1" t="str">
        <f>"5855"</f>
        <v>5855</v>
      </c>
      <c r="F889" s="1" t="str">
        <f>"015847217"</f>
        <v>015847217</v>
      </c>
      <c r="G889" s="1" t="s">
        <v>614</v>
      </c>
      <c r="H889" s="1" t="s">
        <v>15</v>
      </c>
      <c r="I889" s="1" t="str">
        <f>"5"</f>
        <v>5</v>
      </c>
      <c r="J889" s="3" t="str">
        <f>"34084"</f>
        <v>34084</v>
      </c>
      <c r="K889" s="4">
        <v>46097</v>
      </c>
      <c r="L889" s="4">
        <v>46097</v>
      </c>
      <c r="N889" s="1" t="s">
        <v>10627</v>
      </c>
    </row>
    <row r="890" spans="1:14" s="1" customFormat="1" x14ac:dyDescent="0.35">
      <c r="A890" s="1" t="s">
        <v>4492</v>
      </c>
      <c r="B890" s="1" t="s">
        <v>1989</v>
      </c>
      <c r="C890" s="1" t="s">
        <v>10630</v>
      </c>
      <c r="D890" s="1" t="s">
        <v>10629</v>
      </c>
      <c r="E890" s="1" t="str">
        <f>"5855"</f>
        <v>5855</v>
      </c>
      <c r="F890" s="1" t="str">
        <f>"015485687"</f>
        <v>015485687</v>
      </c>
      <c r="G890" s="1" t="s">
        <v>798</v>
      </c>
      <c r="H890" s="1" t="s">
        <v>15</v>
      </c>
      <c r="I890" s="1" t="str">
        <f>"50"</f>
        <v>50</v>
      </c>
      <c r="J890" s="3" t="str">
        <f>"10402"</f>
        <v>10402</v>
      </c>
      <c r="K890" s="4">
        <v>46097</v>
      </c>
      <c r="L890" s="4">
        <v>46111</v>
      </c>
      <c r="M890" s="1" t="s">
        <v>10628</v>
      </c>
      <c r="N890" s="1" t="s">
        <v>10627</v>
      </c>
    </row>
    <row r="891" spans="1:14" s="1" customFormat="1" x14ac:dyDescent="0.35">
      <c r="A891" s="1" t="s">
        <v>4492</v>
      </c>
      <c r="B891" s="1" t="s">
        <v>1989</v>
      </c>
      <c r="C891" s="1" t="s">
        <v>10626</v>
      </c>
      <c r="D891" s="1" t="s">
        <v>10625</v>
      </c>
      <c r="E891" s="1" t="str">
        <f>"5855"</f>
        <v>5855</v>
      </c>
      <c r="F891" s="1" t="str">
        <f>"015847217"</f>
        <v>015847217</v>
      </c>
      <c r="G891" s="1" t="s">
        <v>614</v>
      </c>
      <c r="H891" s="1" t="s">
        <v>15</v>
      </c>
      <c r="I891" s="1" t="str">
        <f>"12"</f>
        <v>12</v>
      </c>
      <c r="J891" s="3" t="str">
        <f>"34084"</f>
        <v>34084</v>
      </c>
      <c r="K891" s="4">
        <v>46070</v>
      </c>
      <c r="L891" s="4">
        <v>46070</v>
      </c>
      <c r="N891" s="1" t="s">
        <v>10624</v>
      </c>
    </row>
    <row r="892" spans="1:14" s="1" customFormat="1" x14ac:dyDescent="0.35">
      <c r="A892" s="1" t="s">
        <v>4492</v>
      </c>
      <c r="B892" s="1" t="s">
        <v>1013</v>
      </c>
      <c r="C892" s="1" t="s">
        <v>1014</v>
      </c>
      <c r="D892" s="1" t="s">
        <v>10623</v>
      </c>
      <c r="E892" s="1" t="str">
        <f>"2320"</f>
        <v>2320</v>
      </c>
      <c r="F892" s="1" t="s">
        <v>100</v>
      </c>
      <c r="G892" s="1" t="s">
        <v>101</v>
      </c>
      <c r="H892" s="1" t="s">
        <v>15</v>
      </c>
      <c r="I892" s="1" t="str">
        <f>"1"</f>
        <v>1</v>
      </c>
      <c r="J892" s="3" t="str">
        <f>"25000"</f>
        <v>25000</v>
      </c>
      <c r="K892" s="4">
        <v>46003</v>
      </c>
      <c r="L892" s="4">
        <v>46044</v>
      </c>
      <c r="M892" s="1" t="s">
        <v>10622</v>
      </c>
      <c r="N892" s="1" t="s">
        <v>10621</v>
      </c>
    </row>
    <row r="893" spans="1:14" s="1" customFormat="1" x14ac:dyDescent="0.35">
      <c r="A893" s="1" t="s">
        <v>4492</v>
      </c>
      <c r="B893" s="1" t="s">
        <v>1013</v>
      </c>
      <c r="C893" s="1" t="s">
        <v>1014</v>
      </c>
      <c r="D893" s="1" t="s">
        <v>10620</v>
      </c>
      <c r="E893" s="1" t="str">
        <f>"8150"</f>
        <v>8150</v>
      </c>
      <c r="F893" s="1" t="s">
        <v>944</v>
      </c>
      <c r="G893" s="1" t="s">
        <v>945</v>
      </c>
      <c r="H893" s="1" t="s">
        <v>15</v>
      </c>
      <c r="I893" s="1" t="str">
        <f>"1"</f>
        <v>1</v>
      </c>
      <c r="J893" s="3" t="str">
        <f>"1000"</f>
        <v>1000</v>
      </c>
      <c r="K893" s="4">
        <v>45999</v>
      </c>
      <c r="L893" s="4">
        <v>46029</v>
      </c>
      <c r="M893" s="1" t="s">
        <v>10619</v>
      </c>
      <c r="N893" s="1" t="s">
        <v>10618</v>
      </c>
    </row>
    <row r="894" spans="1:14" s="1" customFormat="1" x14ac:dyDescent="0.35">
      <c r="A894" s="1" t="s">
        <v>4492</v>
      </c>
      <c r="B894" s="1" t="s">
        <v>1013</v>
      </c>
      <c r="C894" s="1" t="s">
        <v>1014</v>
      </c>
      <c r="D894" s="1" t="s">
        <v>10617</v>
      </c>
      <c r="E894" s="1" t="str">
        <f>"3930"</f>
        <v>3930</v>
      </c>
      <c r="F894" s="1" t="s">
        <v>95</v>
      </c>
      <c r="G894" s="1" t="s">
        <v>96</v>
      </c>
      <c r="H894" s="1" t="s">
        <v>15</v>
      </c>
      <c r="I894" s="1" t="str">
        <f>"1"</f>
        <v>1</v>
      </c>
      <c r="J894" s="3" t="str">
        <f>"246442"</f>
        <v>246442</v>
      </c>
      <c r="K894" s="4">
        <v>46020</v>
      </c>
      <c r="L894" s="4">
        <v>46029</v>
      </c>
      <c r="M894" s="1" t="s">
        <v>10616</v>
      </c>
      <c r="N894" s="1" t="s">
        <v>10615</v>
      </c>
    </row>
    <row r="895" spans="1:14" s="1" customFormat="1" x14ac:dyDescent="0.35">
      <c r="A895" s="1" t="s">
        <v>4492</v>
      </c>
      <c r="B895" s="1" t="s">
        <v>1013</v>
      </c>
      <c r="C895" s="1" t="s">
        <v>1014</v>
      </c>
      <c r="D895" s="1" t="s">
        <v>10614</v>
      </c>
      <c r="E895" s="1" t="str">
        <f>"2320"</f>
        <v>2320</v>
      </c>
      <c r="F895" s="1" t="s">
        <v>100</v>
      </c>
      <c r="G895" s="1" t="s">
        <v>101</v>
      </c>
      <c r="H895" s="1" t="s">
        <v>15</v>
      </c>
      <c r="I895" s="1" t="str">
        <f>"1"</f>
        <v>1</v>
      </c>
      <c r="J895" s="3" t="str">
        <f>"81925"</f>
        <v>81925</v>
      </c>
      <c r="K895" s="4">
        <v>46031</v>
      </c>
      <c r="L895" s="4">
        <v>46032</v>
      </c>
      <c r="M895" s="1" t="s">
        <v>10613</v>
      </c>
      <c r="N895" s="1" t="s">
        <v>10601</v>
      </c>
    </row>
    <row r="896" spans="1:14" s="1" customFormat="1" x14ac:dyDescent="0.35">
      <c r="A896" s="1" t="s">
        <v>4492</v>
      </c>
      <c r="B896" s="1" t="s">
        <v>1013</v>
      </c>
      <c r="C896" s="1" t="s">
        <v>1014</v>
      </c>
      <c r="D896" s="1" t="s">
        <v>10612</v>
      </c>
      <c r="E896" s="1" t="str">
        <f>"2330"</f>
        <v>2330</v>
      </c>
      <c r="F896" s="1" t="s">
        <v>104</v>
      </c>
      <c r="G896" s="1" t="s">
        <v>105</v>
      </c>
      <c r="H896" s="1" t="s">
        <v>15</v>
      </c>
      <c r="I896" s="1" t="str">
        <f>"1"</f>
        <v>1</v>
      </c>
      <c r="J896" s="3" t="str">
        <f>"71943"</f>
        <v>71943</v>
      </c>
      <c r="K896" s="4">
        <v>46029</v>
      </c>
      <c r="L896" s="4">
        <v>46029</v>
      </c>
      <c r="M896" s="1" t="s">
        <v>10611</v>
      </c>
      <c r="N896" s="1" t="s">
        <v>10610</v>
      </c>
    </row>
    <row r="897" spans="1:14" s="1" customFormat="1" x14ac:dyDescent="0.35">
      <c r="A897" s="1" t="s">
        <v>4492</v>
      </c>
      <c r="B897" s="1" t="s">
        <v>1013</v>
      </c>
      <c r="C897" s="1" t="s">
        <v>1014</v>
      </c>
      <c r="D897" s="1" t="s">
        <v>10609</v>
      </c>
      <c r="E897" s="1" t="str">
        <f>"3805"</f>
        <v>3805</v>
      </c>
      <c r="F897" s="1" t="s">
        <v>1020</v>
      </c>
      <c r="G897" s="1" t="s">
        <v>1021</v>
      </c>
      <c r="H897" s="1" t="s">
        <v>15</v>
      </c>
      <c r="I897" s="1" t="str">
        <f>"1"</f>
        <v>1</v>
      </c>
      <c r="J897" s="3" t="str">
        <f>"7500"</f>
        <v>7500</v>
      </c>
      <c r="K897" s="4">
        <v>46030</v>
      </c>
      <c r="L897" s="4">
        <v>46039</v>
      </c>
      <c r="M897" s="1" t="s">
        <v>10608</v>
      </c>
      <c r="N897" s="1" t="s">
        <v>10607</v>
      </c>
    </row>
    <row r="898" spans="1:14" s="1" customFormat="1" x14ac:dyDescent="0.35">
      <c r="A898" s="1" t="s">
        <v>4492</v>
      </c>
      <c r="B898" s="1" t="s">
        <v>1013</v>
      </c>
      <c r="C898" s="1" t="s">
        <v>1014</v>
      </c>
      <c r="D898" s="1" t="s">
        <v>10606</v>
      </c>
      <c r="E898" s="1" t="str">
        <f>"3930"</f>
        <v>3930</v>
      </c>
      <c r="F898" s="1" t="s">
        <v>95</v>
      </c>
      <c r="G898" s="1" t="s">
        <v>96</v>
      </c>
      <c r="H898" s="1" t="s">
        <v>15</v>
      </c>
      <c r="I898" s="1" t="str">
        <f>"1"</f>
        <v>1</v>
      </c>
      <c r="J898" s="3" t="str">
        <f>"8000"</f>
        <v>8000</v>
      </c>
      <c r="K898" s="4">
        <v>46030</v>
      </c>
      <c r="L898" s="4">
        <v>46037</v>
      </c>
      <c r="M898" s="1" t="s">
        <v>10605</v>
      </c>
      <c r="N898" s="1" t="s">
        <v>10604</v>
      </c>
    </row>
    <row r="899" spans="1:14" s="1" customFormat="1" x14ac:dyDescent="0.35">
      <c r="A899" s="1" t="s">
        <v>4492</v>
      </c>
      <c r="B899" s="1" t="s">
        <v>1013</v>
      </c>
      <c r="C899" s="1" t="s">
        <v>1014</v>
      </c>
      <c r="D899" s="1" t="s">
        <v>10603</v>
      </c>
      <c r="E899" s="1" t="str">
        <f>"2320"</f>
        <v>2320</v>
      </c>
      <c r="F899" s="1" t="str">
        <f>"013455182"</f>
        <v>013455182</v>
      </c>
      <c r="G899" s="1" t="s">
        <v>394</v>
      </c>
      <c r="H899" s="1" t="s">
        <v>15</v>
      </c>
      <c r="I899" s="1" t="str">
        <f>"1"</f>
        <v>1</v>
      </c>
      <c r="J899" s="3">
        <v>49520.89</v>
      </c>
      <c r="K899" s="4">
        <v>46031</v>
      </c>
      <c r="L899" s="4">
        <v>46032</v>
      </c>
      <c r="M899" s="1" t="s">
        <v>10602</v>
      </c>
      <c r="N899" s="1" t="s">
        <v>10601</v>
      </c>
    </row>
    <row r="900" spans="1:14" s="1" customFormat="1" x14ac:dyDescent="0.35">
      <c r="A900" s="1" t="s">
        <v>4492</v>
      </c>
      <c r="B900" s="1" t="s">
        <v>1013</v>
      </c>
      <c r="C900" s="1" t="s">
        <v>1014</v>
      </c>
      <c r="D900" s="1" t="s">
        <v>10600</v>
      </c>
      <c r="E900" s="1" t="str">
        <f>"2330"</f>
        <v>2330</v>
      </c>
      <c r="F900" s="1" t="str">
        <f>"017058894"</f>
        <v>017058894</v>
      </c>
      <c r="G900" s="1" t="s">
        <v>3511</v>
      </c>
      <c r="H900" s="1" t="s">
        <v>15</v>
      </c>
      <c r="I900" s="1" t="str">
        <f>"1"</f>
        <v>1</v>
      </c>
      <c r="J900" s="3" t="str">
        <f>"110064"</f>
        <v>110064</v>
      </c>
      <c r="K900" s="4">
        <v>46034</v>
      </c>
      <c r="L900" s="4">
        <v>46046</v>
      </c>
      <c r="M900" s="1" t="s">
        <v>10599</v>
      </c>
      <c r="N900" s="1" t="s">
        <v>10598</v>
      </c>
    </row>
    <row r="901" spans="1:14" s="1" customFormat="1" x14ac:dyDescent="0.35">
      <c r="A901" s="1" t="s">
        <v>4492</v>
      </c>
      <c r="B901" s="1" t="s">
        <v>1013</v>
      </c>
      <c r="C901" s="1" t="s">
        <v>1014</v>
      </c>
      <c r="D901" s="1" t="s">
        <v>10597</v>
      </c>
      <c r="E901" s="1" t="str">
        <f>"7110"</f>
        <v>7110</v>
      </c>
      <c r="F901" s="1" t="s">
        <v>4706</v>
      </c>
      <c r="G901" s="1" t="s">
        <v>4705</v>
      </c>
      <c r="H901" s="1" t="s">
        <v>15</v>
      </c>
      <c r="I901" s="1" t="str">
        <f>"3"</f>
        <v>3</v>
      </c>
      <c r="J901" s="3" t="str">
        <f>"250"</f>
        <v>250</v>
      </c>
      <c r="K901" s="4">
        <v>46036</v>
      </c>
      <c r="L901" s="4">
        <v>46037</v>
      </c>
      <c r="M901" s="1" t="s">
        <v>10596</v>
      </c>
      <c r="N901" s="1" t="s">
        <v>10595</v>
      </c>
    </row>
    <row r="902" spans="1:14" s="1" customFormat="1" x14ac:dyDescent="0.35">
      <c r="A902" s="1" t="s">
        <v>4492</v>
      </c>
      <c r="B902" s="1" t="s">
        <v>1013</v>
      </c>
      <c r="C902" s="1" t="s">
        <v>1014</v>
      </c>
      <c r="D902" s="1" t="s">
        <v>10594</v>
      </c>
      <c r="E902" s="1" t="str">
        <f>"7110"</f>
        <v>7110</v>
      </c>
      <c r="F902" s="1" t="s">
        <v>4706</v>
      </c>
      <c r="G902" s="1" t="s">
        <v>4705</v>
      </c>
      <c r="H902" s="1" t="s">
        <v>15</v>
      </c>
      <c r="I902" s="1" t="str">
        <f>"1"</f>
        <v>1</v>
      </c>
      <c r="J902" s="3" t="str">
        <f>"200"</f>
        <v>200</v>
      </c>
      <c r="K902" s="4">
        <v>46036</v>
      </c>
      <c r="L902" s="4">
        <v>46037</v>
      </c>
      <c r="M902" s="1" t="s">
        <v>10593</v>
      </c>
      <c r="N902" s="1" t="s">
        <v>10592</v>
      </c>
    </row>
    <row r="903" spans="1:14" s="1" customFormat="1" x14ac:dyDescent="0.35">
      <c r="A903" s="1" t="s">
        <v>4492</v>
      </c>
      <c r="B903" s="1" t="s">
        <v>1013</v>
      </c>
      <c r="C903" s="1" t="s">
        <v>1014</v>
      </c>
      <c r="D903" s="1" t="s">
        <v>10591</v>
      </c>
      <c r="E903" s="1" t="str">
        <f>"2340"</f>
        <v>2340</v>
      </c>
      <c r="F903" s="1" t="s">
        <v>1071</v>
      </c>
      <c r="G903" s="1" t="s">
        <v>1072</v>
      </c>
      <c r="H903" s="1" t="s">
        <v>15</v>
      </c>
      <c r="I903" s="1" t="str">
        <f>"1"</f>
        <v>1</v>
      </c>
      <c r="J903" s="3">
        <v>11964.82</v>
      </c>
      <c r="K903" s="4">
        <v>46048</v>
      </c>
      <c r="L903" s="4">
        <v>46049</v>
      </c>
      <c r="M903" s="1" t="s">
        <v>10590</v>
      </c>
      <c r="N903" s="1" t="s">
        <v>10589</v>
      </c>
    </row>
    <row r="904" spans="1:14" s="1" customFormat="1" x14ac:dyDescent="0.35">
      <c r="A904" s="1" t="s">
        <v>4492</v>
      </c>
      <c r="B904" s="1" t="s">
        <v>1013</v>
      </c>
      <c r="C904" s="1" t="s">
        <v>1014</v>
      </c>
      <c r="D904" s="1" t="s">
        <v>10588</v>
      </c>
      <c r="E904" s="1" t="str">
        <f>"2320"</f>
        <v>2320</v>
      </c>
      <c r="F904" s="1" t="s">
        <v>100</v>
      </c>
      <c r="G904" s="1" t="s">
        <v>101</v>
      </c>
      <c r="H904" s="1" t="s">
        <v>15</v>
      </c>
      <c r="I904" s="1" t="str">
        <f>"1"</f>
        <v>1</v>
      </c>
      <c r="J904" s="3" t="str">
        <f>"33000"</f>
        <v>33000</v>
      </c>
      <c r="K904" s="4">
        <v>46083</v>
      </c>
      <c r="L904" s="4">
        <v>46095</v>
      </c>
      <c r="M904" s="1" t="s">
        <v>10587</v>
      </c>
      <c r="N904" s="1" t="s">
        <v>10586</v>
      </c>
    </row>
    <row r="905" spans="1:14" s="1" customFormat="1" x14ac:dyDescent="0.35">
      <c r="A905" s="1" t="s">
        <v>4492</v>
      </c>
      <c r="B905" s="1" t="s">
        <v>1013</v>
      </c>
      <c r="C905" s="1" t="s">
        <v>1014</v>
      </c>
      <c r="D905" s="1" t="s">
        <v>10585</v>
      </c>
      <c r="E905" s="1" t="str">
        <f>"2330"</f>
        <v>2330</v>
      </c>
      <c r="F905" s="1" t="str">
        <f>"010911710"</f>
        <v>010911710</v>
      </c>
      <c r="G905" s="1" t="s">
        <v>3511</v>
      </c>
      <c r="H905" s="1" t="s">
        <v>15</v>
      </c>
      <c r="I905" s="1" t="str">
        <f>"1"</f>
        <v>1</v>
      </c>
      <c r="J905" s="3" t="str">
        <f>"4200"</f>
        <v>4200</v>
      </c>
      <c r="K905" s="4">
        <v>46083</v>
      </c>
      <c r="L905" s="4">
        <v>46095</v>
      </c>
      <c r="M905" s="1" t="s">
        <v>10584</v>
      </c>
      <c r="N905" s="1" t="s">
        <v>10583</v>
      </c>
    </row>
    <row r="906" spans="1:14" s="1" customFormat="1" x14ac:dyDescent="0.35">
      <c r="A906" s="1" t="s">
        <v>4492</v>
      </c>
      <c r="B906" s="1" t="s">
        <v>1013</v>
      </c>
      <c r="C906" s="1" t="s">
        <v>1014</v>
      </c>
      <c r="D906" s="1" t="s">
        <v>10582</v>
      </c>
      <c r="E906" s="1" t="str">
        <f>"2320"</f>
        <v>2320</v>
      </c>
      <c r="F906" s="1" t="s">
        <v>100</v>
      </c>
      <c r="G906" s="1" t="s">
        <v>101</v>
      </c>
      <c r="H906" s="1" t="s">
        <v>15</v>
      </c>
      <c r="I906" s="1" t="str">
        <f>"1"</f>
        <v>1</v>
      </c>
      <c r="J906" s="3" t="str">
        <f>"15000"</f>
        <v>15000</v>
      </c>
      <c r="K906" s="4">
        <v>46083</v>
      </c>
      <c r="L906" s="4">
        <v>46095</v>
      </c>
      <c r="M906" s="1" t="s">
        <v>10581</v>
      </c>
      <c r="N906" s="1" t="s">
        <v>10580</v>
      </c>
    </row>
    <row r="907" spans="1:14" s="1" customFormat="1" x14ac:dyDescent="0.35">
      <c r="A907" s="1" t="s">
        <v>4492</v>
      </c>
      <c r="B907" s="1" t="s">
        <v>1013</v>
      </c>
      <c r="C907" s="1" t="s">
        <v>1014</v>
      </c>
      <c r="D907" s="1" t="s">
        <v>10579</v>
      </c>
      <c r="E907" s="1" t="str">
        <f>"3805"</f>
        <v>3805</v>
      </c>
      <c r="F907" s="1" t="s">
        <v>1020</v>
      </c>
      <c r="G907" s="1" t="s">
        <v>1021</v>
      </c>
      <c r="H907" s="1" t="s">
        <v>15</v>
      </c>
      <c r="I907" s="1" t="str">
        <f>"1"</f>
        <v>1</v>
      </c>
      <c r="J907" s="3" t="str">
        <f>"7500"</f>
        <v>7500</v>
      </c>
      <c r="K907" s="4">
        <v>46086</v>
      </c>
      <c r="L907" s="4">
        <v>46107</v>
      </c>
      <c r="M907" s="1" t="s">
        <v>10578</v>
      </c>
      <c r="N907" s="1" t="s">
        <v>10577</v>
      </c>
    </row>
    <row r="908" spans="1:14" s="1" customFormat="1" x14ac:dyDescent="0.35">
      <c r="A908" s="1" t="s">
        <v>4492</v>
      </c>
      <c r="B908" s="1" t="s">
        <v>1013</v>
      </c>
      <c r="C908" s="1" t="s">
        <v>1014</v>
      </c>
      <c r="D908" s="1" t="s">
        <v>10576</v>
      </c>
      <c r="E908" s="1" t="str">
        <f>"8145"</f>
        <v>8145</v>
      </c>
      <c r="F908" s="1" t="str">
        <f>"014423336"</f>
        <v>014423336</v>
      </c>
      <c r="G908" s="1" t="s">
        <v>753</v>
      </c>
      <c r="H908" s="1" t="s">
        <v>15</v>
      </c>
      <c r="I908" s="1" t="str">
        <f>"1"</f>
        <v>1</v>
      </c>
      <c r="J908" s="3" t="str">
        <f>"4975"</f>
        <v>4975</v>
      </c>
      <c r="K908" s="4">
        <v>46105</v>
      </c>
      <c r="L908" s="4">
        <v>46106</v>
      </c>
      <c r="M908" s="1" t="s">
        <v>4524</v>
      </c>
      <c r="N908" s="1" t="s">
        <v>10575</v>
      </c>
    </row>
    <row r="909" spans="1:14" s="1" customFormat="1" x14ac:dyDescent="0.35">
      <c r="A909" s="1" t="s">
        <v>4492</v>
      </c>
      <c r="B909" s="1" t="s">
        <v>1453</v>
      </c>
      <c r="C909" s="1" t="s">
        <v>10574</v>
      </c>
      <c r="D909" s="1" t="s">
        <v>10573</v>
      </c>
      <c r="E909" s="1" t="str">
        <f>"5855"</f>
        <v>5855</v>
      </c>
      <c r="F909" s="1" t="str">
        <f>"015224055"</f>
        <v>015224055</v>
      </c>
      <c r="G909" s="1" t="s">
        <v>4264</v>
      </c>
      <c r="H909" s="1" t="s">
        <v>15</v>
      </c>
      <c r="I909" s="1" t="str">
        <f>"24"</f>
        <v>24</v>
      </c>
      <c r="J909" s="3">
        <v>3719.47</v>
      </c>
      <c r="K909" s="4">
        <v>46034</v>
      </c>
      <c r="L909" s="4">
        <v>46040</v>
      </c>
      <c r="M909" s="1" t="s">
        <v>4524</v>
      </c>
      <c r="N909" s="1" t="s">
        <v>10572</v>
      </c>
    </row>
    <row r="910" spans="1:14" s="1" customFormat="1" x14ac:dyDescent="0.35">
      <c r="A910" s="1" t="s">
        <v>4492</v>
      </c>
      <c r="B910" s="1" t="s">
        <v>1791</v>
      </c>
      <c r="C910" s="1" t="s">
        <v>10571</v>
      </c>
      <c r="D910" s="1" t="s">
        <v>10570</v>
      </c>
      <c r="E910" s="1" t="str">
        <f>"1095"</f>
        <v>1095</v>
      </c>
      <c r="F910" s="1" t="str">
        <f>"015432189"</f>
        <v>015432189</v>
      </c>
      <c r="G910" s="1" t="s">
        <v>704</v>
      </c>
      <c r="H910" s="1" t="s">
        <v>15</v>
      </c>
      <c r="I910" s="1" t="str">
        <f>"1"</f>
        <v>1</v>
      </c>
      <c r="J910" s="3" t="str">
        <f>"959"</f>
        <v>959</v>
      </c>
      <c r="K910" s="4">
        <v>46087</v>
      </c>
      <c r="L910" s="4">
        <v>46104</v>
      </c>
      <c r="M910" s="1" t="s">
        <v>10569</v>
      </c>
      <c r="N910" s="1" t="s">
        <v>10568</v>
      </c>
    </row>
    <row r="911" spans="1:14" s="1" customFormat="1" x14ac:dyDescent="0.35">
      <c r="A911" s="1" t="s">
        <v>4492</v>
      </c>
      <c r="B911" s="1" t="s">
        <v>73</v>
      </c>
      <c r="C911" s="1" t="s">
        <v>10562</v>
      </c>
      <c r="D911" s="1" t="s">
        <v>10567</v>
      </c>
      <c r="E911" s="1" t="str">
        <f>"6145"</f>
        <v>6145</v>
      </c>
      <c r="F911" s="1" t="str">
        <f>"014067444"</f>
        <v>014067444</v>
      </c>
      <c r="G911" s="1" t="s">
        <v>10566</v>
      </c>
      <c r="H911" s="1" t="s">
        <v>10565</v>
      </c>
      <c r="I911" s="1" t="str">
        <f>"10"</f>
        <v>10</v>
      </c>
      <c r="J911" s="3">
        <v>0.36</v>
      </c>
      <c r="K911" s="4">
        <v>45964</v>
      </c>
      <c r="L911" s="4">
        <v>46031</v>
      </c>
      <c r="M911" s="1" t="s">
        <v>10564</v>
      </c>
      <c r="N911" s="1" t="s">
        <v>10563</v>
      </c>
    </row>
    <row r="912" spans="1:14" s="1" customFormat="1" x14ac:dyDescent="0.35">
      <c r="A912" s="1" t="s">
        <v>4492</v>
      </c>
      <c r="B912" s="1" t="s">
        <v>73</v>
      </c>
      <c r="C912" s="1" t="s">
        <v>10562</v>
      </c>
      <c r="D912" s="1" t="s">
        <v>10561</v>
      </c>
      <c r="E912" s="1" t="str">
        <f>"5140"</f>
        <v>5140</v>
      </c>
      <c r="F912" s="1" t="str">
        <f>"014797834"</f>
        <v>014797834</v>
      </c>
      <c r="G912" s="1" t="s">
        <v>8460</v>
      </c>
      <c r="H912" s="1" t="s">
        <v>15</v>
      </c>
      <c r="I912" s="1" t="str">
        <f>"3"</f>
        <v>3</v>
      </c>
      <c r="J912" s="3">
        <v>658.61</v>
      </c>
      <c r="K912" s="4">
        <v>46061</v>
      </c>
      <c r="L912" s="4">
        <v>46063</v>
      </c>
      <c r="M912" s="1" t="s">
        <v>4524</v>
      </c>
      <c r="N912" s="1" t="s">
        <v>10560</v>
      </c>
    </row>
    <row r="913" spans="1:14" s="1" customFormat="1" x14ac:dyDescent="0.35">
      <c r="A913" s="1" t="s">
        <v>4492</v>
      </c>
      <c r="B913" s="1" t="s">
        <v>1129</v>
      </c>
      <c r="C913" s="1" t="s">
        <v>1130</v>
      </c>
      <c r="D913" s="1" t="s">
        <v>10559</v>
      </c>
      <c r="E913" s="1" t="str">
        <f>"2330"</f>
        <v>2330</v>
      </c>
      <c r="F913" s="1" t="str">
        <f>"011024697"</f>
        <v>011024697</v>
      </c>
      <c r="G913" s="1" t="s">
        <v>2101</v>
      </c>
      <c r="H913" s="1" t="s">
        <v>15</v>
      </c>
      <c r="I913" s="1" t="str">
        <f>"1"</f>
        <v>1</v>
      </c>
      <c r="J913" s="3" t="str">
        <f>"3894"</f>
        <v>3894</v>
      </c>
      <c r="K913" s="4">
        <v>46043</v>
      </c>
      <c r="L913" s="4">
        <v>46046</v>
      </c>
      <c r="M913" s="1" t="s">
        <v>4524</v>
      </c>
      <c r="N913" s="1" t="s">
        <v>10558</v>
      </c>
    </row>
    <row r="914" spans="1:14" s="1" customFormat="1" x14ac:dyDescent="0.35">
      <c r="A914" s="1" t="s">
        <v>4492</v>
      </c>
      <c r="B914" s="1" t="s">
        <v>1129</v>
      </c>
      <c r="C914" s="1" t="s">
        <v>1130</v>
      </c>
      <c r="D914" s="1" t="s">
        <v>10557</v>
      </c>
      <c r="E914" s="1" t="str">
        <f>"5180"</f>
        <v>5180</v>
      </c>
      <c r="F914" s="1" t="str">
        <f>"015544224"</f>
        <v>015544224</v>
      </c>
      <c r="G914" s="1" t="s">
        <v>1831</v>
      </c>
      <c r="H914" s="1" t="s">
        <v>15</v>
      </c>
      <c r="I914" s="1" t="str">
        <f>"1"</f>
        <v>1</v>
      </c>
      <c r="J914" s="3">
        <v>2012.99</v>
      </c>
      <c r="K914" s="4">
        <v>46043</v>
      </c>
      <c r="L914" s="4">
        <v>46071</v>
      </c>
      <c r="M914" s="1" t="s">
        <v>10556</v>
      </c>
      <c r="N914" s="1" t="s">
        <v>10555</v>
      </c>
    </row>
    <row r="915" spans="1:14" s="1" customFormat="1" x14ac:dyDescent="0.35">
      <c r="A915" s="1" t="s">
        <v>4492</v>
      </c>
      <c r="B915" s="1" t="s">
        <v>1129</v>
      </c>
      <c r="C915" s="1" t="s">
        <v>1130</v>
      </c>
      <c r="D915" s="1" t="s">
        <v>10554</v>
      </c>
      <c r="E915" s="1" t="str">
        <f>"5140"</f>
        <v>5140</v>
      </c>
      <c r="F915" s="1" t="s">
        <v>379</v>
      </c>
      <c r="G915" s="1" t="s">
        <v>380</v>
      </c>
      <c r="H915" s="1" t="s">
        <v>15</v>
      </c>
      <c r="I915" s="1" t="str">
        <f>"2"</f>
        <v>2</v>
      </c>
      <c r="J915" s="3" t="str">
        <f>"1000"</f>
        <v>1000</v>
      </c>
      <c r="K915" s="4">
        <v>46062</v>
      </c>
      <c r="L915" s="4">
        <v>46067</v>
      </c>
      <c r="M915" s="1" t="s">
        <v>10553</v>
      </c>
      <c r="N915" s="1" t="s">
        <v>10552</v>
      </c>
    </row>
    <row r="916" spans="1:14" s="1" customFormat="1" x14ac:dyDescent="0.35">
      <c r="A916" s="1" t="s">
        <v>4492</v>
      </c>
      <c r="B916" s="1" t="s">
        <v>1129</v>
      </c>
      <c r="C916" s="1" t="s">
        <v>1130</v>
      </c>
      <c r="D916" s="1" t="s">
        <v>10551</v>
      </c>
      <c r="E916" s="1" t="str">
        <f>"5180"</f>
        <v>5180</v>
      </c>
      <c r="F916" s="1" t="str">
        <f>"015544224"</f>
        <v>015544224</v>
      </c>
      <c r="G916" s="1" t="s">
        <v>1831</v>
      </c>
      <c r="H916" s="1" t="s">
        <v>15</v>
      </c>
      <c r="I916" s="1" t="str">
        <f>"1"</f>
        <v>1</v>
      </c>
      <c r="J916" s="3">
        <v>2012.99</v>
      </c>
      <c r="K916" s="4">
        <v>46080</v>
      </c>
      <c r="L916" s="4">
        <v>46087</v>
      </c>
      <c r="M916" s="1" t="s">
        <v>10550</v>
      </c>
    </row>
    <row r="917" spans="1:14" s="1" customFormat="1" x14ac:dyDescent="0.35">
      <c r="A917" s="1" t="s">
        <v>4492</v>
      </c>
      <c r="B917" s="1" t="s">
        <v>3356</v>
      </c>
      <c r="C917" s="1" t="s">
        <v>10531</v>
      </c>
      <c r="D917" s="1" t="s">
        <v>10549</v>
      </c>
      <c r="E917" s="1" t="str">
        <f>"2330"</f>
        <v>2330</v>
      </c>
      <c r="F917" s="1" t="s">
        <v>104</v>
      </c>
      <c r="G917" s="1" t="s">
        <v>105</v>
      </c>
      <c r="H917" s="1" t="s">
        <v>15</v>
      </c>
      <c r="I917" s="1" t="str">
        <f>"1"</f>
        <v>1</v>
      </c>
      <c r="J917" s="3" t="str">
        <f>"19500"</f>
        <v>19500</v>
      </c>
      <c r="K917" s="4">
        <v>46015</v>
      </c>
      <c r="L917" s="4">
        <v>46031</v>
      </c>
      <c r="M917" s="1" t="s">
        <v>10548</v>
      </c>
      <c r="N917" s="1" t="s">
        <v>10547</v>
      </c>
    </row>
    <row r="918" spans="1:14" s="1" customFormat="1" x14ac:dyDescent="0.35">
      <c r="A918" s="1" t="s">
        <v>4492</v>
      </c>
      <c r="B918" s="1" t="s">
        <v>3356</v>
      </c>
      <c r="C918" s="1" t="s">
        <v>10531</v>
      </c>
      <c r="D918" s="1" t="s">
        <v>10546</v>
      </c>
      <c r="E918" s="1" t="str">
        <f>"2320"</f>
        <v>2320</v>
      </c>
      <c r="F918" s="1" t="str">
        <f>"013477645"</f>
        <v>013477645</v>
      </c>
      <c r="G918" s="1" t="s">
        <v>1147</v>
      </c>
      <c r="H918" s="1" t="s">
        <v>15</v>
      </c>
      <c r="I918" s="1" t="str">
        <f>"1"</f>
        <v>1</v>
      </c>
      <c r="J918" s="3" t="str">
        <f>"350000"</f>
        <v>350000</v>
      </c>
      <c r="K918" s="4">
        <v>46038</v>
      </c>
      <c r="L918" s="4">
        <v>46039</v>
      </c>
      <c r="M918" s="1" t="s">
        <v>4524</v>
      </c>
      <c r="N918" s="1" t="s">
        <v>10545</v>
      </c>
    </row>
    <row r="919" spans="1:14" s="1" customFormat="1" x14ac:dyDescent="0.35">
      <c r="A919" s="1" t="s">
        <v>4492</v>
      </c>
      <c r="B919" s="1" t="s">
        <v>3356</v>
      </c>
      <c r="C919" s="1" t="s">
        <v>10531</v>
      </c>
      <c r="D919" s="1" t="s">
        <v>10544</v>
      </c>
      <c r="E919" s="1" t="str">
        <f>"6115"</f>
        <v>6115</v>
      </c>
      <c r="F919" s="1" t="str">
        <f>"013199032"</f>
        <v>013199032</v>
      </c>
      <c r="G919" s="1" t="s">
        <v>1179</v>
      </c>
      <c r="H919" s="1" t="s">
        <v>15</v>
      </c>
      <c r="I919" s="1" t="str">
        <f>"1"</f>
        <v>1</v>
      </c>
      <c r="J919" s="3" t="str">
        <f>"17730"</f>
        <v>17730</v>
      </c>
      <c r="K919" s="4">
        <v>46035</v>
      </c>
      <c r="L919" s="4">
        <v>46048</v>
      </c>
      <c r="M919" s="1" t="s">
        <v>10543</v>
      </c>
      <c r="N919" s="1" t="s">
        <v>10540</v>
      </c>
    </row>
    <row r="920" spans="1:14" s="1" customFormat="1" x14ac:dyDescent="0.35">
      <c r="A920" s="1" t="s">
        <v>4492</v>
      </c>
      <c r="B920" s="1" t="s">
        <v>3356</v>
      </c>
      <c r="C920" s="1" t="s">
        <v>10531</v>
      </c>
      <c r="D920" s="1" t="s">
        <v>10542</v>
      </c>
      <c r="E920" s="1" t="str">
        <f>"6115"</f>
        <v>6115</v>
      </c>
      <c r="F920" s="1" t="str">
        <f>"013199032"</f>
        <v>013199032</v>
      </c>
      <c r="G920" s="1" t="s">
        <v>1179</v>
      </c>
      <c r="H920" s="1" t="s">
        <v>15</v>
      </c>
      <c r="I920" s="1" t="str">
        <f>"1"</f>
        <v>1</v>
      </c>
      <c r="J920" s="3" t="str">
        <f>"17730"</f>
        <v>17730</v>
      </c>
      <c r="K920" s="4">
        <v>46035</v>
      </c>
      <c r="L920" s="4">
        <v>46048</v>
      </c>
      <c r="M920" s="1" t="s">
        <v>10541</v>
      </c>
      <c r="N920" s="1" t="s">
        <v>10540</v>
      </c>
    </row>
    <row r="921" spans="1:14" s="1" customFormat="1" x14ac:dyDescent="0.35">
      <c r="A921" s="1" t="s">
        <v>4492</v>
      </c>
      <c r="B921" s="1" t="s">
        <v>3356</v>
      </c>
      <c r="C921" s="1" t="s">
        <v>10531</v>
      </c>
      <c r="D921" s="1" t="s">
        <v>10539</v>
      </c>
      <c r="E921" s="1" t="str">
        <f>"2310"</f>
        <v>2310</v>
      </c>
      <c r="F921" s="1" t="str">
        <f>"010907741"</f>
        <v>010907741</v>
      </c>
      <c r="G921" s="1" t="s">
        <v>710</v>
      </c>
      <c r="H921" s="1" t="s">
        <v>15</v>
      </c>
      <c r="I921" s="1" t="str">
        <f>"1"</f>
        <v>1</v>
      </c>
      <c r="J921" s="3" t="str">
        <f>"30027"</f>
        <v>30027</v>
      </c>
      <c r="K921" s="4">
        <v>46091</v>
      </c>
      <c r="L921" s="4">
        <v>46099</v>
      </c>
      <c r="M921" s="1" t="s">
        <v>10538</v>
      </c>
      <c r="N921" s="1" t="s">
        <v>10537</v>
      </c>
    </row>
    <row r="922" spans="1:14" s="1" customFormat="1" x14ac:dyDescent="0.35">
      <c r="A922" s="1" t="s">
        <v>4492</v>
      </c>
      <c r="B922" s="1" t="s">
        <v>3356</v>
      </c>
      <c r="C922" s="1" t="s">
        <v>10531</v>
      </c>
      <c r="D922" s="1" t="s">
        <v>10536</v>
      </c>
      <c r="E922" s="1" t="str">
        <f>"2310"</f>
        <v>2310</v>
      </c>
      <c r="F922" s="1" t="str">
        <f>"010907741"</f>
        <v>010907741</v>
      </c>
      <c r="G922" s="1" t="s">
        <v>710</v>
      </c>
      <c r="H922" s="1" t="s">
        <v>15</v>
      </c>
      <c r="I922" s="1" t="str">
        <f>"1"</f>
        <v>1</v>
      </c>
      <c r="J922" s="3" t="str">
        <f>"30027"</f>
        <v>30027</v>
      </c>
      <c r="K922" s="4">
        <v>46091</v>
      </c>
      <c r="L922" s="4">
        <v>46099</v>
      </c>
      <c r="M922" s="1" t="s">
        <v>10535</v>
      </c>
      <c r="N922" s="1" t="s">
        <v>10534</v>
      </c>
    </row>
    <row r="923" spans="1:14" s="1" customFormat="1" x14ac:dyDescent="0.35">
      <c r="A923" s="1" t="s">
        <v>4492</v>
      </c>
      <c r="B923" s="1" t="s">
        <v>3356</v>
      </c>
      <c r="C923" s="1" t="s">
        <v>10531</v>
      </c>
      <c r="D923" s="1" t="s">
        <v>10533</v>
      </c>
      <c r="E923" s="1" t="str">
        <f>"1940"</f>
        <v>1940</v>
      </c>
      <c r="F923" s="1" t="s">
        <v>1898</v>
      </c>
      <c r="G923" s="1" t="s">
        <v>1899</v>
      </c>
      <c r="H923" s="1" t="s">
        <v>15</v>
      </c>
      <c r="I923" s="1" t="str">
        <f>"1"</f>
        <v>1</v>
      </c>
      <c r="J923" s="3" t="str">
        <f>"259000"</f>
        <v>259000</v>
      </c>
      <c r="K923" s="4">
        <v>46096</v>
      </c>
      <c r="L923" s="4">
        <v>46098</v>
      </c>
      <c r="M923" s="1" t="s">
        <v>4524</v>
      </c>
      <c r="N923" s="1" t="s">
        <v>10532</v>
      </c>
    </row>
    <row r="924" spans="1:14" s="1" customFormat="1" x14ac:dyDescent="0.35">
      <c r="A924" s="1" t="s">
        <v>4492</v>
      </c>
      <c r="B924" s="1" t="s">
        <v>3356</v>
      </c>
      <c r="C924" s="1" t="s">
        <v>10531</v>
      </c>
      <c r="D924" s="1" t="s">
        <v>10530</v>
      </c>
      <c r="E924" s="1" t="str">
        <f>"2330"</f>
        <v>2330</v>
      </c>
      <c r="F924" s="1" t="str">
        <f>"016272944"</f>
        <v>016272944</v>
      </c>
      <c r="G924" s="1" t="s">
        <v>2101</v>
      </c>
      <c r="H924" s="1" t="s">
        <v>15</v>
      </c>
      <c r="I924" s="1" t="str">
        <f>"1"</f>
        <v>1</v>
      </c>
      <c r="J924" s="3">
        <v>79463.929999999993</v>
      </c>
      <c r="K924" s="4">
        <v>46096</v>
      </c>
      <c r="L924" s="4">
        <v>46106</v>
      </c>
      <c r="M924" s="1" t="s">
        <v>10529</v>
      </c>
      <c r="N924" s="1" t="s">
        <v>10528</v>
      </c>
    </row>
    <row r="925" spans="1:14" s="1" customFormat="1" x14ac:dyDescent="0.35">
      <c r="A925" s="1" t="s">
        <v>4492</v>
      </c>
      <c r="B925" s="1" t="s">
        <v>3356</v>
      </c>
      <c r="C925" s="1" t="s">
        <v>3371</v>
      </c>
      <c r="D925" s="1" t="s">
        <v>10527</v>
      </c>
      <c r="E925" s="1" t="str">
        <f>"3805"</f>
        <v>3805</v>
      </c>
      <c r="F925" s="1" t="s">
        <v>1020</v>
      </c>
      <c r="G925" s="1" t="s">
        <v>1021</v>
      </c>
      <c r="H925" s="1" t="s">
        <v>15</v>
      </c>
      <c r="I925" s="1" t="str">
        <f>"1"</f>
        <v>1</v>
      </c>
      <c r="J925" s="3" t="str">
        <f>"72000"</f>
        <v>72000</v>
      </c>
      <c r="K925" s="4">
        <v>45913</v>
      </c>
      <c r="L925" s="4">
        <v>46035</v>
      </c>
      <c r="M925" s="1" t="s">
        <v>10526</v>
      </c>
      <c r="N925" s="1" t="s">
        <v>10525</v>
      </c>
    </row>
    <row r="926" spans="1:14" s="1" customFormat="1" x14ac:dyDescent="0.35">
      <c r="A926" s="1" t="s">
        <v>4492</v>
      </c>
      <c r="B926" s="1" t="s">
        <v>3356</v>
      </c>
      <c r="C926" s="1" t="s">
        <v>3371</v>
      </c>
      <c r="D926" s="1" t="s">
        <v>10524</v>
      </c>
      <c r="E926" s="1" t="str">
        <f>"2320"</f>
        <v>2320</v>
      </c>
      <c r="F926" s="1" t="s">
        <v>100</v>
      </c>
      <c r="G926" s="1" t="s">
        <v>101</v>
      </c>
      <c r="H926" s="1" t="s">
        <v>15</v>
      </c>
      <c r="I926" s="1" t="str">
        <f>"1"</f>
        <v>1</v>
      </c>
      <c r="J926" s="3" t="str">
        <f>"28206"</f>
        <v>28206</v>
      </c>
      <c r="K926" s="4">
        <v>45927</v>
      </c>
      <c r="L926" s="4">
        <v>46026</v>
      </c>
      <c r="M926" s="1" t="s">
        <v>10523</v>
      </c>
      <c r="N926" s="1" t="s">
        <v>10522</v>
      </c>
    </row>
    <row r="927" spans="1:14" s="1" customFormat="1" x14ac:dyDescent="0.35">
      <c r="A927" s="1" t="s">
        <v>4492</v>
      </c>
      <c r="B927" s="1" t="s">
        <v>3356</v>
      </c>
      <c r="C927" s="1" t="s">
        <v>3371</v>
      </c>
      <c r="D927" s="1" t="s">
        <v>10521</v>
      </c>
      <c r="E927" s="1" t="str">
        <f>"2330"</f>
        <v>2330</v>
      </c>
      <c r="F927" s="1" t="str">
        <f>"000140494"</f>
        <v>000140494</v>
      </c>
      <c r="G927" s="1" t="s">
        <v>1526</v>
      </c>
      <c r="H927" s="1" t="s">
        <v>15</v>
      </c>
      <c r="I927" s="1" t="str">
        <f>"1"</f>
        <v>1</v>
      </c>
      <c r="J927" s="3" t="str">
        <f>"8134"</f>
        <v>8134</v>
      </c>
      <c r="K927" s="4">
        <v>45968</v>
      </c>
      <c r="L927" s="4">
        <v>46031</v>
      </c>
      <c r="M927" s="1" t="s">
        <v>10520</v>
      </c>
      <c r="N927" s="1" t="s">
        <v>10519</v>
      </c>
    </row>
    <row r="928" spans="1:14" s="1" customFormat="1" x14ac:dyDescent="0.35">
      <c r="A928" s="1" t="s">
        <v>4492</v>
      </c>
      <c r="B928" s="1" t="s">
        <v>3356</v>
      </c>
      <c r="C928" s="1" t="s">
        <v>3371</v>
      </c>
      <c r="D928" s="1" t="s">
        <v>10518</v>
      </c>
      <c r="E928" s="1" t="str">
        <f>"2320"</f>
        <v>2320</v>
      </c>
      <c r="F928" s="1" t="s">
        <v>1016</v>
      </c>
      <c r="G928" s="1" t="s">
        <v>1017</v>
      </c>
      <c r="H928" s="1" t="s">
        <v>15</v>
      </c>
      <c r="I928" s="1" t="str">
        <f>"1"</f>
        <v>1</v>
      </c>
      <c r="J928" s="3" t="str">
        <f>"165000"</f>
        <v>165000</v>
      </c>
      <c r="K928" s="4">
        <v>45985</v>
      </c>
      <c r="L928" s="4">
        <v>46064</v>
      </c>
      <c r="M928" s="1" t="s">
        <v>10517</v>
      </c>
      <c r="N928" s="1" t="s">
        <v>10516</v>
      </c>
    </row>
    <row r="929" spans="1:14" s="1" customFormat="1" x14ac:dyDescent="0.35">
      <c r="A929" s="1" t="s">
        <v>4492</v>
      </c>
      <c r="B929" s="1" t="s">
        <v>3356</v>
      </c>
      <c r="C929" s="1" t="s">
        <v>3371</v>
      </c>
      <c r="D929" s="1" t="s">
        <v>10515</v>
      </c>
      <c r="E929" s="1" t="str">
        <f>"2320"</f>
        <v>2320</v>
      </c>
      <c r="F929" s="1" t="s">
        <v>100</v>
      </c>
      <c r="G929" s="1" t="s">
        <v>101</v>
      </c>
      <c r="H929" s="1" t="s">
        <v>15</v>
      </c>
      <c r="I929" s="1" t="str">
        <f>"1"</f>
        <v>1</v>
      </c>
      <c r="J929" s="3" t="str">
        <f>"40000"</f>
        <v>40000</v>
      </c>
      <c r="K929" s="4">
        <v>46050</v>
      </c>
      <c r="L929" s="4">
        <v>46055</v>
      </c>
      <c r="M929" s="1" t="s">
        <v>10514</v>
      </c>
      <c r="N929" s="1" t="s">
        <v>10513</v>
      </c>
    </row>
    <row r="930" spans="1:14" s="1" customFormat="1" x14ac:dyDescent="0.35">
      <c r="A930" s="1" t="s">
        <v>4492</v>
      </c>
      <c r="B930" s="1" t="s">
        <v>3356</v>
      </c>
      <c r="C930" s="1" t="s">
        <v>3371</v>
      </c>
      <c r="D930" s="1" t="s">
        <v>10515</v>
      </c>
      <c r="E930" s="1" t="str">
        <f>"2320"</f>
        <v>2320</v>
      </c>
      <c r="F930" s="1" t="s">
        <v>100</v>
      </c>
      <c r="G930" s="1" t="s">
        <v>101</v>
      </c>
      <c r="H930" s="1" t="s">
        <v>15</v>
      </c>
      <c r="I930" s="1" t="str">
        <f>"1"</f>
        <v>1</v>
      </c>
      <c r="J930" s="3" t="str">
        <f>"40000"</f>
        <v>40000</v>
      </c>
      <c r="K930" s="4">
        <v>46050</v>
      </c>
      <c r="L930" s="4">
        <v>46055</v>
      </c>
      <c r="M930" s="1" t="s">
        <v>10514</v>
      </c>
      <c r="N930" s="1" t="s">
        <v>10513</v>
      </c>
    </row>
    <row r="931" spans="1:14" s="1" customFormat="1" x14ac:dyDescent="0.35">
      <c r="A931" s="1" t="s">
        <v>4492</v>
      </c>
      <c r="B931" s="1" t="s">
        <v>3356</v>
      </c>
      <c r="C931" s="1" t="s">
        <v>3371</v>
      </c>
      <c r="D931" s="1" t="s">
        <v>10512</v>
      </c>
      <c r="E931" s="1" t="str">
        <f>"2360"</f>
        <v>2360</v>
      </c>
      <c r="F931" s="1" t="str">
        <f>"016631022"</f>
        <v>016631022</v>
      </c>
      <c r="G931" s="1" t="s">
        <v>1275</v>
      </c>
      <c r="H931" s="1" t="s">
        <v>15</v>
      </c>
      <c r="I931" s="1" t="str">
        <f>"1"</f>
        <v>1</v>
      </c>
      <c r="J931" s="3">
        <v>53375.13</v>
      </c>
      <c r="K931" s="4">
        <v>46081</v>
      </c>
      <c r="L931" s="4">
        <v>46103</v>
      </c>
      <c r="M931" s="1" t="s">
        <v>10511</v>
      </c>
      <c r="N931" s="1" t="s">
        <v>10510</v>
      </c>
    </row>
    <row r="932" spans="1:14" s="1" customFormat="1" x14ac:dyDescent="0.35">
      <c r="A932" s="1" t="s">
        <v>4492</v>
      </c>
      <c r="B932" s="1" t="s">
        <v>3356</v>
      </c>
      <c r="C932" s="1" t="s">
        <v>3371</v>
      </c>
      <c r="D932" s="1" t="s">
        <v>10509</v>
      </c>
      <c r="E932" s="1" t="str">
        <f>"1385"</f>
        <v>1385</v>
      </c>
      <c r="F932" s="1" t="str">
        <f>"015744707"</f>
        <v>015744707</v>
      </c>
      <c r="G932" s="1" t="s">
        <v>1913</v>
      </c>
      <c r="H932" s="1" t="s">
        <v>15</v>
      </c>
      <c r="I932" s="1" t="str">
        <f>"1"</f>
        <v>1</v>
      </c>
      <c r="J932" s="3" t="str">
        <f>"10000"</f>
        <v>10000</v>
      </c>
      <c r="K932" s="4">
        <v>46050</v>
      </c>
      <c r="L932" s="4">
        <v>46104</v>
      </c>
      <c r="M932" s="1" t="s">
        <v>10508</v>
      </c>
      <c r="N932" s="1" t="s">
        <v>10507</v>
      </c>
    </row>
    <row r="933" spans="1:14" s="1" customFormat="1" x14ac:dyDescent="0.35">
      <c r="A933" s="1" t="s">
        <v>4492</v>
      </c>
      <c r="B933" s="1" t="s">
        <v>3356</v>
      </c>
      <c r="C933" s="1" t="s">
        <v>3371</v>
      </c>
      <c r="D933" s="1" t="s">
        <v>10506</v>
      </c>
      <c r="E933" s="1" t="str">
        <f>"2330"</f>
        <v>2330</v>
      </c>
      <c r="F933" s="1" t="s">
        <v>104</v>
      </c>
      <c r="G933" s="1" t="s">
        <v>105</v>
      </c>
      <c r="H933" s="1" t="s">
        <v>15</v>
      </c>
      <c r="I933" s="1" t="str">
        <f>"1"</f>
        <v>1</v>
      </c>
      <c r="J933" s="3">
        <v>968678.86</v>
      </c>
      <c r="K933" s="4">
        <v>46074</v>
      </c>
      <c r="L933" s="4">
        <v>46088</v>
      </c>
      <c r="M933" s="1" t="s">
        <v>10505</v>
      </c>
      <c r="N933" s="1" t="s">
        <v>10504</v>
      </c>
    </row>
    <row r="934" spans="1:14" s="1" customFormat="1" x14ac:dyDescent="0.35">
      <c r="A934" s="1" t="s">
        <v>4492</v>
      </c>
      <c r="B934" s="1" t="s">
        <v>3356</v>
      </c>
      <c r="C934" s="1" t="s">
        <v>3371</v>
      </c>
      <c r="D934" s="1" t="s">
        <v>10503</v>
      </c>
      <c r="E934" s="1" t="str">
        <f>"2330"</f>
        <v>2330</v>
      </c>
      <c r="F934" s="1" t="s">
        <v>104</v>
      </c>
      <c r="G934" s="1" t="s">
        <v>105</v>
      </c>
      <c r="H934" s="1" t="s">
        <v>15</v>
      </c>
      <c r="I934" s="1" t="str">
        <f>"1"</f>
        <v>1</v>
      </c>
      <c r="J934" s="3" t="str">
        <f>"10000"</f>
        <v>10000</v>
      </c>
      <c r="K934" s="4">
        <v>46095</v>
      </c>
      <c r="L934" s="4">
        <v>46100</v>
      </c>
      <c r="M934" s="1" t="s">
        <v>10502</v>
      </c>
      <c r="N934" s="1" t="s">
        <v>10501</v>
      </c>
    </row>
    <row r="935" spans="1:14" s="1" customFormat="1" x14ac:dyDescent="0.35">
      <c r="A935" s="1" t="s">
        <v>4492</v>
      </c>
      <c r="B935" s="1" t="s">
        <v>2368</v>
      </c>
      <c r="C935" s="1" t="s">
        <v>10500</v>
      </c>
      <c r="D935" s="1" t="s">
        <v>10499</v>
      </c>
      <c r="E935" s="1" t="str">
        <f>"2320"</f>
        <v>2320</v>
      </c>
      <c r="F935" s="1" t="s">
        <v>4526</v>
      </c>
      <c r="G935" s="1" t="s">
        <v>4525</v>
      </c>
      <c r="H935" s="1" t="s">
        <v>15</v>
      </c>
      <c r="I935" s="1" t="str">
        <f>"1"</f>
        <v>1</v>
      </c>
      <c r="J935" s="3">
        <v>610434.26</v>
      </c>
      <c r="K935" s="4">
        <v>46056</v>
      </c>
      <c r="L935" s="4">
        <v>46056</v>
      </c>
      <c r="M935" s="1" t="s">
        <v>4524</v>
      </c>
      <c r="N935" s="1" t="s">
        <v>10498</v>
      </c>
    </row>
    <row r="936" spans="1:14" s="1" customFormat="1" x14ac:dyDescent="0.35">
      <c r="A936" s="1" t="s">
        <v>4492</v>
      </c>
      <c r="B936" s="1" t="s">
        <v>3822</v>
      </c>
      <c r="C936" s="1" t="s">
        <v>4057</v>
      </c>
      <c r="D936" s="1" t="s">
        <v>10497</v>
      </c>
      <c r="E936" s="1" t="str">
        <f>"5855"</f>
        <v>5855</v>
      </c>
      <c r="F936" s="1" t="str">
        <f>"015790062"</f>
        <v>015790062</v>
      </c>
      <c r="G936" s="1" t="s">
        <v>742</v>
      </c>
      <c r="H936" s="1" t="s">
        <v>15</v>
      </c>
      <c r="I936" s="1" t="str">
        <f>"13"</f>
        <v>13</v>
      </c>
      <c r="J936" s="3" t="str">
        <f>"900"</f>
        <v>900</v>
      </c>
      <c r="K936" s="4">
        <v>46080</v>
      </c>
      <c r="L936" s="4">
        <v>46088</v>
      </c>
      <c r="M936" s="1" t="s">
        <v>10496</v>
      </c>
      <c r="N936" s="1" t="s">
        <v>10495</v>
      </c>
    </row>
    <row r="937" spans="1:14" s="1" customFormat="1" x14ac:dyDescent="0.35">
      <c r="A937" s="1" t="s">
        <v>4492</v>
      </c>
      <c r="B937" s="1" t="s">
        <v>3822</v>
      </c>
      <c r="C937" s="1" t="s">
        <v>4057</v>
      </c>
      <c r="D937" s="1" t="s">
        <v>10494</v>
      </c>
      <c r="E937" s="1" t="str">
        <f>"5855"</f>
        <v>5855</v>
      </c>
      <c r="F937" s="1" t="str">
        <f>"015345931"</f>
        <v>015345931</v>
      </c>
      <c r="G937" s="1" t="s">
        <v>742</v>
      </c>
      <c r="H937" s="1" t="s">
        <v>15</v>
      </c>
      <c r="I937" s="1" t="str">
        <f>"10"</f>
        <v>10</v>
      </c>
      <c r="J937" s="3" t="str">
        <f>"970"</f>
        <v>970</v>
      </c>
      <c r="K937" s="4">
        <v>46084</v>
      </c>
      <c r="L937" s="4">
        <v>46084</v>
      </c>
      <c r="N937" s="1" t="s">
        <v>10493</v>
      </c>
    </row>
    <row r="938" spans="1:14" s="1" customFormat="1" x14ac:dyDescent="0.35">
      <c r="A938" s="1" t="s">
        <v>4492</v>
      </c>
      <c r="B938" s="1" t="s">
        <v>3822</v>
      </c>
      <c r="C938" s="1" t="s">
        <v>4057</v>
      </c>
      <c r="D938" s="1" t="s">
        <v>10492</v>
      </c>
      <c r="E938" s="1" t="str">
        <f>"5855"</f>
        <v>5855</v>
      </c>
      <c r="F938" s="1" t="str">
        <f>"014199429"</f>
        <v>014199429</v>
      </c>
      <c r="G938" s="1" t="s">
        <v>614</v>
      </c>
      <c r="H938" s="1" t="s">
        <v>15</v>
      </c>
      <c r="I938" s="1" t="str">
        <f>"15"</f>
        <v>15</v>
      </c>
      <c r="J938" s="3" t="str">
        <f>"13003"</f>
        <v>13003</v>
      </c>
      <c r="K938" s="4">
        <v>46084</v>
      </c>
      <c r="L938" s="4">
        <v>46086</v>
      </c>
      <c r="N938" s="1" t="s">
        <v>10491</v>
      </c>
    </row>
    <row r="939" spans="1:14" s="1" customFormat="1" x14ac:dyDescent="0.35">
      <c r="A939" s="1" t="s">
        <v>4492</v>
      </c>
      <c r="B939" s="1" t="s">
        <v>3822</v>
      </c>
      <c r="C939" s="1" t="s">
        <v>4057</v>
      </c>
      <c r="D939" s="1" t="s">
        <v>10490</v>
      </c>
      <c r="E939" s="1" t="str">
        <f>"5855"</f>
        <v>5855</v>
      </c>
      <c r="F939" s="1" t="str">
        <f>"015345931"</f>
        <v>015345931</v>
      </c>
      <c r="G939" s="1" t="s">
        <v>742</v>
      </c>
      <c r="H939" s="1" t="s">
        <v>15</v>
      </c>
      <c r="I939" s="1" t="str">
        <f>"18"</f>
        <v>18</v>
      </c>
      <c r="J939" s="3" t="str">
        <f>"970"</f>
        <v>970</v>
      </c>
      <c r="K939" s="4">
        <v>46084</v>
      </c>
      <c r="L939" s="4">
        <v>46087</v>
      </c>
      <c r="M939" s="1" t="s">
        <v>10489</v>
      </c>
      <c r="N939" s="1" t="s">
        <v>10488</v>
      </c>
    </row>
    <row r="940" spans="1:14" s="1" customFormat="1" x14ac:dyDescent="0.35">
      <c r="A940" s="1" t="s">
        <v>4492</v>
      </c>
      <c r="B940" s="1" t="s">
        <v>2368</v>
      </c>
      <c r="C940" s="1" t="s">
        <v>2369</v>
      </c>
      <c r="D940" s="1" t="s">
        <v>10487</v>
      </c>
      <c r="E940" s="1" t="str">
        <f>"8415"</f>
        <v>8415</v>
      </c>
      <c r="F940" s="1" t="str">
        <f>"016411683"</f>
        <v>016411683</v>
      </c>
      <c r="G940" s="1" t="s">
        <v>819</v>
      </c>
      <c r="H940" s="1" t="s">
        <v>47</v>
      </c>
      <c r="I940" s="1" t="str">
        <f>"1"</f>
        <v>1</v>
      </c>
      <c r="J940" s="3">
        <v>100.61</v>
      </c>
      <c r="K940" s="4">
        <v>46006</v>
      </c>
      <c r="L940" s="4">
        <v>46039</v>
      </c>
      <c r="M940" s="1" t="s">
        <v>4524</v>
      </c>
      <c r="N940" s="1" t="s">
        <v>2371</v>
      </c>
    </row>
    <row r="941" spans="1:14" s="1" customFormat="1" x14ac:dyDescent="0.35">
      <c r="A941" s="1" t="s">
        <v>4492</v>
      </c>
      <c r="B941" s="1" t="s">
        <v>2368</v>
      </c>
      <c r="C941" s="1" t="s">
        <v>2369</v>
      </c>
      <c r="D941" s="1" t="s">
        <v>10486</v>
      </c>
      <c r="E941" s="1" t="str">
        <f>"4240"</f>
        <v>4240</v>
      </c>
      <c r="F941" s="1" t="str">
        <f>"015257554"</f>
        <v>015257554</v>
      </c>
      <c r="G941" s="1" t="s">
        <v>5746</v>
      </c>
      <c r="H941" s="1" t="s">
        <v>15</v>
      </c>
      <c r="I941" s="1" t="str">
        <f>"20"</f>
        <v>20</v>
      </c>
      <c r="J941" s="3">
        <v>33.770000000000003</v>
      </c>
      <c r="K941" s="4">
        <v>46043</v>
      </c>
      <c r="L941" s="4">
        <v>46071</v>
      </c>
      <c r="M941" s="1" t="s">
        <v>10485</v>
      </c>
      <c r="N941" s="1" t="s">
        <v>10484</v>
      </c>
    </row>
    <row r="942" spans="1:14" s="1" customFormat="1" x14ac:dyDescent="0.35">
      <c r="A942" s="1" t="s">
        <v>4492</v>
      </c>
      <c r="B942" s="1" t="s">
        <v>2368</v>
      </c>
      <c r="C942" s="1" t="s">
        <v>2369</v>
      </c>
      <c r="D942" s="1" t="s">
        <v>10483</v>
      </c>
      <c r="E942" s="1" t="str">
        <f>"4240"</f>
        <v>4240</v>
      </c>
      <c r="F942" s="1" t="str">
        <f>"015723104"</f>
        <v>015723104</v>
      </c>
      <c r="G942" s="1" t="s">
        <v>2422</v>
      </c>
      <c r="H942" s="1" t="s">
        <v>15</v>
      </c>
      <c r="I942" s="1" t="str">
        <f>"20"</f>
        <v>20</v>
      </c>
      <c r="J942" s="3" t="str">
        <f>"20"</f>
        <v>20</v>
      </c>
      <c r="K942" s="4">
        <v>46043</v>
      </c>
      <c r="L942" s="4">
        <v>46108</v>
      </c>
      <c r="M942" s="1" t="s">
        <v>10482</v>
      </c>
      <c r="N942" s="1" t="s">
        <v>10481</v>
      </c>
    </row>
    <row r="943" spans="1:14" s="1" customFormat="1" x14ac:dyDescent="0.35">
      <c r="A943" s="1" t="s">
        <v>4492</v>
      </c>
      <c r="B943" s="1" t="s">
        <v>2368</v>
      </c>
      <c r="C943" s="1" t="s">
        <v>2369</v>
      </c>
      <c r="D943" s="1" t="s">
        <v>10480</v>
      </c>
      <c r="E943" s="1" t="str">
        <f>"8405"</f>
        <v>8405</v>
      </c>
      <c r="F943" s="1" t="s">
        <v>1381</v>
      </c>
      <c r="G943" s="1" t="s">
        <v>1382</v>
      </c>
      <c r="H943" s="1" t="s">
        <v>15</v>
      </c>
      <c r="I943" s="1" t="str">
        <f>"1"</f>
        <v>1</v>
      </c>
      <c r="J943" s="3" t="str">
        <f>"40"</f>
        <v>40</v>
      </c>
      <c r="K943" s="4">
        <v>46043</v>
      </c>
      <c r="L943" s="4">
        <v>46044</v>
      </c>
      <c r="M943" s="1" t="s">
        <v>4524</v>
      </c>
      <c r="N943" s="1" t="s">
        <v>10479</v>
      </c>
    </row>
    <row r="944" spans="1:14" s="1" customFormat="1" x14ac:dyDescent="0.35">
      <c r="A944" s="1" t="s">
        <v>4492</v>
      </c>
      <c r="B944" s="1" t="s">
        <v>2630</v>
      </c>
      <c r="C944" s="1" t="s">
        <v>2631</v>
      </c>
      <c r="D944" s="1" t="s">
        <v>10478</v>
      </c>
      <c r="E944" s="1" t="str">
        <f>"2360"</f>
        <v>2360</v>
      </c>
      <c r="F944" s="1" t="str">
        <f>"016631082"</f>
        <v>016631082</v>
      </c>
      <c r="G944" s="1" t="s">
        <v>1275</v>
      </c>
      <c r="H944" s="1" t="s">
        <v>15</v>
      </c>
      <c r="I944" s="1" t="str">
        <f>"1"</f>
        <v>1</v>
      </c>
      <c r="J944" s="3" t="str">
        <f>"77060"</f>
        <v>77060</v>
      </c>
      <c r="K944" s="4">
        <v>46092</v>
      </c>
      <c r="L944" s="4">
        <v>46095</v>
      </c>
      <c r="M944" s="1" t="s">
        <v>4524</v>
      </c>
      <c r="N944" s="1" t="s">
        <v>10477</v>
      </c>
    </row>
    <row r="945" spans="1:14" s="1" customFormat="1" x14ac:dyDescent="0.35">
      <c r="A945" s="1" t="s">
        <v>4492</v>
      </c>
      <c r="B945" s="1" t="s">
        <v>2630</v>
      </c>
      <c r="C945" s="1" t="s">
        <v>2631</v>
      </c>
      <c r="D945" s="1" t="s">
        <v>10476</v>
      </c>
      <c r="E945" s="1" t="str">
        <f>"4910"</f>
        <v>4910</v>
      </c>
      <c r="F945" s="1" t="s">
        <v>145</v>
      </c>
      <c r="G945" s="1" t="s">
        <v>146</v>
      </c>
      <c r="H945" s="1" t="s">
        <v>15</v>
      </c>
      <c r="I945" s="1" t="str">
        <f>"1"</f>
        <v>1</v>
      </c>
      <c r="J945" s="3" t="str">
        <f>"3500"</f>
        <v>3500</v>
      </c>
      <c r="K945" s="4">
        <v>46090</v>
      </c>
      <c r="L945" s="4">
        <v>46103</v>
      </c>
      <c r="M945" s="1" t="s">
        <v>10475</v>
      </c>
      <c r="N945" s="1" t="s">
        <v>10474</v>
      </c>
    </row>
    <row r="946" spans="1:14" s="1" customFormat="1" x14ac:dyDescent="0.35">
      <c r="A946" s="1" t="s">
        <v>4492</v>
      </c>
      <c r="B946" s="1" t="s">
        <v>2630</v>
      </c>
      <c r="C946" s="1" t="s">
        <v>2631</v>
      </c>
      <c r="D946" s="1" t="s">
        <v>10473</v>
      </c>
      <c r="E946" s="1" t="str">
        <f>"5855"</f>
        <v>5855</v>
      </c>
      <c r="F946" s="1" t="str">
        <f>"015847217"</f>
        <v>015847217</v>
      </c>
      <c r="G946" s="1" t="s">
        <v>614</v>
      </c>
      <c r="H946" s="1" t="s">
        <v>15</v>
      </c>
      <c r="I946" s="1" t="str">
        <f>"1"</f>
        <v>1</v>
      </c>
      <c r="J946" s="3" t="str">
        <f>"34084"</f>
        <v>34084</v>
      </c>
      <c r="K946" s="4">
        <v>46100</v>
      </c>
      <c r="L946" s="4">
        <v>46105</v>
      </c>
      <c r="M946" s="1" t="s">
        <v>10472</v>
      </c>
      <c r="N946" s="1" t="s">
        <v>10471</v>
      </c>
    </row>
    <row r="947" spans="1:14" s="1" customFormat="1" x14ac:dyDescent="0.35">
      <c r="A947" s="1" t="s">
        <v>4492</v>
      </c>
      <c r="B947" s="1" t="s">
        <v>1453</v>
      </c>
      <c r="C947" s="1" t="s">
        <v>10453</v>
      </c>
      <c r="D947" s="1" t="s">
        <v>10470</v>
      </c>
      <c r="E947" s="1" t="str">
        <f>"5855"</f>
        <v>5855</v>
      </c>
      <c r="F947" s="1" t="str">
        <f>"015485687"</f>
        <v>015485687</v>
      </c>
      <c r="G947" s="1" t="s">
        <v>798</v>
      </c>
      <c r="H947" s="1" t="s">
        <v>15</v>
      </c>
      <c r="I947" s="1" t="str">
        <f>"15"</f>
        <v>15</v>
      </c>
      <c r="J947" s="3" t="str">
        <f>"10402"</f>
        <v>10402</v>
      </c>
      <c r="K947" s="4">
        <v>46015</v>
      </c>
      <c r="L947" s="4">
        <v>46025</v>
      </c>
      <c r="M947" s="1" t="s">
        <v>4524</v>
      </c>
      <c r="N947" s="1" t="s">
        <v>10469</v>
      </c>
    </row>
    <row r="948" spans="1:14" s="1" customFormat="1" x14ac:dyDescent="0.35">
      <c r="A948" s="1" t="s">
        <v>4492</v>
      </c>
      <c r="B948" s="1" t="s">
        <v>1453</v>
      </c>
      <c r="C948" s="1" t="s">
        <v>10453</v>
      </c>
      <c r="D948" s="1" t="s">
        <v>10468</v>
      </c>
      <c r="E948" s="1" t="str">
        <f>"5855"</f>
        <v>5855</v>
      </c>
      <c r="F948" s="1" t="str">
        <f>"015330555"</f>
        <v>015330555</v>
      </c>
      <c r="G948" s="1" t="s">
        <v>476</v>
      </c>
      <c r="H948" s="1" t="s">
        <v>15</v>
      </c>
      <c r="I948" s="1" t="str">
        <f>"9"</f>
        <v>9</v>
      </c>
      <c r="J948" s="3" t="str">
        <f>"1800"</f>
        <v>1800</v>
      </c>
      <c r="K948" s="4">
        <v>46032</v>
      </c>
      <c r="L948" s="4">
        <v>46038</v>
      </c>
      <c r="M948" s="1" t="s">
        <v>4524</v>
      </c>
      <c r="N948" s="1" t="s">
        <v>10467</v>
      </c>
    </row>
    <row r="949" spans="1:14" s="1" customFormat="1" x14ac:dyDescent="0.35">
      <c r="A949" s="1" t="s">
        <v>4492</v>
      </c>
      <c r="B949" s="1" t="s">
        <v>1453</v>
      </c>
      <c r="C949" s="1" t="s">
        <v>10453</v>
      </c>
      <c r="D949" s="1" t="s">
        <v>10466</v>
      </c>
      <c r="E949" s="1" t="str">
        <f>"5855"</f>
        <v>5855</v>
      </c>
      <c r="F949" s="1" t="str">
        <f>"015051442"</f>
        <v>015051442</v>
      </c>
      <c r="G949" s="1" t="s">
        <v>614</v>
      </c>
      <c r="H949" s="1" t="s">
        <v>15</v>
      </c>
      <c r="I949" s="1" t="str">
        <f>"8"</f>
        <v>8</v>
      </c>
      <c r="J949" s="3" t="str">
        <f>"68850"</f>
        <v>68850</v>
      </c>
      <c r="K949" s="4">
        <v>46032</v>
      </c>
      <c r="L949" s="4">
        <v>46035</v>
      </c>
      <c r="M949" s="1" t="s">
        <v>4524</v>
      </c>
      <c r="N949" s="1" t="s">
        <v>10465</v>
      </c>
    </row>
    <row r="950" spans="1:14" s="1" customFormat="1" x14ac:dyDescent="0.35">
      <c r="A950" s="1" t="s">
        <v>4492</v>
      </c>
      <c r="B950" s="1" t="s">
        <v>1453</v>
      </c>
      <c r="C950" s="1" t="s">
        <v>10453</v>
      </c>
      <c r="D950" s="1" t="s">
        <v>10464</v>
      </c>
      <c r="E950" s="1" t="str">
        <f>"5855"</f>
        <v>5855</v>
      </c>
      <c r="F950" s="1" t="str">
        <f>"015847217"</f>
        <v>015847217</v>
      </c>
      <c r="G950" s="1" t="s">
        <v>614</v>
      </c>
      <c r="H950" s="1" t="s">
        <v>15</v>
      </c>
      <c r="I950" s="1" t="str">
        <f>"5"</f>
        <v>5</v>
      </c>
      <c r="J950" s="3" t="str">
        <f>"34084"</f>
        <v>34084</v>
      </c>
      <c r="K950" s="4">
        <v>46070</v>
      </c>
      <c r="L950" s="4">
        <v>46072</v>
      </c>
      <c r="M950" s="1" t="s">
        <v>4524</v>
      </c>
      <c r="N950" s="1" t="s">
        <v>10463</v>
      </c>
    </row>
    <row r="951" spans="1:14" s="1" customFormat="1" x14ac:dyDescent="0.35">
      <c r="A951" s="1" t="s">
        <v>4492</v>
      </c>
      <c r="B951" s="1" t="s">
        <v>1453</v>
      </c>
      <c r="C951" s="1" t="s">
        <v>10453</v>
      </c>
      <c r="D951" s="1" t="s">
        <v>10462</v>
      </c>
      <c r="E951" s="1" t="str">
        <f>"5855"</f>
        <v>5855</v>
      </c>
      <c r="F951" s="1" t="str">
        <f>"015847217"</f>
        <v>015847217</v>
      </c>
      <c r="G951" s="1" t="s">
        <v>614</v>
      </c>
      <c r="H951" s="1" t="s">
        <v>15</v>
      </c>
      <c r="I951" s="1" t="str">
        <f>"1"</f>
        <v>1</v>
      </c>
      <c r="J951" s="3" t="str">
        <f>"34084"</f>
        <v>34084</v>
      </c>
      <c r="K951" s="4">
        <v>46074</v>
      </c>
      <c r="L951" s="4">
        <v>46077</v>
      </c>
      <c r="M951" s="1" t="s">
        <v>4524</v>
      </c>
      <c r="N951" s="1" t="s">
        <v>10461</v>
      </c>
    </row>
    <row r="952" spans="1:14" s="1" customFormat="1" x14ac:dyDescent="0.35">
      <c r="A952" s="1" t="s">
        <v>4492</v>
      </c>
      <c r="B952" s="1" t="s">
        <v>1453</v>
      </c>
      <c r="C952" s="1" t="s">
        <v>10453</v>
      </c>
      <c r="D952" s="1" t="s">
        <v>10460</v>
      </c>
      <c r="E952" s="1" t="str">
        <f>"5855"</f>
        <v>5855</v>
      </c>
      <c r="F952" s="1" t="str">
        <f>"016002918"</f>
        <v>016002918</v>
      </c>
      <c r="G952" s="1" t="s">
        <v>5814</v>
      </c>
      <c r="H952" s="1" t="s">
        <v>15</v>
      </c>
      <c r="I952" s="1" t="str">
        <f>"1"</f>
        <v>1</v>
      </c>
      <c r="J952" s="3" t="str">
        <f>"27000"</f>
        <v>27000</v>
      </c>
      <c r="K952" s="4">
        <v>46083</v>
      </c>
      <c r="L952" s="4">
        <v>46087</v>
      </c>
      <c r="M952" s="1" t="s">
        <v>4524</v>
      </c>
      <c r="N952" s="1" t="s">
        <v>10459</v>
      </c>
    </row>
    <row r="953" spans="1:14" s="1" customFormat="1" x14ac:dyDescent="0.35">
      <c r="A953" s="1" t="s">
        <v>4492</v>
      </c>
      <c r="B953" s="1" t="s">
        <v>1453</v>
      </c>
      <c r="C953" s="1" t="s">
        <v>10453</v>
      </c>
      <c r="D953" s="1" t="s">
        <v>10458</v>
      </c>
      <c r="E953" s="1" t="str">
        <f>"5855"</f>
        <v>5855</v>
      </c>
      <c r="F953" s="1" t="str">
        <f>"014199429"</f>
        <v>014199429</v>
      </c>
      <c r="G953" s="1" t="s">
        <v>614</v>
      </c>
      <c r="H953" s="1" t="s">
        <v>15</v>
      </c>
      <c r="I953" s="1" t="str">
        <f>"10"</f>
        <v>10</v>
      </c>
      <c r="J953" s="3" t="str">
        <f>"13003"</f>
        <v>13003</v>
      </c>
      <c r="K953" s="4">
        <v>46083</v>
      </c>
      <c r="L953" s="4">
        <v>46095</v>
      </c>
      <c r="M953" s="1" t="s">
        <v>10457</v>
      </c>
      <c r="N953" s="1" t="s">
        <v>10456</v>
      </c>
    </row>
    <row r="954" spans="1:14" s="1" customFormat="1" x14ac:dyDescent="0.35">
      <c r="A954" s="1" t="s">
        <v>4492</v>
      </c>
      <c r="B954" s="1" t="s">
        <v>1453</v>
      </c>
      <c r="C954" s="1" t="s">
        <v>10453</v>
      </c>
      <c r="D954" s="1" t="s">
        <v>10455</v>
      </c>
      <c r="E954" s="1" t="str">
        <f>"5855"</f>
        <v>5855</v>
      </c>
      <c r="F954" s="1" t="str">
        <f>"015777174"</f>
        <v>015777174</v>
      </c>
      <c r="G954" s="1" t="s">
        <v>952</v>
      </c>
      <c r="H954" s="1" t="s">
        <v>15</v>
      </c>
      <c r="I954" s="1" t="str">
        <f>"5"</f>
        <v>5</v>
      </c>
      <c r="J954" s="3" t="str">
        <f>"1791"</f>
        <v>1791</v>
      </c>
      <c r="K954" s="4">
        <v>46095</v>
      </c>
      <c r="L954" s="4">
        <v>46099</v>
      </c>
      <c r="M954" s="1" t="s">
        <v>4524</v>
      </c>
      <c r="N954" s="1" t="s">
        <v>10454</v>
      </c>
    </row>
    <row r="955" spans="1:14" s="1" customFormat="1" x14ac:dyDescent="0.35">
      <c r="A955" s="1" t="s">
        <v>4492</v>
      </c>
      <c r="B955" s="1" t="s">
        <v>1453</v>
      </c>
      <c r="C955" s="1" t="s">
        <v>10453</v>
      </c>
      <c r="D955" s="1" t="s">
        <v>10452</v>
      </c>
      <c r="E955" s="1" t="str">
        <f>"4240"</f>
        <v>4240</v>
      </c>
      <c r="F955" s="1" t="str">
        <f>"015835206"</f>
        <v>015835206</v>
      </c>
      <c r="G955" s="1" t="s">
        <v>1404</v>
      </c>
      <c r="H955" s="1" t="s">
        <v>15</v>
      </c>
      <c r="I955" s="1" t="str">
        <f>"20"</f>
        <v>20</v>
      </c>
      <c r="J955" s="3">
        <v>52.5</v>
      </c>
      <c r="K955" s="4">
        <v>46095</v>
      </c>
      <c r="L955" s="4">
        <v>46109</v>
      </c>
      <c r="M955" s="1" t="s">
        <v>10451</v>
      </c>
      <c r="N955" s="1" t="s">
        <v>10450</v>
      </c>
    </row>
    <row r="956" spans="1:14" s="1" customFormat="1" x14ac:dyDescent="0.35">
      <c r="A956" s="1" t="s">
        <v>4492</v>
      </c>
      <c r="B956" s="1" t="s">
        <v>2368</v>
      </c>
      <c r="C956" s="1" t="s">
        <v>10449</v>
      </c>
      <c r="D956" s="1" t="s">
        <v>10448</v>
      </c>
      <c r="E956" s="1" t="str">
        <f>"6130"</f>
        <v>6130</v>
      </c>
      <c r="F956" s="1" t="s">
        <v>10447</v>
      </c>
      <c r="G956" s="1" t="s">
        <v>10446</v>
      </c>
      <c r="H956" s="1" t="s">
        <v>15</v>
      </c>
      <c r="I956" s="1" t="str">
        <f>"1"</f>
        <v>1</v>
      </c>
      <c r="J956" s="3" t="str">
        <f>"799"</f>
        <v>799</v>
      </c>
      <c r="K956" s="4">
        <v>46095</v>
      </c>
      <c r="L956" s="4">
        <v>46101</v>
      </c>
      <c r="M956" s="1" t="s">
        <v>10445</v>
      </c>
      <c r="N956" s="1" t="s">
        <v>10444</v>
      </c>
    </row>
    <row r="957" spans="1:14" s="1" customFormat="1" x14ac:dyDescent="0.35">
      <c r="A957" s="1" t="s">
        <v>4492</v>
      </c>
      <c r="B957" s="1" t="s">
        <v>1516</v>
      </c>
      <c r="C957" s="1" t="s">
        <v>10441</v>
      </c>
      <c r="D957" s="1" t="s">
        <v>10443</v>
      </c>
      <c r="E957" s="1" t="str">
        <f>"3805"</f>
        <v>3805</v>
      </c>
      <c r="F957" s="1" t="s">
        <v>1020</v>
      </c>
      <c r="G957" s="1" t="s">
        <v>1021</v>
      </c>
      <c r="H957" s="1" t="s">
        <v>15</v>
      </c>
      <c r="I957" s="1" t="str">
        <f>"1"</f>
        <v>1</v>
      </c>
      <c r="J957" s="3" t="str">
        <f>"37206"</f>
        <v>37206</v>
      </c>
      <c r="K957" s="4">
        <v>46027</v>
      </c>
      <c r="L957" s="4">
        <v>46030</v>
      </c>
      <c r="N957" s="1" t="s">
        <v>10442</v>
      </c>
    </row>
    <row r="958" spans="1:14" s="1" customFormat="1" x14ac:dyDescent="0.35">
      <c r="A958" s="1" t="s">
        <v>4492</v>
      </c>
      <c r="B958" s="1" t="s">
        <v>1516</v>
      </c>
      <c r="C958" s="1" t="s">
        <v>10441</v>
      </c>
      <c r="D958" s="1" t="s">
        <v>10440</v>
      </c>
      <c r="E958" s="1" t="str">
        <f>"3805"</f>
        <v>3805</v>
      </c>
      <c r="F958" s="1" t="s">
        <v>1020</v>
      </c>
      <c r="G958" s="1" t="s">
        <v>1021</v>
      </c>
      <c r="H958" s="1" t="s">
        <v>15</v>
      </c>
      <c r="I958" s="1" t="str">
        <f>"1"</f>
        <v>1</v>
      </c>
      <c r="J958" s="3" t="str">
        <f>"60010"</f>
        <v>60010</v>
      </c>
      <c r="K958" s="4">
        <v>46104</v>
      </c>
      <c r="L958" s="4">
        <v>46105</v>
      </c>
      <c r="M958" s="1" t="s">
        <v>4556</v>
      </c>
      <c r="N958" s="1" t="s">
        <v>10439</v>
      </c>
    </row>
    <row r="959" spans="1:14" s="1" customFormat="1" x14ac:dyDescent="0.35">
      <c r="A959" s="1" t="s">
        <v>4492</v>
      </c>
      <c r="B959" s="1" t="s">
        <v>4247</v>
      </c>
      <c r="C959" s="1" t="s">
        <v>10436</v>
      </c>
      <c r="D959" s="1" t="s">
        <v>10438</v>
      </c>
      <c r="E959" s="1" t="str">
        <f>"1005"</f>
        <v>1005</v>
      </c>
      <c r="F959" s="1" t="str">
        <f>"016976892"</f>
        <v>016976892</v>
      </c>
      <c r="G959" s="1" t="s">
        <v>1886</v>
      </c>
      <c r="H959" s="1" t="s">
        <v>15</v>
      </c>
      <c r="I959" s="1" t="str">
        <f>"1"</f>
        <v>1</v>
      </c>
      <c r="J959" s="3" t="str">
        <f>"1804"</f>
        <v>1804</v>
      </c>
      <c r="K959" s="4">
        <v>46031</v>
      </c>
      <c r="L959" s="4">
        <v>46033</v>
      </c>
      <c r="M959" s="1" t="s">
        <v>4524</v>
      </c>
      <c r="N959" s="1" t="s">
        <v>10437</v>
      </c>
    </row>
    <row r="960" spans="1:14" s="1" customFormat="1" x14ac:dyDescent="0.35">
      <c r="A960" s="1" t="s">
        <v>4492</v>
      </c>
      <c r="B960" s="1" t="s">
        <v>4247</v>
      </c>
      <c r="C960" s="1" t="s">
        <v>10436</v>
      </c>
      <c r="D960" s="1" t="s">
        <v>10435</v>
      </c>
      <c r="E960" s="1" t="str">
        <f>"5855"</f>
        <v>5855</v>
      </c>
      <c r="F960" s="1" t="str">
        <f>"016299933"</f>
        <v>016299933</v>
      </c>
      <c r="G960" s="1" t="s">
        <v>8315</v>
      </c>
      <c r="H960" s="1" t="s">
        <v>15</v>
      </c>
      <c r="I960" s="1" t="str">
        <f>"22"</f>
        <v>22</v>
      </c>
      <c r="J960" s="3" t="str">
        <f>"19625"</f>
        <v>19625</v>
      </c>
      <c r="K960" s="4">
        <v>46034</v>
      </c>
      <c r="L960" s="4">
        <v>46034</v>
      </c>
      <c r="N960" s="1" t="s">
        <v>10434</v>
      </c>
    </row>
    <row r="961" spans="1:14" s="1" customFormat="1" x14ac:dyDescent="0.35">
      <c r="A961" s="1" t="s">
        <v>4492</v>
      </c>
      <c r="B961" s="1" t="s">
        <v>1791</v>
      </c>
      <c r="C961" s="1" t="s">
        <v>1795</v>
      </c>
      <c r="D961" s="1" t="s">
        <v>10433</v>
      </c>
      <c r="E961" s="1" t="str">
        <f>"8340"</f>
        <v>8340</v>
      </c>
      <c r="F961" s="1" t="str">
        <f>"015667196"</f>
        <v>015667196</v>
      </c>
      <c r="G961" s="1" t="s">
        <v>10432</v>
      </c>
      <c r="H961" s="1" t="s">
        <v>15</v>
      </c>
      <c r="I961" s="1" t="str">
        <f>"2"</f>
        <v>2</v>
      </c>
      <c r="J961" s="3">
        <v>637.07000000000005</v>
      </c>
      <c r="K961" s="4">
        <v>45980</v>
      </c>
      <c r="L961" s="4">
        <v>46094</v>
      </c>
      <c r="M961" s="1" t="s">
        <v>10431</v>
      </c>
      <c r="N961" s="1" t="s">
        <v>10430</v>
      </c>
    </row>
    <row r="962" spans="1:14" s="1" customFormat="1" x14ac:dyDescent="0.35">
      <c r="A962" s="1" t="s">
        <v>4492</v>
      </c>
      <c r="B962" s="1" t="s">
        <v>1791</v>
      </c>
      <c r="C962" s="1" t="s">
        <v>1795</v>
      </c>
      <c r="D962" s="1" t="s">
        <v>10429</v>
      </c>
      <c r="E962" s="1" t="str">
        <f>"3920"</f>
        <v>3920</v>
      </c>
      <c r="F962" s="1" t="s">
        <v>8064</v>
      </c>
      <c r="G962" s="1" t="s">
        <v>8063</v>
      </c>
      <c r="H962" s="1" t="s">
        <v>15</v>
      </c>
      <c r="I962" s="1" t="str">
        <f>"1"</f>
        <v>1</v>
      </c>
      <c r="J962" s="3" t="str">
        <f>"5596"</f>
        <v>5596</v>
      </c>
      <c r="K962" s="4">
        <v>45997</v>
      </c>
      <c r="L962" s="4">
        <v>46031</v>
      </c>
      <c r="M962" s="1" t="s">
        <v>10428</v>
      </c>
      <c r="N962" s="1" t="s">
        <v>10427</v>
      </c>
    </row>
    <row r="963" spans="1:14" s="1" customFormat="1" x14ac:dyDescent="0.35">
      <c r="A963" s="1" t="s">
        <v>4492</v>
      </c>
      <c r="B963" s="1" t="s">
        <v>1791</v>
      </c>
      <c r="C963" s="1" t="s">
        <v>1799</v>
      </c>
      <c r="D963" s="1" t="s">
        <v>10426</v>
      </c>
      <c r="E963" s="1" t="str">
        <f>"1240"</f>
        <v>1240</v>
      </c>
      <c r="F963" s="1" t="str">
        <f>"014111265"</f>
        <v>014111265</v>
      </c>
      <c r="G963" s="1" t="s">
        <v>71</v>
      </c>
      <c r="H963" s="1" t="s">
        <v>15</v>
      </c>
      <c r="I963" s="1" t="str">
        <f>"4"</f>
        <v>4</v>
      </c>
      <c r="J963" s="3" t="str">
        <f>"339"</f>
        <v>339</v>
      </c>
      <c r="K963" s="4">
        <v>46049</v>
      </c>
      <c r="L963" s="4">
        <v>46071</v>
      </c>
      <c r="M963" s="1" t="s">
        <v>10425</v>
      </c>
      <c r="N963" s="1" t="s">
        <v>10424</v>
      </c>
    </row>
    <row r="964" spans="1:14" s="1" customFormat="1" x14ac:dyDescent="0.35">
      <c r="A964" s="1" t="s">
        <v>4492</v>
      </c>
      <c r="B964" s="1" t="s">
        <v>1791</v>
      </c>
      <c r="C964" s="1" t="s">
        <v>1799</v>
      </c>
      <c r="D964" s="1" t="s">
        <v>10423</v>
      </c>
      <c r="E964" s="1" t="str">
        <f>"6545"</f>
        <v>6545</v>
      </c>
      <c r="F964" s="1" t="str">
        <f>"015841582"</f>
        <v>015841582</v>
      </c>
      <c r="G964" s="1" t="s">
        <v>990</v>
      </c>
      <c r="H964" s="1" t="s">
        <v>168</v>
      </c>
      <c r="I964" s="1" t="str">
        <f>"10"</f>
        <v>10</v>
      </c>
      <c r="J964" s="3">
        <v>103.24</v>
      </c>
      <c r="K964" s="4">
        <v>46061</v>
      </c>
      <c r="L964" s="4">
        <v>46063</v>
      </c>
      <c r="N964" s="1" t="s">
        <v>10422</v>
      </c>
    </row>
    <row r="965" spans="1:14" s="1" customFormat="1" x14ac:dyDescent="0.35">
      <c r="A965" s="1" t="s">
        <v>4492</v>
      </c>
      <c r="B965" s="1" t="s">
        <v>1791</v>
      </c>
      <c r="C965" s="1" t="s">
        <v>1799</v>
      </c>
      <c r="D965" s="1" t="s">
        <v>10421</v>
      </c>
      <c r="E965" s="1" t="str">
        <f>"6545"</f>
        <v>6545</v>
      </c>
      <c r="F965" s="1" t="str">
        <f>"015841582"</f>
        <v>015841582</v>
      </c>
      <c r="G965" s="1" t="s">
        <v>990</v>
      </c>
      <c r="H965" s="1" t="s">
        <v>168</v>
      </c>
      <c r="I965" s="1" t="str">
        <f>"12"</f>
        <v>12</v>
      </c>
      <c r="J965" s="3">
        <v>103.24</v>
      </c>
      <c r="K965" s="4">
        <v>46074</v>
      </c>
      <c r="L965" s="4">
        <v>46074</v>
      </c>
      <c r="N965" s="1" t="s">
        <v>10419</v>
      </c>
    </row>
    <row r="966" spans="1:14" s="1" customFormat="1" x14ac:dyDescent="0.35">
      <c r="A966" s="1" t="s">
        <v>4492</v>
      </c>
      <c r="B966" s="1" t="s">
        <v>1791</v>
      </c>
      <c r="C966" s="1" t="s">
        <v>1799</v>
      </c>
      <c r="D966" s="1" t="s">
        <v>10420</v>
      </c>
      <c r="E966" s="1" t="str">
        <f>"6545"</f>
        <v>6545</v>
      </c>
      <c r="F966" s="1" t="str">
        <f>"015841582"</f>
        <v>015841582</v>
      </c>
      <c r="G966" s="1" t="s">
        <v>990</v>
      </c>
      <c r="H966" s="1" t="s">
        <v>168</v>
      </c>
      <c r="I966" s="1" t="str">
        <f>"12"</f>
        <v>12</v>
      </c>
      <c r="J966" s="3">
        <v>103.24</v>
      </c>
      <c r="K966" s="4">
        <v>46074</v>
      </c>
      <c r="L966" s="4">
        <v>46074</v>
      </c>
      <c r="M966" s="1" t="s">
        <v>4524</v>
      </c>
      <c r="N966" s="1" t="s">
        <v>10419</v>
      </c>
    </row>
    <row r="967" spans="1:14" s="1" customFormat="1" x14ac:dyDescent="0.35">
      <c r="A967" s="1" t="s">
        <v>4492</v>
      </c>
      <c r="B967" s="1" t="s">
        <v>1791</v>
      </c>
      <c r="C967" s="1" t="s">
        <v>1799</v>
      </c>
      <c r="D967" s="1" t="s">
        <v>10418</v>
      </c>
      <c r="E967" s="1" t="str">
        <f>"5855"</f>
        <v>5855</v>
      </c>
      <c r="F967" s="1" t="str">
        <f>"016943200"</f>
        <v>016943200</v>
      </c>
      <c r="G967" s="1" t="s">
        <v>5814</v>
      </c>
      <c r="H967" s="1" t="s">
        <v>15</v>
      </c>
      <c r="I967" s="1" t="str">
        <f>"5"</f>
        <v>5</v>
      </c>
      <c r="J967" s="3" t="str">
        <f>"35000"</f>
        <v>35000</v>
      </c>
      <c r="K967" s="4">
        <v>46100</v>
      </c>
      <c r="L967" s="4">
        <v>46103</v>
      </c>
      <c r="M967" s="1" t="s">
        <v>10417</v>
      </c>
      <c r="N967" s="1" t="s">
        <v>10416</v>
      </c>
    </row>
    <row r="968" spans="1:14" s="1" customFormat="1" x14ac:dyDescent="0.35">
      <c r="A968" s="1" t="s">
        <v>4492</v>
      </c>
      <c r="B968" s="1" t="s">
        <v>4883</v>
      </c>
      <c r="C968" s="1" t="s">
        <v>10396</v>
      </c>
      <c r="D968" s="1" t="s">
        <v>10415</v>
      </c>
      <c r="E968" s="1" t="str">
        <f>"5855"</f>
        <v>5855</v>
      </c>
      <c r="F968" s="1" t="str">
        <f>"015485687"</f>
        <v>015485687</v>
      </c>
      <c r="G968" s="1" t="s">
        <v>798</v>
      </c>
      <c r="H968" s="1" t="s">
        <v>15</v>
      </c>
      <c r="I968" s="1" t="str">
        <f>"15"</f>
        <v>15</v>
      </c>
      <c r="J968" s="3" t="str">
        <f>"10402"</f>
        <v>10402</v>
      </c>
      <c r="K968" s="4">
        <v>46042</v>
      </c>
      <c r="L968" s="4">
        <v>46043</v>
      </c>
      <c r="N968" s="1" t="s">
        <v>10414</v>
      </c>
    </row>
    <row r="969" spans="1:14" s="1" customFormat="1" x14ac:dyDescent="0.35">
      <c r="A969" s="1" t="s">
        <v>4492</v>
      </c>
      <c r="B969" s="1" t="s">
        <v>4883</v>
      </c>
      <c r="C969" s="1" t="s">
        <v>10396</v>
      </c>
      <c r="D969" s="1" t="s">
        <v>10413</v>
      </c>
      <c r="E969" s="1" t="str">
        <f>"5855"</f>
        <v>5855</v>
      </c>
      <c r="F969" s="1" t="str">
        <f>"015485687"</f>
        <v>015485687</v>
      </c>
      <c r="G969" s="1" t="s">
        <v>798</v>
      </c>
      <c r="H969" s="1" t="s">
        <v>15</v>
      </c>
      <c r="I969" s="1" t="str">
        <f>"15"</f>
        <v>15</v>
      </c>
      <c r="J969" s="3" t="str">
        <f>"10402"</f>
        <v>10402</v>
      </c>
      <c r="K969" s="4">
        <v>46043</v>
      </c>
      <c r="L969" s="4">
        <v>46043</v>
      </c>
      <c r="M969" s="1" t="s">
        <v>4556</v>
      </c>
      <c r="N969" s="1" t="s">
        <v>10412</v>
      </c>
    </row>
    <row r="970" spans="1:14" s="1" customFormat="1" x14ac:dyDescent="0.35">
      <c r="A970" s="1" t="s">
        <v>4492</v>
      </c>
      <c r="B970" s="1" t="s">
        <v>4883</v>
      </c>
      <c r="C970" s="1" t="s">
        <v>10396</v>
      </c>
      <c r="D970" s="1" t="s">
        <v>10411</v>
      </c>
      <c r="E970" s="1" t="str">
        <f>"5855"</f>
        <v>5855</v>
      </c>
      <c r="F970" s="1" t="str">
        <f>"015485687"</f>
        <v>015485687</v>
      </c>
      <c r="G970" s="1" t="s">
        <v>798</v>
      </c>
      <c r="H970" s="1" t="s">
        <v>15</v>
      </c>
      <c r="I970" s="1" t="str">
        <f>"1"</f>
        <v>1</v>
      </c>
      <c r="J970" s="3" t="str">
        <f>"10402"</f>
        <v>10402</v>
      </c>
      <c r="K970" s="4">
        <v>46043</v>
      </c>
      <c r="L970" s="4">
        <v>46043</v>
      </c>
      <c r="N970" s="1" t="s">
        <v>10410</v>
      </c>
    </row>
    <row r="971" spans="1:14" s="1" customFormat="1" x14ac:dyDescent="0.35">
      <c r="A971" s="1" t="s">
        <v>4492</v>
      </c>
      <c r="B971" s="1" t="s">
        <v>4883</v>
      </c>
      <c r="C971" s="1" t="s">
        <v>10396</v>
      </c>
      <c r="D971" s="1" t="s">
        <v>10409</v>
      </c>
      <c r="E971" s="1" t="str">
        <f>"5855"</f>
        <v>5855</v>
      </c>
      <c r="F971" s="1" t="str">
        <f>"015485687"</f>
        <v>015485687</v>
      </c>
      <c r="G971" s="1" t="s">
        <v>798</v>
      </c>
      <c r="H971" s="1" t="s">
        <v>15</v>
      </c>
      <c r="I971" s="1" t="str">
        <f>"15"</f>
        <v>15</v>
      </c>
      <c r="J971" s="3" t="str">
        <f>"10402"</f>
        <v>10402</v>
      </c>
      <c r="K971" s="4">
        <v>46043</v>
      </c>
      <c r="L971" s="4">
        <v>46071</v>
      </c>
      <c r="M971" s="1" t="s">
        <v>10408</v>
      </c>
      <c r="N971" s="1" t="s">
        <v>10407</v>
      </c>
    </row>
    <row r="972" spans="1:14" s="1" customFormat="1" x14ac:dyDescent="0.35">
      <c r="A972" s="1" t="s">
        <v>4492</v>
      </c>
      <c r="B972" s="1" t="s">
        <v>4883</v>
      </c>
      <c r="C972" s="1" t="s">
        <v>10396</v>
      </c>
      <c r="D972" s="1" t="s">
        <v>10406</v>
      </c>
      <c r="E972" s="1" t="str">
        <f>"5855"</f>
        <v>5855</v>
      </c>
      <c r="F972" s="1" t="s">
        <v>1390</v>
      </c>
      <c r="G972" s="1" t="s">
        <v>1391</v>
      </c>
      <c r="H972" s="1" t="s">
        <v>15</v>
      </c>
      <c r="I972" s="1" t="str">
        <f>"3"</f>
        <v>3</v>
      </c>
      <c r="J972" s="3" t="str">
        <f>"13500"</f>
        <v>13500</v>
      </c>
      <c r="K972" s="4">
        <v>46052</v>
      </c>
      <c r="L972" s="4">
        <v>46055</v>
      </c>
      <c r="M972" s="1" t="s">
        <v>4524</v>
      </c>
      <c r="N972" s="1" t="s">
        <v>10405</v>
      </c>
    </row>
    <row r="973" spans="1:14" s="1" customFormat="1" x14ac:dyDescent="0.35">
      <c r="A973" s="1" t="s">
        <v>4492</v>
      </c>
      <c r="B973" s="1" t="s">
        <v>4883</v>
      </c>
      <c r="C973" s="1" t="s">
        <v>10396</v>
      </c>
      <c r="D973" s="1" t="s">
        <v>10404</v>
      </c>
      <c r="E973" s="1" t="str">
        <f>"8140"</f>
        <v>8140</v>
      </c>
      <c r="F973" s="1" t="str">
        <f>"009601699"</f>
        <v>009601699</v>
      </c>
      <c r="G973" s="1" t="s">
        <v>4074</v>
      </c>
      <c r="H973" s="1" t="s">
        <v>15</v>
      </c>
      <c r="I973" s="1" t="str">
        <f>"100"</f>
        <v>100</v>
      </c>
      <c r="J973" s="3">
        <v>11.1</v>
      </c>
      <c r="K973" s="4">
        <v>46065</v>
      </c>
      <c r="L973" s="4">
        <v>46067</v>
      </c>
      <c r="M973" s="1" t="s">
        <v>4524</v>
      </c>
      <c r="N973" s="1" t="s">
        <v>10403</v>
      </c>
    </row>
    <row r="974" spans="1:14" s="1" customFormat="1" x14ac:dyDescent="0.35">
      <c r="A974" s="1" t="s">
        <v>4492</v>
      </c>
      <c r="B974" s="1" t="s">
        <v>4883</v>
      </c>
      <c r="C974" s="1" t="s">
        <v>10396</v>
      </c>
      <c r="D974" s="1" t="s">
        <v>10402</v>
      </c>
      <c r="E974" s="1" t="str">
        <f>"5855"</f>
        <v>5855</v>
      </c>
      <c r="F974" s="1" t="s">
        <v>1390</v>
      </c>
      <c r="G974" s="1" t="s">
        <v>1391</v>
      </c>
      <c r="H974" s="1" t="s">
        <v>15</v>
      </c>
      <c r="I974" s="1" t="str">
        <f>"3"</f>
        <v>3</v>
      </c>
      <c r="J974" s="3" t="str">
        <f>"13500"</f>
        <v>13500</v>
      </c>
      <c r="K974" s="4">
        <v>46063</v>
      </c>
      <c r="L974" s="4">
        <v>46071</v>
      </c>
      <c r="M974" s="1" t="s">
        <v>10401</v>
      </c>
      <c r="N974" s="1" t="s">
        <v>10400</v>
      </c>
    </row>
    <row r="975" spans="1:14" s="1" customFormat="1" x14ac:dyDescent="0.35">
      <c r="A975" s="1" t="s">
        <v>4492</v>
      </c>
      <c r="B975" s="1" t="s">
        <v>4883</v>
      </c>
      <c r="C975" s="1" t="s">
        <v>10396</v>
      </c>
      <c r="D975" s="1" t="s">
        <v>10399</v>
      </c>
      <c r="E975" s="1" t="str">
        <f>"5855"</f>
        <v>5855</v>
      </c>
      <c r="F975" s="1" t="str">
        <f>"015790062"</f>
        <v>015790062</v>
      </c>
      <c r="G975" s="1" t="s">
        <v>742</v>
      </c>
      <c r="H975" s="1" t="s">
        <v>15</v>
      </c>
      <c r="I975" s="1" t="str">
        <f>"5"</f>
        <v>5</v>
      </c>
      <c r="J975" s="3" t="str">
        <f>"900"</f>
        <v>900</v>
      </c>
      <c r="K975" s="4">
        <v>46077</v>
      </c>
      <c r="L975" s="4">
        <v>46088</v>
      </c>
      <c r="M975" s="1" t="s">
        <v>10398</v>
      </c>
      <c r="N975" s="1" t="s">
        <v>10397</v>
      </c>
    </row>
    <row r="976" spans="1:14" s="1" customFormat="1" x14ac:dyDescent="0.35">
      <c r="A976" s="1" t="s">
        <v>4492</v>
      </c>
      <c r="B976" s="1" t="s">
        <v>4883</v>
      </c>
      <c r="C976" s="1" t="s">
        <v>10396</v>
      </c>
      <c r="D976" s="1" t="s">
        <v>10395</v>
      </c>
      <c r="E976" s="1" t="str">
        <f>"5855"</f>
        <v>5855</v>
      </c>
      <c r="F976" s="1" t="str">
        <f>"015790062"</f>
        <v>015790062</v>
      </c>
      <c r="G976" s="1" t="s">
        <v>742</v>
      </c>
      <c r="H976" s="1" t="s">
        <v>15</v>
      </c>
      <c r="I976" s="1" t="str">
        <f>"6"</f>
        <v>6</v>
      </c>
      <c r="J976" s="3" t="str">
        <f>"900"</f>
        <v>900</v>
      </c>
      <c r="K976" s="4">
        <v>46084</v>
      </c>
      <c r="L976" s="4">
        <v>46105</v>
      </c>
      <c r="M976" s="1" t="s">
        <v>10394</v>
      </c>
      <c r="N976" s="1" t="s">
        <v>10393</v>
      </c>
    </row>
    <row r="977" spans="1:14" s="1" customFormat="1" x14ac:dyDescent="0.35">
      <c r="A977" s="1" t="s">
        <v>4492</v>
      </c>
      <c r="B977" s="1" t="s">
        <v>3356</v>
      </c>
      <c r="C977" s="1" t="s">
        <v>10390</v>
      </c>
      <c r="D977" s="1" t="s">
        <v>10392</v>
      </c>
      <c r="E977" s="1" t="str">
        <f>"2340"</f>
        <v>2340</v>
      </c>
      <c r="F977" s="1" t="s">
        <v>1071</v>
      </c>
      <c r="G977" s="1" t="s">
        <v>1072</v>
      </c>
      <c r="H977" s="1" t="s">
        <v>15</v>
      </c>
      <c r="I977" s="1" t="str">
        <f>"2"</f>
        <v>2</v>
      </c>
      <c r="J977" s="3">
        <v>14227.95</v>
      </c>
      <c r="K977" s="4">
        <v>46062</v>
      </c>
      <c r="L977" s="4">
        <v>46062</v>
      </c>
      <c r="M977" s="1" t="s">
        <v>4524</v>
      </c>
      <c r="N977" s="1" t="s">
        <v>10391</v>
      </c>
    </row>
    <row r="978" spans="1:14" s="1" customFormat="1" x14ac:dyDescent="0.35">
      <c r="A978" s="1" t="s">
        <v>4492</v>
      </c>
      <c r="B978" s="1" t="s">
        <v>3356</v>
      </c>
      <c r="C978" s="1" t="s">
        <v>10390</v>
      </c>
      <c r="D978" s="1" t="s">
        <v>10389</v>
      </c>
      <c r="E978" s="1" t="str">
        <f>"2330"</f>
        <v>2330</v>
      </c>
      <c r="F978" s="1" t="s">
        <v>104</v>
      </c>
      <c r="G978" s="1" t="s">
        <v>105</v>
      </c>
      <c r="H978" s="1" t="s">
        <v>15</v>
      </c>
      <c r="I978" s="1" t="str">
        <f>"1"</f>
        <v>1</v>
      </c>
      <c r="J978" s="3" t="str">
        <f>"45080"</f>
        <v>45080</v>
      </c>
      <c r="K978" s="4">
        <v>46062</v>
      </c>
      <c r="L978" s="4">
        <v>46062</v>
      </c>
      <c r="M978" s="1" t="s">
        <v>4524</v>
      </c>
      <c r="N978" s="1" t="s">
        <v>10388</v>
      </c>
    </row>
    <row r="979" spans="1:14" s="1" customFormat="1" x14ac:dyDescent="0.35">
      <c r="A979" s="1" t="s">
        <v>4492</v>
      </c>
      <c r="B979" s="1" t="s">
        <v>1176</v>
      </c>
      <c r="C979" s="1" t="s">
        <v>1182</v>
      </c>
      <c r="D979" s="1" t="s">
        <v>10387</v>
      </c>
      <c r="E979" s="1" t="str">
        <f>"5855"</f>
        <v>5855</v>
      </c>
      <c r="F979" s="1" t="str">
        <f>"015485687"</f>
        <v>015485687</v>
      </c>
      <c r="G979" s="1" t="s">
        <v>798</v>
      </c>
      <c r="H979" s="1" t="s">
        <v>15</v>
      </c>
      <c r="I979" s="1" t="str">
        <f>"5"</f>
        <v>5</v>
      </c>
      <c r="J979" s="3" t="str">
        <f>"10402"</f>
        <v>10402</v>
      </c>
      <c r="K979" s="4">
        <v>46020</v>
      </c>
      <c r="L979" s="4">
        <v>46025</v>
      </c>
      <c r="M979" s="1" t="s">
        <v>10386</v>
      </c>
      <c r="N979" s="1" t="s">
        <v>10385</v>
      </c>
    </row>
    <row r="980" spans="1:14" s="1" customFormat="1" x14ac:dyDescent="0.35">
      <c r="A980" s="1" t="s">
        <v>4492</v>
      </c>
      <c r="B980" s="1" t="s">
        <v>1176</v>
      </c>
      <c r="C980" s="1" t="s">
        <v>1182</v>
      </c>
      <c r="D980" s="1" t="s">
        <v>10384</v>
      </c>
      <c r="E980" s="1" t="str">
        <f>"1240"</f>
        <v>1240</v>
      </c>
      <c r="F980" s="1" t="str">
        <f>"016520150"</f>
        <v>016520150</v>
      </c>
      <c r="G980" s="1" t="s">
        <v>4579</v>
      </c>
      <c r="H980" s="1" t="s">
        <v>15</v>
      </c>
      <c r="I980" s="1" t="str">
        <f>"4"</f>
        <v>4</v>
      </c>
      <c r="J980" s="3">
        <v>813.79</v>
      </c>
      <c r="K980" s="4">
        <v>46086</v>
      </c>
      <c r="L980" s="4">
        <v>46087</v>
      </c>
      <c r="M980" s="1" t="s">
        <v>10383</v>
      </c>
      <c r="N980" s="1" t="s">
        <v>10380</v>
      </c>
    </row>
    <row r="981" spans="1:14" s="1" customFormat="1" x14ac:dyDescent="0.35">
      <c r="A981" s="1" t="s">
        <v>4492</v>
      </c>
      <c r="B981" s="1" t="s">
        <v>1176</v>
      </c>
      <c r="C981" s="1" t="s">
        <v>1182</v>
      </c>
      <c r="D981" s="1" t="s">
        <v>10382</v>
      </c>
      <c r="E981" s="1" t="str">
        <f>"5895"</f>
        <v>5895</v>
      </c>
      <c r="F981" s="1" t="str">
        <f>"015984531"</f>
        <v>015984531</v>
      </c>
      <c r="G981" s="1" t="s">
        <v>1373</v>
      </c>
      <c r="H981" s="1" t="s">
        <v>168</v>
      </c>
      <c r="I981" s="1" t="str">
        <f>"22"</f>
        <v>22</v>
      </c>
      <c r="J981" s="3">
        <v>763.74</v>
      </c>
      <c r="K981" s="4">
        <v>46086</v>
      </c>
      <c r="L981" s="4">
        <v>46087</v>
      </c>
      <c r="M981" s="1" t="s">
        <v>10381</v>
      </c>
      <c r="N981" s="1" t="s">
        <v>10380</v>
      </c>
    </row>
    <row r="982" spans="1:14" s="1" customFormat="1" x14ac:dyDescent="0.35">
      <c r="A982" s="1" t="s">
        <v>4492</v>
      </c>
      <c r="B982" s="1" t="s">
        <v>1176</v>
      </c>
      <c r="C982" s="1" t="s">
        <v>1182</v>
      </c>
      <c r="D982" s="1" t="s">
        <v>10379</v>
      </c>
      <c r="E982" s="1" t="str">
        <f>"6230"</f>
        <v>6230</v>
      </c>
      <c r="F982" s="1" t="str">
        <f>"015894822"</f>
        <v>015894822</v>
      </c>
      <c r="G982" s="1" t="s">
        <v>1571</v>
      </c>
      <c r="H982" s="1" t="s">
        <v>15</v>
      </c>
      <c r="I982" s="1" t="str">
        <f>"15"</f>
        <v>15</v>
      </c>
      <c r="J982" s="3">
        <v>647.44000000000005</v>
      </c>
      <c r="K982" s="4">
        <v>46095</v>
      </c>
      <c r="L982" s="4">
        <v>46103</v>
      </c>
      <c r="M982" s="1" t="s">
        <v>10378</v>
      </c>
      <c r="N982" s="1" t="s">
        <v>10377</v>
      </c>
    </row>
    <row r="983" spans="1:14" s="1" customFormat="1" x14ac:dyDescent="0.35">
      <c r="A983" s="1" t="s">
        <v>4492</v>
      </c>
      <c r="B983" s="1" t="s">
        <v>4247</v>
      </c>
      <c r="C983" s="1" t="s">
        <v>10351</v>
      </c>
      <c r="D983" s="1" t="s">
        <v>10376</v>
      </c>
      <c r="E983" s="1" t="str">
        <f>"2310"</f>
        <v>2310</v>
      </c>
      <c r="F983" s="1" t="str">
        <f>"010907741"</f>
        <v>010907741</v>
      </c>
      <c r="G983" s="1" t="s">
        <v>710</v>
      </c>
      <c r="H983" s="1" t="s">
        <v>15</v>
      </c>
      <c r="I983" s="1" t="str">
        <f>"1"</f>
        <v>1</v>
      </c>
      <c r="J983" s="3" t="str">
        <f>"30027"</f>
        <v>30027</v>
      </c>
      <c r="K983" s="4">
        <v>46039</v>
      </c>
      <c r="L983" s="4">
        <v>46055</v>
      </c>
      <c r="M983" s="1" t="s">
        <v>10375</v>
      </c>
      <c r="N983" s="1" t="s">
        <v>10374</v>
      </c>
    </row>
    <row r="984" spans="1:14" s="1" customFormat="1" x14ac:dyDescent="0.35">
      <c r="A984" s="1" t="s">
        <v>4492</v>
      </c>
      <c r="B984" s="1" t="s">
        <v>4247</v>
      </c>
      <c r="C984" s="1" t="s">
        <v>10351</v>
      </c>
      <c r="D984" s="1" t="s">
        <v>10373</v>
      </c>
      <c r="E984" s="1" t="str">
        <f>"8145"</f>
        <v>8145</v>
      </c>
      <c r="F984" s="1" t="str">
        <f>"014653621"</f>
        <v>014653621</v>
      </c>
      <c r="G984" s="1" t="s">
        <v>753</v>
      </c>
      <c r="H984" s="1" t="s">
        <v>15</v>
      </c>
      <c r="I984" s="1" t="str">
        <f>"1"</f>
        <v>1</v>
      </c>
      <c r="J984" s="3">
        <v>17477.91</v>
      </c>
      <c r="K984" s="4">
        <v>46039</v>
      </c>
      <c r="L984" s="4">
        <v>46107</v>
      </c>
      <c r="M984" s="1" t="s">
        <v>10372</v>
      </c>
      <c r="N984" s="1" t="s">
        <v>10371</v>
      </c>
    </row>
    <row r="985" spans="1:14" s="1" customFormat="1" x14ac:dyDescent="0.35">
      <c r="A985" s="1" t="s">
        <v>4492</v>
      </c>
      <c r="B985" s="1" t="s">
        <v>4247</v>
      </c>
      <c r="C985" s="1" t="s">
        <v>10351</v>
      </c>
      <c r="D985" s="1" t="s">
        <v>10370</v>
      </c>
      <c r="E985" s="1" t="str">
        <f>"5855"</f>
        <v>5855</v>
      </c>
      <c r="F985" s="1" t="str">
        <f>"015666748"</f>
        <v>015666748</v>
      </c>
      <c r="G985" s="1" t="s">
        <v>1184</v>
      </c>
      <c r="H985" s="1" t="s">
        <v>15</v>
      </c>
      <c r="I985" s="1" t="str">
        <f>"12"</f>
        <v>12</v>
      </c>
      <c r="J985" s="3">
        <v>128.41999999999999</v>
      </c>
      <c r="K985" s="4">
        <v>46058</v>
      </c>
      <c r="L985" s="4">
        <v>46071</v>
      </c>
      <c r="M985" s="1" t="s">
        <v>10369</v>
      </c>
      <c r="N985" s="1" t="s">
        <v>10368</v>
      </c>
    </row>
    <row r="986" spans="1:14" s="1" customFormat="1" x14ac:dyDescent="0.35">
      <c r="A986" s="1" t="s">
        <v>4492</v>
      </c>
      <c r="B986" s="1" t="s">
        <v>4247</v>
      </c>
      <c r="C986" s="1" t="s">
        <v>10351</v>
      </c>
      <c r="D986" s="1" t="s">
        <v>10367</v>
      </c>
      <c r="E986" s="1" t="str">
        <f>"2340"</f>
        <v>2340</v>
      </c>
      <c r="F986" s="1" t="s">
        <v>1071</v>
      </c>
      <c r="G986" s="1" t="s">
        <v>1072</v>
      </c>
      <c r="H986" s="1" t="s">
        <v>15</v>
      </c>
      <c r="I986" s="1" t="str">
        <f>"2"</f>
        <v>2</v>
      </c>
      <c r="J986" s="3">
        <v>14227.95</v>
      </c>
      <c r="K986" s="4">
        <v>46062</v>
      </c>
      <c r="L986" s="4">
        <v>46062</v>
      </c>
      <c r="M986" s="1" t="s">
        <v>4524</v>
      </c>
      <c r="N986" s="1" t="s">
        <v>10366</v>
      </c>
    </row>
    <row r="987" spans="1:14" s="1" customFormat="1" x14ac:dyDescent="0.35">
      <c r="A987" s="1" t="s">
        <v>4492</v>
      </c>
      <c r="B987" s="1" t="s">
        <v>4247</v>
      </c>
      <c r="C987" s="1" t="s">
        <v>10351</v>
      </c>
      <c r="D987" s="1" t="s">
        <v>10365</v>
      </c>
      <c r="E987" s="1" t="str">
        <f>"1095"</f>
        <v>1095</v>
      </c>
      <c r="F987" s="1" t="str">
        <f>"015300833"</f>
        <v>015300833</v>
      </c>
      <c r="G987" s="1" t="s">
        <v>10149</v>
      </c>
      <c r="H987" s="1" t="s">
        <v>15</v>
      </c>
      <c r="I987" s="1" t="str">
        <f>"10"</f>
        <v>10</v>
      </c>
      <c r="J987" s="3">
        <v>162.31</v>
      </c>
      <c r="K987" s="4">
        <v>46062</v>
      </c>
      <c r="L987" s="4">
        <v>46063</v>
      </c>
      <c r="M987" s="1" t="s">
        <v>4524</v>
      </c>
      <c r="N987" s="1" t="s">
        <v>10364</v>
      </c>
    </row>
    <row r="988" spans="1:14" s="1" customFormat="1" x14ac:dyDescent="0.35">
      <c r="A988" s="1" t="s">
        <v>4492</v>
      </c>
      <c r="B988" s="1" t="s">
        <v>4247</v>
      </c>
      <c r="C988" s="1" t="s">
        <v>10351</v>
      </c>
      <c r="D988" s="1" t="s">
        <v>10363</v>
      </c>
      <c r="E988" s="1" t="str">
        <f>"6920"</f>
        <v>6920</v>
      </c>
      <c r="F988" s="1" t="str">
        <f>"016190787"</f>
        <v>016190787</v>
      </c>
      <c r="G988" s="1" t="s">
        <v>10362</v>
      </c>
      <c r="H988" s="1" t="s">
        <v>15</v>
      </c>
      <c r="I988" s="1" t="str">
        <f>"1"</f>
        <v>1</v>
      </c>
      <c r="J988" s="3" t="str">
        <f>"60000"</f>
        <v>60000</v>
      </c>
      <c r="K988" s="4">
        <v>46099</v>
      </c>
      <c r="L988" s="4">
        <v>46105</v>
      </c>
      <c r="M988" s="1" t="s">
        <v>10361</v>
      </c>
      <c r="N988" s="1" t="s">
        <v>10360</v>
      </c>
    </row>
    <row r="989" spans="1:14" s="1" customFormat="1" x14ac:dyDescent="0.35">
      <c r="A989" s="1" t="s">
        <v>4492</v>
      </c>
      <c r="B989" s="1" t="s">
        <v>4247</v>
      </c>
      <c r="C989" s="1" t="s">
        <v>10351</v>
      </c>
      <c r="D989" s="1" t="s">
        <v>10359</v>
      </c>
      <c r="E989" s="1" t="str">
        <f>"2340"</f>
        <v>2340</v>
      </c>
      <c r="F989" s="1" t="s">
        <v>1071</v>
      </c>
      <c r="G989" s="1" t="s">
        <v>1072</v>
      </c>
      <c r="H989" s="1" t="s">
        <v>15</v>
      </c>
      <c r="I989" s="1" t="str">
        <f>"1"</f>
        <v>1</v>
      </c>
      <c r="J989" s="3" t="str">
        <f>"5000"</f>
        <v>5000</v>
      </c>
      <c r="K989" s="4">
        <v>46096</v>
      </c>
      <c r="L989" s="4">
        <v>46100</v>
      </c>
      <c r="M989" s="1" t="s">
        <v>10358</v>
      </c>
      <c r="N989" s="1" t="s">
        <v>10355</v>
      </c>
    </row>
    <row r="990" spans="1:14" s="1" customFormat="1" x14ac:dyDescent="0.35">
      <c r="A990" s="1" t="s">
        <v>4492</v>
      </c>
      <c r="B990" s="1" t="s">
        <v>4247</v>
      </c>
      <c r="C990" s="1" t="s">
        <v>10351</v>
      </c>
      <c r="D990" s="1" t="s">
        <v>10357</v>
      </c>
      <c r="E990" s="1" t="str">
        <f>"2340"</f>
        <v>2340</v>
      </c>
      <c r="F990" s="1" t="s">
        <v>1071</v>
      </c>
      <c r="G990" s="1" t="s">
        <v>1072</v>
      </c>
      <c r="H990" s="1" t="s">
        <v>15</v>
      </c>
      <c r="I990" s="1" t="str">
        <f>"1"</f>
        <v>1</v>
      </c>
      <c r="J990" s="3" t="str">
        <f>"5000"</f>
        <v>5000</v>
      </c>
      <c r="K990" s="4">
        <v>46096</v>
      </c>
      <c r="L990" s="4">
        <v>46100</v>
      </c>
      <c r="M990" s="1" t="s">
        <v>10356</v>
      </c>
      <c r="N990" s="1" t="s">
        <v>10355</v>
      </c>
    </row>
    <row r="991" spans="1:14" s="1" customFormat="1" x14ac:dyDescent="0.35">
      <c r="A991" s="1" t="s">
        <v>4492</v>
      </c>
      <c r="B991" s="1" t="s">
        <v>4247</v>
      </c>
      <c r="C991" s="1" t="s">
        <v>10351</v>
      </c>
      <c r="D991" s="1" t="s">
        <v>10354</v>
      </c>
      <c r="E991" s="1" t="str">
        <f>"2320"</f>
        <v>2320</v>
      </c>
      <c r="F991" s="1" t="s">
        <v>100</v>
      </c>
      <c r="G991" s="1" t="s">
        <v>101</v>
      </c>
      <c r="H991" s="1" t="s">
        <v>15</v>
      </c>
      <c r="I991" s="1" t="str">
        <f>"1"</f>
        <v>1</v>
      </c>
      <c r="J991" s="3" t="str">
        <f>"61735"</f>
        <v>61735</v>
      </c>
      <c r="K991" s="4">
        <v>46096</v>
      </c>
      <c r="L991" s="4">
        <v>46109</v>
      </c>
      <c r="M991" s="1" t="s">
        <v>10353</v>
      </c>
      <c r="N991" s="1" t="s">
        <v>10352</v>
      </c>
    </row>
    <row r="992" spans="1:14" s="1" customFormat="1" x14ac:dyDescent="0.35">
      <c r="A992" s="1" t="s">
        <v>4492</v>
      </c>
      <c r="B992" s="1" t="s">
        <v>4247</v>
      </c>
      <c r="C992" s="1" t="s">
        <v>10351</v>
      </c>
      <c r="D992" s="1" t="s">
        <v>10350</v>
      </c>
      <c r="E992" s="1" t="str">
        <f>"2310"</f>
        <v>2310</v>
      </c>
      <c r="F992" s="1" t="s">
        <v>4332</v>
      </c>
      <c r="G992" s="1" t="s">
        <v>4333</v>
      </c>
      <c r="H992" s="1" t="s">
        <v>15</v>
      </c>
      <c r="I992" s="1" t="str">
        <f>"1"</f>
        <v>1</v>
      </c>
      <c r="J992" s="3">
        <v>26812.5</v>
      </c>
      <c r="K992" s="4">
        <v>46096</v>
      </c>
      <c r="L992" s="4">
        <v>46109</v>
      </c>
      <c r="M992" s="1" t="s">
        <v>10349</v>
      </c>
      <c r="N992" s="1" t="s">
        <v>10348</v>
      </c>
    </row>
    <row r="993" spans="1:14" s="1" customFormat="1" x14ac:dyDescent="0.35">
      <c r="A993" s="1" t="s">
        <v>4492</v>
      </c>
      <c r="B993" s="1" t="s">
        <v>3268</v>
      </c>
      <c r="C993" s="1" t="s">
        <v>10347</v>
      </c>
      <c r="D993" s="1" t="s">
        <v>10346</v>
      </c>
      <c r="E993" s="1" t="str">
        <f>"8145"</f>
        <v>8145</v>
      </c>
      <c r="F993" s="1" t="str">
        <f>"014654187"</f>
        <v>014654187</v>
      </c>
      <c r="G993" s="1" t="s">
        <v>753</v>
      </c>
      <c r="H993" s="1" t="s">
        <v>15</v>
      </c>
      <c r="I993" s="1" t="str">
        <f>"3"</f>
        <v>3</v>
      </c>
      <c r="J993" s="3">
        <v>17477.91</v>
      </c>
      <c r="K993" s="4">
        <v>45995</v>
      </c>
      <c r="L993" s="4">
        <v>46031</v>
      </c>
      <c r="M993" s="1" t="s">
        <v>10345</v>
      </c>
      <c r="N993" s="1" t="s">
        <v>10344</v>
      </c>
    </row>
    <row r="994" spans="1:14" s="1" customFormat="1" x14ac:dyDescent="0.35">
      <c r="A994" s="1" t="s">
        <v>4492</v>
      </c>
      <c r="B994" s="1" t="s">
        <v>1176</v>
      </c>
      <c r="C994" s="1" t="s">
        <v>1186</v>
      </c>
      <c r="D994" s="1" t="s">
        <v>10343</v>
      </c>
      <c r="E994" s="1" t="str">
        <f>"1240"</f>
        <v>1240</v>
      </c>
      <c r="F994" s="1" t="str">
        <f>"015615149"</f>
        <v>015615149</v>
      </c>
      <c r="G994" s="1" t="s">
        <v>9700</v>
      </c>
      <c r="H994" s="1" t="s">
        <v>15</v>
      </c>
      <c r="I994" s="1" t="str">
        <f>"2"</f>
        <v>2</v>
      </c>
      <c r="J994" s="3" t="str">
        <f>"26236"</f>
        <v>26236</v>
      </c>
      <c r="K994" s="4">
        <v>46044</v>
      </c>
      <c r="L994" s="4">
        <v>46047</v>
      </c>
      <c r="M994" s="1" t="s">
        <v>4524</v>
      </c>
      <c r="N994" s="1" t="s">
        <v>10342</v>
      </c>
    </row>
    <row r="995" spans="1:14" s="1" customFormat="1" x14ac:dyDescent="0.35">
      <c r="A995" s="1" t="s">
        <v>4492</v>
      </c>
      <c r="B995" s="1" t="s">
        <v>1176</v>
      </c>
      <c r="C995" s="1" t="s">
        <v>1186</v>
      </c>
      <c r="D995" s="1" t="s">
        <v>10341</v>
      </c>
      <c r="E995" s="1" t="str">
        <f>"5855"</f>
        <v>5855</v>
      </c>
      <c r="F995" s="1" t="str">
        <f>"015485687"</f>
        <v>015485687</v>
      </c>
      <c r="G995" s="1" t="s">
        <v>798</v>
      </c>
      <c r="H995" s="1" t="s">
        <v>15</v>
      </c>
      <c r="I995" s="1" t="str">
        <f>"40"</f>
        <v>40</v>
      </c>
      <c r="J995" s="3" t="str">
        <f>"10402"</f>
        <v>10402</v>
      </c>
      <c r="K995" s="4">
        <v>46044</v>
      </c>
      <c r="L995" s="4">
        <v>46055</v>
      </c>
      <c r="M995" s="1" t="s">
        <v>10340</v>
      </c>
      <c r="N995" s="1" t="s">
        <v>10339</v>
      </c>
    </row>
    <row r="996" spans="1:14" s="1" customFormat="1" x14ac:dyDescent="0.35">
      <c r="A996" s="1" t="s">
        <v>4492</v>
      </c>
      <c r="B996" s="1" t="s">
        <v>1176</v>
      </c>
      <c r="C996" s="1" t="s">
        <v>1186</v>
      </c>
      <c r="D996" s="1" t="s">
        <v>10338</v>
      </c>
      <c r="E996" s="1" t="str">
        <f>"6650"</f>
        <v>6650</v>
      </c>
      <c r="F996" s="1" t="s">
        <v>1576</v>
      </c>
      <c r="G996" s="1" t="s">
        <v>1577</v>
      </c>
      <c r="H996" s="1" t="s">
        <v>15</v>
      </c>
      <c r="I996" s="1" t="str">
        <f>"7"</f>
        <v>7</v>
      </c>
      <c r="J996" s="3" t="str">
        <f>"8000"</f>
        <v>8000</v>
      </c>
      <c r="K996" s="4">
        <v>46060</v>
      </c>
      <c r="L996" s="4">
        <v>46067</v>
      </c>
      <c r="M996" s="1" t="s">
        <v>10337</v>
      </c>
      <c r="N996" s="1" t="s">
        <v>10336</v>
      </c>
    </row>
    <row r="997" spans="1:14" s="1" customFormat="1" x14ac:dyDescent="0.35">
      <c r="A997" s="1" t="s">
        <v>4492</v>
      </c>
      <c r="B997" s="1" t="s">
        <v>802</v>
      </c>
      <c r="C997" s="1" t="s">
        <v>10335</v>
      </c>
      <c r="D997" s="1" t="s">
        <v>10334</v>
      </c>
      <c r="E997" s="1" t="str">
        <f>"8405"</f>
        <v>8405</v>
      </c>
      <c r="F997" s="1" t="str">
        <f>"015472555"</f>
        <v>015472555</v>
      </c>
      <c r="G997" s="1" t="s">
        <v>5064</v>
      </c>
      <c r="H997" s="1" t="s">
        <v>15</v>
      </c>
      <c r="I997" s="1" t="str">
        <f>"40"</f>
        <v>40</v>
      </c>
      <c r="J997" s="3">
        <v>63.02</v>
      </c>
      <c r="K997" s="4">
        <v>46071</v>
      </c>
      <c r="L997" s="4">
        <v>46080</v>
      </c>
      <c r="M997" s="1" t="s">
        <v>4524</v>
      </c>
      <c r="N997" s="1" t="s">
        <v>10333</v>
      </c>
    </row>
    <row r="998" spans="1:14" s="1" customFormat="1" x14ac:dyDescent="0.35">
      <c r="A998" s="1" t="s">
        <v>4492</v>
      </c>
      <c r="B998" s="1" t="s">
        <v>435</v>
      </c>
      <c r="C998" s="1" t="s">
        <v>10332</v>
      </c>
      <c r="D998" s="1" t="s">
        <v>10331</v>
      </c>
      <c r="E998" s="1" t="str">
        <f>"5965"</f>
        <v>5965</v>
      </c>
      <c r="F998" s="1" t="s">
        <v>6480</v>
      </c>
      <c r="G998" s="1" t="s">
        <v>6479</v>
      </c>
      <c r="H998" s="1" t="s">
        <v>15</v>
      </c>
      <c r="I998" s="1" t="str">
        <f>"35"</f>
        <v>35</v>
      </c>
      <c r="J998" s="3">
        <v>29.99</v>
      </c>
      <c r="K998" s="4">
        <v>46098</v>
      </c>
      <c r="L998" s="4">
        <v>46109</v>
      </c>
      <c r="M998" s="1" t="s">
        <v>10330</v>
      </c>
      <c r="N998" s="1" t="s">
        <v>10329</v>
      </c>
    </row>
    <row r="999" spans="1:14" s="1" customFormat="1" x14ac:dyDescent="0.35">
      <c r="A999" s="1" t="s">
        <v>4492</v>
      </c>
      <c r="B999" s="1" t="s">
        <v>2368</v>
      </c>
      <c r="C999" s="1" t="s">
        <v>2415</v>
      </c>
      <c r="D999" s="1" t="s">
        <v>10328</v>
      </c>
      <c r="E999" s="1" t="str">
        <f>"2320"</f>
        <v>2320</v>
      </c>
      <c r="F999" s="1" t="s">
        <v>1016</v>
      </c>
      <c r="G999" s="1" t="s">
        <v>1017</v>
      </c>
      <c r="H999" s="1" t="s">
        <v>15</v>
      </c>
      <c r="I999" s="1" t="str">
        <f>"1"</f>
        <v>1</v>
      </c>
      <c r="J999" s="3">
        <v>25718.639999999999</v>
      </c>
      <c r="K999" s="4">
        <v>45971</v>
      </c>
      <c r="L999" s="4">
        <v>46037</v>
      </c>
      <c r="M999" s="1" t="s">
        <v>10327</v>
      </c>
      <c r="N999" s="1" t="s">
        <v>10326</v>
      </c>
    </row>
    <row r="1000" spans="1:14" s="1" customFormat="1" x14ac:dyDescent="0.35">
      <c r="A1000" s="1" t="s">
        <v>4492</v>
      </c>
      <c r="B1000" s="1" t="s">
        <v>2368</v>
      </c>
      <c r="C1000" s="1" t="s">
        <v>2415</v>
      </c>
      <c r="D1000" s="1" t="s">
        <v>10325</v>
      </c>
      <c r="E1000" s="1" t="str">
        <f>"3770"</f>
        <v>3770</v>
      </c>
      <c r="F1000" s="1" t="str">
        <f>"016307307"</f>
        <v>016307307</v>
      </c>
      <c r="G1000" s="1" t="s">
        <v>1538</v>
      </c>
      <c r="H1000" s="1" t="s">
        <v>15</v>
      </c>
      <c r="I1000" s="1" t="str">
        <f>"4"</f>
        <v>4</v>
      </c>
      <c r="J1000" s="3" t="str">
        <f>"9445"</f>
        <v>9445</v>
      </c>
      <c r="K1000" s="4">
        <v>46071</v>
      </c>
      <c r="L1000" s="4">
        <v>46093</v>
      </c>
      <c r="M1000" s="1" t="s">
        <v>10324</v>
      </c>
      <c r="N1000" s="1" t="s">
        <v>10323</v>
      </c>
    </row>
    <row r="1001" spans="1:14" s="1" customFormat="1" x14ac:dyDescent="0.35">
      <c r="A1001" s="1" t="s">
        <v>4492</v>
      </c>
      <c r="B1001" s="1" t="s">
        <v>2368</v>
      </c>
      <c r="C1001" s="1" t="s">
        <v>2415</v>
      </c>
      <c r="D1001" s="1" t="s">
        <v>10322</v>
      </c>
      <c r="E1001" s="1" t="str">
        <f>"2310"</f>
        <v>2310</v>
      </c>
      <c r="F1001" s="1" t="str">
        <f>"014998019"</f>
        <v>014998019</v>
      </c>
      <c r="G1001" s="1" t="s">
        <v>4671</v>
      </c>
      <c r="H1001" s="1" t="s">
        <v>15</v>
      </c>
      <c r="I1001" s="1" t="str">
        <f>"1"</f>
        <v>1</v>
      </c>
      <c r="J1001" s="3" t="str">
        <f>"165000"</f>
        <v>165000</v>
      </c>
      <c r="K1001" s="4">
        <v>46080</v>
      </c>
      <c r="L1001" s="4">
        <v>46082</v>
      </c>
      <c r="M1001" s="1" t="s">
        <v>4524</v>
      </c>
      <c r="N1001" s="1" t="s">
        <v>10321</v>
      </c>
    </row>
    <row r="1002" spans="1:14" s="1" customFormat="1" x14ac:dyDescent="0.35">
      <c r="A1002" s="1" t="s">
        <v>4492</v>
      </c>
      <c r="B1002" s="1" t="s">
        <v>2368</v>
      </c>
      <c r="C1002" s="1" t="s">
        <v>2415</v>
      </c>
      <c r="D1002" s="1" t="s">
        <v>10320</v>
      </c>
      <c r="E1002" s="1" t="str">
        <f>"2320"</f>
        <v>2320</v>
      </c>
      <c r="F1002" s="1" t="s">
        <v>1016</v>
      </c>
      <c r="G1002" s="1" t="s">
        <v>1017</v>
      </c>
      <c r="H1002" s="1" t="s">
        <v>15</v>
      </c>
      <c r="I1002" s="1" t="str">
        <f>"1"</f>
        <v>1</v>
      </c>
      <c r="J1002" s="3" t="str">
        <f>"165000"</f>
        <v>165000</v>
      </c>
      <c r="K1002" s="4">
        <v>46080</v>
      </c>
      <c r="L1002" s="4">
        <v>46088</v>
      </c>
      <c r="M1002" s="1" t="s">
        <v>10319</v>
      </c>
      <c r="N1002" s="1" t="s">
        <v>10318</v>
      </c>
    </row>
    <row r="1003" spans="1:14" s="1" customFormat="1" x14ac:dyDescent="0.35">
      <c r="A1003" s="1" t="s">
        <v>4492</v>
      </c>
      <c r="B1003" s="1" t="s">
        <v>2368</v>
      </c>
      <c r="C1003" s="1" t="s">
        <v>2415</v>
      </c>
      <c r="D1003" s="1" t="s">
        <v>10317</v>
      </c>
      <c r="E1003" s="1" t="str">
        <f>"7035"</f>
        <v>7035</v>
      </c>
      <c r="F1003" s="1" t="s">
        <v>2417</v>
      </c>
      <c r="G1003" s="1" t="s">
        <v>2418</v>
      </c>
      <c r="H1003" s="1" t="s">
        <v>15</v>
      </c>
      <c r="I1003" s="1" t="str">
        <f>"1"</f>
        <v>1</v>
      </c>
      <c r="J1003" s="3">
        <v>0.01</v>
      </c>
      <c r="K1003" s="4">
        <v>46085</v>
      </c>
      <c r="L1003" s="4">
        <v>46095</v>
      </c>
      <c r="M1003" s="1" t="s">
        <v>10316</v>
      </c>
      <c r="N1003" s="1" t="s">
        <v>2419</v>
      </c>
    </row>
    <row r="1004" spans="1:14" s="1" customFormat="1" x14ac:dyDescent="0.35">
      <c r="A1004" s="1" t="s">
        <v>4492</v>
      </c>
      <c r="B1004" s="1" t="s">
        <v>2368</v>
      </c>
      <c r="C1004" s="1" t="s">
        <v>2415</v>
      </c>
      <c r="D1004" s="1" t="s">
        <v>10315</v>
      </c>
      <c r="E1004" s="1" t="str">
        <f>"1005"</f>
        <v>1005</v>
      </c>
      <c r="F1004" s="1" t="str">
        <f>"016316485"</f>
        <v>016316485</v>
      </c>
      <c r="G1004" s="1" t="s">
        <v>2502</v>
      </c>
      <c r="H1004" s="1" t="s">
        <v>15</v>
      </c>
      <c r="I1004" s="1" t="str">
        <f>"1"</f>
        <v>1</v>
      </c>
      <c r="J1004" s="3">
        <v>1140.4100000000001</v>
      </c>
      <c r="K1004" s="4">
        <v>46085</v>
      </c>
      <c r="L1004" s="4">
        <v>46095</v>
      </c>
      <c r="M1004" s="1" t="s">
        <v>10314</v>
      </c>
      <c r="N1004" s="1" t="s">
        <v>10313</v>
      </c>
    </row>
    <row r="1005" spans="1:14" s="1" customFormat="1" x14ac:dyDescent="0.35">
      <c r="A1005" s="1" t="s">
        <v>4492</v>
      </c>
      <c r="B1005" s="1" t="s">
        <v>2368</v>
      </c>
      <c r="C1005" s="1" t="s">
        <v>2415</v>
      </c>
      <c r="D1005" s="1" t="s">
        <v>10312</v>
      </c>
      <c r="E1005" s="1" t="str">
        <f>"2310"</f>
        <v>2310</v>
      </c>
      <c r="F1005" s="1" t="str">
        <f>"014998019"</f>
        <v>014998019</v>
      </c>
      <c r="G1005" s="1" t="s">
        <v>4671</v>
      </c>
      <c r="H1005" s="1" t="s">
        <v>15</v>
      </c>
      <c r="I1005" s="1" t="str">
        <f>"1"</f>
        <v>1</v>
      </c>
      <c r="J1005" s="3" t="str">
        <f>"165000"</f>
        <v>165000</v>
      </c>
      <c r="K1005" s="4">
        <v>46097</v>
      </c>
      <c r="L1005" s="4">
        <v>46097</v>
      </c>
      <c r="M1005" s="1" t="s">
        <v>4524</v>
      </c>
      <c r="N1005" s="1" t="s">
        <v>10311</v>
      </c>
    </row>
    <row r="1006" spans="1:14" s="1" customFormat="1" x14ac:dyDescent="0.35">
      <c r="A1006" s="1" t="s">
        <v>4492</v>
      </c>
      <c r="B1006" s="1" t="s">
        <v>73</v>
      </c>
      <c r="C1006" s="1" t="s">
        <v>74</v>
      </c>
      <c r="D1006" s="1" t="s">
        <v>10310</v>
      </c>
      <c r="E1006" s="1" t="str">
        <f>"8415"</f>
        <v>8415</v>
      </c>
      <c r="F1006" s="1" t="str">
        <f>"015801358"</f>
        <v>015801358</v>
      </c>
      <c r="G1006" s="1" t="s">
        <v>761</v>
      </c>
      <c r="H1006" s="1" t="s">
        <v>15</v>
      </c>
      <c r="I1006" s="1" t="str">
        <f>"17"</f>
        <v>17</v>
      </c>
      <c r="J1006" s="3">
        <v>80.94</v>
      </c>
      <c r="K1006" s="4">
        <v>46027</v>
      </c>
      <c r="L1006" s="4">
        <v>46034</v>
      </c>
      <c r="M1006" s="1" t="s">
        <v>10309</v>
      </c>
      <c r="N1006" s="1" t="s">
        <v>10308</v>
      </c>
    </row>
    <row r="1007" spans="1:14" s="1" customFormat="1" x14ac:dyDescent="0.35">
      <c r="A1007" s="1" t="s">
        <v>4492</v>
      </c>
      <c r="B1007" s="1" t="s">
        <v>73</v>
      </c>
      <c r="C1007" s="1" t="s">
        <v>74</v>
      </c>
      <c r="D1007" s="1" t="s">
        <v>10307</v>
      </c>
      <c r="E1007" s="1" t="str">
        <f>"5410"</f>
        <v>5410</v>
      </c>
      <c r="F1007" s="1" t="str">
        <f>"013343158"</f>
        <v>013343158</v>
      </c>
      <c r="G1007" s="1" t="s">
        <v>8335</v>
      </c>
      <c r="H1007" s="1" t="s">
        <v>15</v>
      </c>
      <c r="I1007" s="1" t="str">
        <f>"1"</f>
        <v>1</v>
      </c>
      <c r="J1007" s="3" t="str">
        <f>"174043"</f>
        <v>174043</v>
      </c>
      <c r="K1007" s="4">
        <v>46049</v>
      </c>
      <c r="L1007" s="4">
        <v>46055</v>
      </c>
      <c r="M1007" s="1" t="s">
        <v>10306</v>
      </c>
      <c r="N1007" s="1" t="s">
        <v>10305</v>
      </c>
    </row>
    <row r="1008" spans="1:14" s="1" customFormat="1" x14ac:dyDescent="0.35">
      <c r="A1008" s="1" t="s">
        <v>4492</v>
      </c>
      <c r="B1008" s="1" t="s">
        <v>73</v>
      </c>
      <c r="C1008" s="1" t="s">
        <v>74</v>
      </c>
      <c r="D1008" s="1" t="s">
        <v>10304</v>
      </c>
      <c r="E1008" s="1" t="str">
        <f>"1925"</f>
        <v>1925</v>
      </c>
      <c r="F1008" s="1" t="s">
        <v>10303</v>
      </c>
      <c r="G1008" s="1" t="s">
        <v>10302</v>
      </c>
      <c r="H1008" s="1" t="s">
        <v>15</v>
      </c>
      <c r="I1008" s="1" t="str">
        <f>"1"</f>
        <v>1</v>
      </c>
      <c r="J1008" s="3" t="str">
        <f>"176000"</f>
        <v>176000</v>
      </c>
      <c r="K1008" s="4">
        <v>46098</v>
      </c>
      <c r="L1008" s="4">
        <v>46109</v>
      </c>
      <c r="M1008" s="1" t="s">
        <v>10301</v>
      </c>
      <c r="N1008" s="1" t="s">
        <v>10300</v>
      </c>
    </row>
    <row r="1009" spans="1:14" s="1" customFormat="1" x14ac:dyDescent="0.35">
      <c r="A1009" s="1" t="s">
        <v>4492</v>
      </c>
      <c r="B1009" s="1" t="s">
        <v>73</v>
      </c>
      <c r="C1009" s="1" t="s">
        <v>74</v>
      </c>
      <c r="D1009" s="1" t="s">
        <v>10299</v>
      </c>
      <c r="E1009" s="1" t="str">
        <f>"7105"</f>
        <v>7105</v>
      </c>
      <c r="F1009" s="1" t="s">
        <v>10298</v>
      </c>
      <c r="G1009" s="1" t="s">
        <v>10297</v>
      </c>
      <c r="H1009" s="1" t="s">
        <v>15</v>
      </c>
      <c r="I1009" s="1" t="str">
        <f>"25"</f>
        <v>25</v>
      </c>
      <c r="J1009" s="3">
        <v>799.99</v>
      </c>
      <c r="K1009" s="4">
        <v>46104</v>
      </c>
      <c r="L1009" s="4">
        <v>46107</v>
      </c>
      <c r="M1009" s="1" t="s">
        <v>10296</v>
      </c>
      <c r="N1009" s="1" t="s">
        <v>10295</v>
      </c>
    </row>
    <row r="1010" spans="1:14" s="1" customFormat="1" x14ac:dyDescent="0.35">
      <c r="A1010" s="1" t="s">
        <v>4492</v>
      </c>
      <c r="B1010" s="1" t="s">
        <v>1013</v>
      </c>
      <c r="C1010" s="1" t="s">
        <v>10292</v>
      </c>
      <c r="D1010" s="1" t="s">
        <v>10294</v>
      </c>
      <c r="E1010" s="1" t="str">
        <f>"8465"</f>
        <v>8465</v>
      </c>
      <c r="F1010" s="1" t="str">
        <f>"016105633"</f>
        <v>016105633</v>
      </c>
      <c r="G1010" s="1" t="s">
        <v>6064</v>
      </c>
      <c r="H1010" s="1" t="s">
        <v>15</v>
      </c>
      <c r="I1010" s="1" t="str">
        <f>"4"</f>
        <v>4</v>
      </c>
      <c r="J1010" s="3">
        <v>350.73</v>
      </c>
      <c r="K1010" s="4">
        <v>46071</v>
      </c>
      <c r="L1010" s="4">
        <v>46072</v>
      </c>
      <c r="M1010" s="1" t="s">
        <v>4524</v>
      </c>
      <c r="N1010" s="1" t="s">
        <v>10293</v>
      </c>
    </row>
    <row r="1011" spans="1:14" s="1" customFormat="1" x14ac:dyDescent="0.35">
      <c r="A1011" s="1" t="s">
        <v>4492</v>
      </c>
      <c r="B1011" s="1" t="s">
        <v>1013</v>
      </c>
      <c r="C1011" s="1" t="s">
        <v>10292</v>
      </c>
      <c r="D1011" s="1" t="s">
        <v>10291</v>
      </c>
      <c r="E1011" s="1" t="str">
        <f>"8465"</f>
        <v>8465</v>
      </c>
      <c r="F1011" s="1" t="str">
        <f>"016007830"</f>
        <v>016007830</v>
      </c>
      <c r="G1011" s="1" t="s">
        <v>3758</v>
      </c>
      <c r="H1011" s="1" t="s">
        <v>15</v>
      </c>
      <c r="I1011" s="1" t="str">
        <f>"15"</f>
        <v>15</v>
      </c>
      <c r="J1011" s="3">
        <v>123.43</v>
      </c>
      <c r="K1011" s="4">
        <v>46071</v>
      </c>
      <c r="L1011" s="4">
        <v>46104</v>
      </c>
      <c r="M1011" s="1" t="s">
        <v>10290</v>
      </c>
      <c r="N1011" s="1" t="s">
        <v>10289</v>
      </c>
    </row>
    <row r="1012" spans="1:14" s="1" customFormat="1" x14ac:dyDescent="0.35">
      <c r="A1012" s="1" t="s">
        <v>4492</v>
      </c>
      <c r="B1012" s="1" t="s">
        <v>1791</v>
      </c>
      <c r="C1012" s="1" t="s">
        <v>10286</v>
      </c>
      <c r="D1012" s="1" t="s">
        <v>10288</v>
      </c>
      <c r="E1012" s="1" t="str">
        <f>"2320"</f>
        <v>2320</v>
      </c>
      <c r="F1012" s="1" t="s">
        <v>4526</v>
      </c>
      <c r="G1012" s="1" t="s">
        <v>4525</v>
      </c>
      <c r="H1012" s="1" t="s">
        <v>15</v>
      </c>
      <c r="I1012" s="1" t="str">
        <f>"1"</f>
        <v>1</v>
      </c>
      <c r="J1012" s="3">
        <v>610434.26</v>
      </c>
      <c r="K1012" s="4">
        <v>46056</v>
      </c>
      <c r="L1012" s="4">
        <v>46056</v>
      </c>
      <c r="M1012" s="1" t="s">
        <v>4524</v>
      </c>
      <c r="N1012" s="1" t="s">
        <v>10287</v>
      </c>
    </row>
    <row r="1013" spans="1:14" s="1" customFormat="1" x14ac:dyDescent="0.35">
      <c r="A1013" s="1" t="s">
        <v>4492</v>
      </c>
      <c r="B1013" s="1" t="s">
        <v>1791</v>
      </c>
      <c r="C1013" s="1" t="s">
        <v>10286</v>
      </c>
      <c r="D1013" s="1" t="s">
        <v>10285</v>
      </c>
      <c r="E1013" s="1" t="str">
        <f>"5820"</f>
        <v>5820</v>
      </c>
      <c r="F1013" s="1" t="str">
        <f>"015726748"</f>
        <v>015726748</v>
      </c>
      <c r="G1013" s="1" t="s">
        <v>10284</v>
      </c>
      <c r="H1013" s="1" t="s">
        <v>15</v>
      </c>
      <c r="I1013" s="1" t="str">
        <f>"2"</f>
        <v>2</v>
      </c>
      <c r="J1013" s="3">
        <v>3420.62</v>
      </c>
      <c r="K1013" s="4">
        <v>46051</v>
      </c>
      <c r="L1013" s="4">
        <v>46105</v>
      </c>
      <c r="M1013" s="1" t="s">
        <v>10283</v>
      </c>
      <c r="N1013" s="1" t="s">
        <v>10282</v>
      </c>
    </row>
    <row r="1014" spans="1:14" s="1" customFormat="1" x14ac:dyDescent="0.35">
      <c r="A1014" s="1" t="s">
        <v>4492</v>
      </c>
      <c r="B1014" s="1" t="s">
        <v>2368</v>
      </c>
      <c r="C1014" s="1" t="s">
        <v>10281</v>
      </c>
      <c r="D1014" s="1" t="s">
        <v>10280</v>
      </c>
      <c r="E1014" s="1" t="str">
        <f>"6115"</f>
        <v>6115</v>
      </c>
      <c r="F1014" s="1" t="str">
        <f>"015651576"</f>
        <v>015651576</v>
      </c>
      <c r="G1014" s="1" t="s">
        <v>1179</v>
      </c>
      <c r="H1014" s="1" t="s">
        <v>15</v>
      </c>
      <c r="I1014" s="1" t="str">
        <f>"1"</f>
        <v>1</v>
      </c>
      <c r="J1014" s="3" t="str">
        <f>"20415"</f>
        <v>20415</v>
      </c>
      <c r="K1014" s="4">
        <v>46043</v>
      </c>
      <c r="L1014" s="4">
        <v>46071</v>
      </c>
      <c r="M1014" s="1" t="s">
        <v>10279</v>
      </c>
      <c r="N1014" s="1" t="s">
        <v>10278</v>
      </c>
    </row>
    <row r="1015" spans="1:14" s="1" customFormat="1" x14ac:dyDescent="0.35">
      <c r="A1015" s="1" t="s">
        <v>4492</v>
      </c>
      <c r="B1015" s="1" t="s">
        <v>1013</v>
      </c>
      <c r="C1015" s="1" t="s">
        <v>1027</v>
      </c>
      <c r="D1015" s="1" t="s">
        <v>10277</v>
      </c>
      <c r="E1015" s="1" t="str">
        <f>"2320"</f>
        <v>2320</v>
      </c>
      <c r="F1015" s="1" t="s">
        <v>100</v>
      </c>
      <c r="G1015" s="1" t="s">
        <v>101</v>
      </c>
      <c r="H1015" s="1" t="s">
        <v>15</v>
      </c>
      <c r="I1015" s="1" t="str">
        <f>"1"</f>
        <v>1</v>
      </c>
      <c r="J1015" s="3" t="str">
        <f>"103723"</f>
        <v>103723</v>
      </c>
      <c r="K1015" s="4">
        <v>45981</v>
      </c>
      <c r="L1015" s="4">
        <v>46037</v>
      </c>
      <c r="M1015" s="1" t="s">
        <v>10276</v>
      </c>
      <c r="N1015" s="1" t="s">
        <v>10275</v>
      </c>
    </row>
    <row r="1016" spans="1:14" s="1" customFormat="1" x14ac:dyDescent="0.35">
      <c r="A1016" s="1" t="s">
        <v>4492</v>
      </c>
      <c r="B1016" s="1" t="s">
        <v>1013</v>
      </c>
      <c r="C1016" s="1" t="s">
        <v>1027</v>
      </c>
      <c r="D1016" s="1" t="s">
        <v>10274</v>
      </c>
      <c r="E1016" s="1" t="str">
        <f>"2320"</f>
        <v>2320</v>
      </c>
      <c r="F1016" s="1" t="str">
        <f>"012395371"</f>
        <v>012395371</v>
      </c>
      <c r="G1016" s="1" t="s">
        <v>1029</v>
      </c>
      <c r="H1016" s="1" t="s">
        <v>15</v>
      </c>
      <c r="I1016" s="1" t="str">
        <f>"1"</f>
        <v>1</v>
      </c>
      <c r="J1016" s="3">
        <v>94124.96</v>
      </c>
      <c r="K1016" s="4">
        <v>46009</v>
      </c>
      <c r="L1016" s="4">
        <v>46044</v>
      </c>
      <c r="M1016" s="1" t="s">
        <v>10273</v>
      </c>
      <c r="N1016" s="1" t="s">
        <v>10272</v>
      </c>
    </row>
    <row r="1017" spans="1:14" s="1" customFormat="1" x14ac:dyDescent="0.35">
      <c r="A1017" s="1" t="s">
        <v>4492</v>
      </c>
      <c r="B1017" s="1" t="s">
        <v>3268</v>
      </c>
      <c r="C1017" s="1" t="s">
        <v>10271</v>
      </c>
      <c r="D1017" s="1" t="s">
        <v>10270</v>
      </c>
      <c r="E1017" s="1" t="str">
        <f>"2320"</f>
        <v>2320</v>
      </c>
      <c r="F1017" s="1" t="str">
        <f>"012157631"</f>
        <v>012157631</v>
      </c>
      <c r="G1017" s="1" t="s">
        <v>1093</v>
      </c>
      <c r="H1017" s="1" t="s">
        <v>15</v>
      </c>
      <c r="I1017" s="1" t="str">
        <f>"1"</f>
        <v>1</v>
      </c>
      <c r="J1017" s="3" t="str">
        <f>"33082"</f>
        <v>33082</v>
      </c>
      <c r="K1017" s="4">
        <v>46057</v>
      </c>
      <c r="L1017" s="4">
        <v>46093</v>
      </c>
      <c r="M1017" s="1" t="s">
        <v>10269</v>
      </c>
      <c r="N1017" s="1" t="s">
        <v>10268</v>
      </c>
    </row>
    <row r="1018" spans="1:14" s="1" customFormat="1" x14ac:dyDescent="0.35">
      <c r="A1018" s="1" t="s">
        <v>4492</v>
      </c>
      <c r="B1018" s="1" t="s">
        <v>3268</v>
      </c>
      <c r="C1018" s="1" t="s">
        <v>3275</v>
      </c>
      <c r="D1018" s="1" t="s">
        <v>10267</v>
      </c>
      <c r="E1018" s="1" t="str">
        <f>"4933"</f>
        <v>4933</v>
      </c>
      <c r="F1018" s="1" t="str">
        <f>"013947781"</f>
        <v>013947781</v>
      </c>
      <c r="G1018" s="1" t="s">
        <v>10259</v>
      </c>
      <c r="H1018" s="1" t="s">
        <v>15</v>
      </c>
      <c r="I1018" s="1" t="str">
        <f>"1"</f>
        <v>1</v>
      </c>
      <c r="J1018" s="3" t="str">
        <f>"657"</f>
        <v>657</v>
      </c>
      <c r="K1018" s="4">
        <v>45987</v>
      </c>
      <c r="L1018" s="4">
        <v>46037</v>
      </c>
      <c r="M1018" s="1" t="s">
        <v>10266</v>
      </c>
      <c r="N1018" s="1" t="s">
        <v>10265</v>
      </c>
    </row>
    <row r="1019" spans="1:14" s="1" customFormat="1" x14ac:dyDescent="0.35">
      <c r="A1019" s="1" t="s">
        <v>4492</v>
      </c>
      <c r="B1019" s="1" t="s">
        <v>3268</v>
      </c>
      <c r="C1019" s="1" t="s">
        <v>3275</v>
      </c>
      <c r="D1019" s="1" t="s">
        <v>10264</v>
      </c>
      <c r="E1019" s="1" t="str">
        <f>"6515"</f>
        <v>6515</v>
      </c>
      <c r="F1019" s="1" t="str">
        <f>"016165841"</f>
        <v>016165841</v>
      </c>
      <c r="G1019" s="1" t="s">
        <v>10263</v>
      </c>
      <c r="H1019" s="1" t="s">
        <v>15</v>
      </c>
      <c r="I1019" s="1" t="str">
        <f>"7"</f>
        <v>7</v>
      </c>
      <c r="J1019" s="3">
        <v>323.42</v>
      </c>
      <c r="K1019" s="4">
        <v>45994</v>
      </c>
      <c r="L1019" s="4">
        <v>46044</v>
      </c>
      <c r="M1019" s="1" t="s">
        <v>10262</v>
      </c>
      <c r="N1019" s="1" t="s">
        <v>10261</v>
      </c>
    </row>
    <row r="1020" spans="1:14" s="1" customFormat="1" x14ac:dyDescent="0.35">
      <c r="A1020" s="1" t="s">
        <v>4492</v>
      </c>
      <c r="B1020" s="1" t="s">
        <v>3268</v>
      </c>
      <c r="C1020" s="1" t="s">
        <v>3275</v>
      </c>
      <c r="D1020" s="1" t="s">
        <v>10260</v>
      </c>
      <c r="E1020" s="1" t="str">
        <f>"4933"</f>
        <v>4933</v>
      </c>
      <c r="F1020" s="1" t="str">
        <f>"013947781"</f>
        <v>013947781</v>
      </c>
      <c r="G1020" s="1" t="s">
        <v>10259</v>
      </c>
      <c r="H1020" s="1" t="s">
        <v>15</v>
      </c>
      <c r="I1020" s="1" t="str">
        <f>"2"</f>
        <v>2</v>
      </c>
      <c r="J1020" s="3" t="str">
        <f>"657"</f>
        <v>657</v>
      </c>
      <c r="K1020" s="4">
        <v>46027</v>
      </c>
      <c r="L1020" s="4">
        <v>46092</v>
      </c>
      <c r="M1020" s="1" t="s">
        <v>10258</v>
      </c>
      <c r="N1020" s="1" t="s">
        <v>10257</v>
      </c>
    </row>
    <row r="1021" spans="1:14" s="1" customFormat="1" x14ac:dyDescent="0.35">
      <c r="A1021" s="1" t="s">
        <v>4492</v>
      </c>
      <c r="B1021" s="1" t="s">
        <v>1129</v>
      </c>
      <c r="C1021" s="1" t="s">
        <v>1145</v>
      </c>
      <c r="D1021" s="1" t="s">
        <v>10256</v>
      </c>
      <c r="E1021" s="1" t="str">
        <f>"1095"</f>
        <v>1095</v>
      </c>
      <c r="F1021" s="1" t="s">
        <v>2217</v>
      </c>
      <c r="G1021" s="1" t="s">
        <v>2218</v>
      </c>
      <c r="H1021" s="1" t="s">
        <v>15</v>
      </c>
      <c r="I1021" s="1" t="str">
        <f>"61"</f>
        <v>61</v>
      </c>
      <c r="J1021" s="3" t="str">
        <f>"100"</f>
        <v>100</v>
      </c>
      <c r="K1021" s="4">
        <v>46020</v>
      </c>
      <c r="L1021" s="4">
        <v>46048</v>
      </c>
      <c r="M1021" s="1" t="s">
        <v>10255</v>
      </c>
      <c r="N1021" s="1" t="s">
        <v>10254</v>
      </c>
    </row>
    <row r="1022" spans="1:14" s="1" customFormat="1" x14ac:dyDescent="0.35">
      <c r="A1022" s="1" t="s">
        <v>4492</v>
      </c>
      <c r="B1022" s="1" t="s">
        <v>1129</v>
      </c>
      <c r="C1022" s="1" t="s">
        <v>1145</v>
      </c>
      <c r="D1022" s="1" t="s">
        <v>10253</v>
      </c>
      <c r="E1022" s="1" t="str">
        <f>"2320"</f>
        <v>2320</v>
      </c>
      <c r="F1022" s="1" t="s">
        <v>4526</v>
      </c>
      <c r="G1022" s="1" t="s">
        <v>4525</v>
      </c>
      <c r="H1022" s="1" t="s">
        <v>15</v>
      </c>
      <c r="I1022" s="1" t="str">
        <f>"1"</f>
        <v>1</v>
      </c>
      <c r="J1022" s="3">
        <v>610434.26</v>
      </c>
      <c r="K1022" s="4">
        <v>46055</v>
      </c>
      <c r="L1022" s="4">
        <v>46056</v>
      </c>
      <c r="M1022" s="1" t="s">
        <v>4524</v>
      </c>
      <c r="N1022" s="1" t="s">
        <v>10252</v>
      </c>
    </row>
    <row r="1023" spans="1:14" s="1" customFormat="1" x14ac:dyDescent="0.35">
      <c r="A1023" s="1" t="s">
        <v>4492</v>
      </c>
      <c r="B1023" s="1" t="s">
        <v>1013</v>
      </c>
      <c r="C1023" s="1" t="s">
        <v>1034</v>
      </c>
      <c r="D1023" s="1" t="s">
        <v>10251</v>
      </c>
      <c r="E1023" s="1" t="str">
        <f>"2320"</f>
        <v>2320</v>
      </c>
      <c r="F1023" s="1" t="s">
        <v>1664</v>
      </c>
      <c r="G1023" s="1" t="s">
        <v>1665</v>
      </c>
      <c r="H1023" s="1" t="s">
        <v>15</v>
      </c>
      <c r="I1023" s="1" t="str">
        <f>"1"</f>
        <v>1</v>
      </c>
      <c r="J1023" s="3" t="str">
        <f>"20000"</f>
        <v>20000</v>
      </c>
      <c r="K1023" s="4">
        <v>46046</v>
      </c>
      <c r="L1023" s="4">
        <v>46055</v>
      </c>
      <c r="M1023" s="1" t="s">
        <v>10250</v>
      </c>
      <c r="N1023" s="1" t="s">
        <v>10249</v>
      </c>
    </row>
    <row r="1024" spans="1:14" s="1" customFormat="1" x14ac:dyDescent="0.35">
      <c r="A1024" s="1" t="s">
        <v>4492</v>
      </c>
      <c r="B1024" s="1" t="s">
        <v>1013</v>
      </c>
      <c r="C1024" s="1" t="s">
        <v>1034</v>
      </c>
      <c r="D1024" s="1" t="s">
        <v>10248</v>
      </c>
      <c r="E1024" s="1" t="str">
        <f>"2340"</f>
        <v>2340</v>
      </c>
      <c r="F1024" s="1" t="s">
        <v>1071</v>
      </c>
      <c r="G1024" s="1" t="s">
        <v>1072</v>
      </c>
      <c r="H1024" s="1" t="s">
        <v>15</v>
      </c>
      <c r="I1024" s="1" t="str">
        <f>"1"</f>
        <v>1</v>
      </c>
      <c r="J1024" s="3">
        <v>14227.95</v>
      </c>
      <c r="K1024" s="4">
        <v>46062</v>
      </c>
      <c r="L1024" s="4">
        <v>46063</v>
      </c>
      <c r="M1024" s="1" t="s">
        <v>10247</v>
      </c>
      <c r="N1024" s="1" t="s">
        <v>10246</v>
      </c>
    </row>
    <row r="1025" spans="1:14" s="1" customFormat="1" x14ac:dyDescent="0.35">
      <c r="A1025" s="1" t="s">
        <v>4492</v>
      </c>
      <c r="B1025" s="1" t="s">
        <v>3268</v>
      </c>
      <c r="C1025" s="1" t="s">
        <v>10235</v>
      </c>
      <c r="D1025" s="1" t="s">
        <v>10245</v>
      </c>
      <c r="E1025" s="1" t="str">
        <f>"2541"</f>
        <v>2541</v>
      </c>
      <c r="F1025" s="1" t="str">
        <f>"015455898"</f>
        <v>015455898</v>
      </c>
      <c r="G1025" s="1" t="s">
        <v>10238</v>
      </c>
      <c r="H1025" s="1" t="s">
        <v>15</v>
      </c>
      <c r="I1025" s="1" t="str">
        <f>"1"</f>
        <v>1</v>
      </c>
      <c r="J1025" s="3">
        <v>1690.85</v>
      </c>
      <c r="K1025" s="4">
        <v>46008</v>
      </c>
      <c r="L1025" s="4">
        <v>46065</v>
      </c>
      <c r="M1025" s="1" t="s">
        <v>10244</v>
      </c>
      <c r="N1025" s="1" t="s">
        <v>10236</v>
      </c>
    </row>
    <row r="1026" spans="1:14" s="1" customFormat="1" x14ac:dyDescent="0.35">
      <c r="A1026" s="1" t="s">
        <v>4492</v>
      </c>
      <c r="B1026" s="1" t="s">
        <v>3268</v>
      </c>
      <c r="C1026" s="1" t="s">
        <v>10235</v>
      </c>
      <c r="D1026" s="1" t="s">
        <v>10243</v>
      </c>
      <c r="E1026" s="1" t="str">
        <f>"2541"</f>
        <v>2541</v>
      </c>
      <c r="F1026" s="1" t="str">
        <f>"015601159"</f>
        <v>015601159</v>
      </c>
      <c r="G1026" s="1" t="s">
        <v>10238</v>
      </c>
      <c r="H1026" s="1" t="s">
        <v>15</v>
      </c>
      <c r="I1026" s="1" t="str">
        <f>"1"</f>
        <v>1</v>
      </c>
      <c r="J1026" s="3">
        <v>1519.62</v>
      </c>
      <c r="K1026" s="4">
        <v>46008</v>
      </c>
      <c r="L1026" s="4">
        <v>46065</v>
      </c>
      <c r="M1026" s="1" t="s">
        <v>10242</v>
      </c>
      <c r="N1026" s="1" t="s">
        <v>10236</v>
      </c>
    </row>
    <row r="1027" spans="1:14" s="1" customFormat="1" x14ac:dyDescent="0.35">
      <c r="A1027" s="1" t="s">
        <v>4492</v>
      </c>
      <c r="B1027" s="1" t="s">
        <v>3268</v>
      </c>
      <c r="C1027" s="1" t="s">
        <v>10235</v>
      </c>
      <c r="D1027" s="1" t="s">
        <v>10241</v>
      </c>
      <c r="E1027" s="1" t="str">
        <f>"2541"</f>
        <v>2541</v>
      </c>
      <c r="F1027" s="1" t="str">
        <f>"015612540"</f>
        <v>015612540</v>
      </c>
      <c r="G1027" s="1" t="s">
        <v>10238</v>
      </c>
      <c r="H1027" s="1" t="s">
        <v>15</v>
      </c>
      <c r="I1027" s="1" t="str">
        <f>"1"</f>
        <v>1</v>
      </c>
      <c r="J1027" s="3">
        <v>1579.67</v>
      </c>
      <c r="K1027" s="4">
        <v>46008</v>
      </c>
      <c r="L1027" s="4">
        <v>46065</v>
      </c>
      <c r="M1027" s="1" t="s">
        <v>10240</v>
      </c>
      <c r="N1027" s="1" t="s">
        <v>10236</v>
      </c>
    </row>
    <row r="1028" spans="1:14" s="1" customFormat="1" x14ac:dyDescent="0.35">
      <c r="A1028" s="1" t="s">
        <v>4492</v>
      </c>
      <c r="B1028" s="1" t="s">
        <v>3268</v>
      </c>
      <c r="C1028" s="1" t="s">
        <v>10235</v>
      </c>
      <c r="D1028" s="1" t="s">
        <v>10239</v>
      </c>
      <c r="E1028" s="1" t="str">
        <f>"2541"</f>
        <v>2541</v>
      </c>
      <c r="F1028" s="1" t="str">
        <f>"015455899"</f>
        <v>015455899</v>
      </c>
      <c r="G1028" s="1" t="s">
        <v>10238</v>
      </c>
      <c r="H1028" s="1" t="s">
        <v>15</v>
      </c>
      <c r="I1028" s="1" t="str">
        <f>"2"</f>
        <v>2</v>
      </c>
      <c r="J1028" s="3">
        <v>1839.54</v>
      </c>
      <c r="K1028" s="4">
        <v>46008</v>
      </c>
      <c r="L1028" s="4">
        <v>46065</v>
      </c>
      <c r="M1028" s="1" t="s">
        <v>10237</v>
      </c>
      <c r="N1028" s="1" t="s">
        <v>10236</v>
      </c>
    </row>
    <row r="1029" spans="1:14" s="1" customFormat="1" x14ac:dyDescent="0.35">
      <c r="A1029" s="1" t="s">
        <v>4492</v>
      </c>
      <c r="B1029" s="1" t="s">
        <v>3268</v>
      </c>
      <c r="C1029" s="1" t="s">
        <v>10235</v>
      </c>
      <c r="D1029" s="1" t="s">
        <v>10234</v>
      </c>
      <c r="E1029" s="1" t="str">
        <f>"2360"</f>
        <v>2360</v>
      </c>
      <c r="F1029" s="1" t="str">
        <f>"015900772"</f>
        <v>015900772</v>
      </c>
      <c r="G1029" s="1" t="s">
        <v>1344</v>
      </c>
      <c r="H1029" s="1" t="s">
        <v>15</v>
      </c>
      <c r="I1029" s="1" t="str">
        <f>"1"</f>
        <v>1</v>
      </c>
      <c r="J1029" s="3" t="str">
        <f>"232404"</f>
        <v>232404</v>
      </c>
      <c r="K1029" s="4">
        <v>46009</v>
      </c>
      <c r="L1029" s="4">
        <v>46064</v>
      </c>
      <c r="M1029" s="1" t="s">
        <v>10233</v>
      </c>
      <c r="N1029" s="1" t="s">
        <v>10232</v>
      </c>
    </row>
    <row r="1030" spans="1:14" s="1" customFormat="1" x14ac:dyDescent="0.35">
      <c r="A1030" s="1" t="s">
        <v>4492</v>
      </c>
      <c r="B1030" s="1" t="s">
        <v>4247</v>
      </c>
      <c r="C1030" s="1" t="s">
        <v>10231</v>
      </c>
      <c r="D1030" s="1" t="s">
        <v>10230</v>
      </c>
      <c r="E1030" s="1" t="str">
        <f>"5411"</f>
        <v>5411</v>
      </c>
      <c r="F1030" s="1" t="str">
        <f>"013046121"</f>
        <v>013046121</v>
      </c>
      <c r="G1030" s="1" t="s">
        <v>3709</v>
      </c>
      <c r="H1030" s="1" t="s">
        <v>15</v>
      </c>
      <c r="I1030" s="1" t="str">
        <f>"1"</f>
        <v>1</v>
      </c>
      <c r="J1030" s="3" t="str">
        <f>"81330"</f>
        <v>81330</v>
      </c>
      <c r="K1030" s="4">
        <v>45924</v>
      </c>
      <c r="L1030" s="4">
        <v>46031</v>
      </c>
      <c r="M1030" s="1" t="s">
        <v>10229</v>
      </c>
      <c r="N1030" s="1" t="s">
        <v>10228</v>
      </c>
    </row>
    <row r="1031" spans="1:14" s="1" customFormat="1" x14ac:dyDescent="0.35">
      <c r="A1031" s="1" t="s">
        <v>4492</v>
      </c>
      <c r="B1031" s="1" t="s">
        <v>4456</v>
      </c>
      <c r="C1031" s="1" t="s">
        <v>10224</v>
      </c>
      <c r="D1031" s="1" t="s">
        <v>10227</v>
      </c>
      <c r="E1031" s="1" t="str">
        <f>"5855"</f>
        <v>5855</v>
      </c>
      <c r="F1031" s="1" t="str">
        <f>"014778738"</f>
        <v>014778738</v>
      </c>
      <c r="G1031" s="1" t="s">
        <v>614</v>
      </c>
      <c r="H1031" s="1" t="s">
        <v>15</v>
      </c>
      <c r="I1031" s="1" t="str">
        <f>"1"</f>
        <v>1</v>
      </c>
      <c r="J1031" s="3" t="str">
        <f>"7481"</f>
        <v>7481</v>
      </c>
      <c r="K1031" s="4">
        <v>46047</v>
      </c>
      <c r="L1031" s="4">
        <v>46055</v>
      </c>
      <c r="M1031" s="1" t="s">
        <v>10226</v>
      </c>
      <c r="N1031" s="1" t="s">
        <v>10225</v>
      </c>
    </row>
    <row r="1032" spans="1:14" s="1" customFormat="1" x14ac:dyDescent="0.35">
      <c r="A1032" s="1" t="s">
        <v>4492</v>
      </c>
      <c r="B1032" s="1" t="s">
        <v>4456</v>
      </c>
      <c r="C1032" s="1" t="s">
        <v>10224</v>
      </c>
      <c r="D1032" s="1" t="s">
        <v>10223</v>
      </c>
      <c r="E1032" s="1" t="str">
        <f>"2320"</f>
        <v>2320</v>
      </c>
      <c r="F1032" s="1" t="s">
        <v>4526</v>
      </c>
      <c r="G1032" s="1" t="s">
        <v>4525</v>
      </c>
      <c r="H1032" s="1" t="s">
        <v>15</v>
      </c>
      <c r="I1032" s="1" t="str">
        <f>"1"</f>
        <v>1</v>
      </c>
      <c r="J1032" s="3">
        <v>610434.26</v>
      </c>
      <c r="K1032" s="4">
        <v>46056</v>
      </c>
      <c r="L1032" s="4">
        <v>46056</v>
      </c>
      <c r="M1032" s="1" t="s">
        <v>4524</v>
      </c>
      <c r="N1032" s="1" t="s">
        <v>10222</v>
      </c>
    </row>
    <row r="1033" spans="1:14" s="1" customFormat="1" x14ac:dyDescent="0.35">
      <c r="A1033" s="1" t="s">
        <v>4492</v>
      </c>
      <c r="B1033" s="1" t="s">
        <v>1013</v>
      </c>
      <c r="C1033" s="1" t="s">
        <v>1038</v>
      </c>
      <c r="D1033" s="1" t="s">
        <v>10221</v>
      </c>
      <c r="E1033" s="1" t="str">
        <f>"3930"</f>
        <v>3930</v>
      </c>
      <c r="F1033" s="1" t="str">
        <f>"010907716"</f>
        <v>010907716</v>
      </c>
      <c r="G1033" s="1" t="s">
        <v>124</v>
      </c>
      <c r="H1033" s="1" t="s">
        <v>15</v>
      </c>
      <c r="I1033" s="1" t="str">
        <f>"1"</f>
        <v>1</v>
      </c>
      <c r="J1033" s="3" t="str">
        <f>"23870"</f>
        <v>23870</v>
      </c>
      <c r="K1033" s="4">
        <v>46038</v>
      </c>
      <c r="L1033" s="4">
        <v>46092</v>
      </c>
      <c r="M1033" s="1" t="s">
        <v>10220</v>
      </c>
      <c r="N1033" s="1" t="s">
        <v>10219</v>
      </c>
    </row>
    <row r="1034" spans="1:14" s="1" customFormat="1" x14ac:dyDescent="0.35">
      <c r="A1034" s="1" t="s">
        <v>4492</v>
      </c>
      <c r="B1034" s="1" t="s">
        <v>4456</v>
      </c>
      <c r="C1034" s="1" t="s">
        <v>4460</v>
      </c>
      <c r="D1034" s="1" t="s">
        <v>10218</v>
      </c>
      <c r="E1034" s="1" t="str">
        <f>"2360"</f>
        <v>2360</v>
      </c>
      <c r="F1034" s="1" t="str">
        <f>"016651491"</f>
        <v>016651491</v>
      </c>
      <c r="G1034" s="1" t="s">
        <v>1275</v>
      </c>
      <c r="H1034" s="1" t="s">
        <v>15</v>
      </c>
      <c r="I1034" s="1" t="str">
        <f>"1"</f>
        <v>1</v>
      </c>
      <c r="J1034" s="3" t="str">
        <f>"17125"</f>
        <v>17125</v>
      </c>
      <c r="K1034" s="4">
        <v>45927</v>
      </c>
      <c r="L1034" s="4">
        <v>46026</v>
      </c>
      <c r="M1034" s="1" t="s">
        <v>10217</v>
      </c>
      <c r="N1034" s="1" t="s">
        <v>10216</v>
      </c>
    </row>
    <row r="1035" spans="1:14" s="1" customFormat="1" x14ac:dyDescent="0.35">
      <c r="A1035" s="1" t="s">
        <v>4492</v>
      </c>
      <c r="B1035" s="1" t="s">
        <v>4456</v>
      </c>
      <c r="C1035" s="1" t="s">
        <v>4460</v>
      </c>
      <c r="D1035" s="1" t="s">
        <v>10215</v>
      </c>
      <c r="E1035" s="1" t="str">
        <f>"1550"</f>
        <v>1550</v>
      </c>
      <c r="F1035" s="1" t="str">
        <f>"016215533"</f>
        <v>016215533</v>
      </c>
      <c r="G1035" s="1" t="s">
        <v>1789</v>
      </c>
      <c r="H1035" s="1" t="s">
        <v>15</v>
      </c>
      <c r="I1035" s="1" t="str">
        <f>"1"</f>
        <v>1</v>
      </c>
      <c r="J1035" s="3" t="str">
        <f>"168000"</f>
        <v>168000</v>
      </c>
      <c r="K1035" s="4">
        <v>46005</v>
      </c>
      <c r="L1035" s="4">
        <v>46036</v>
      </c>
      <c r="M1035" s="1" t="s">
        <v>10214</v>
      </c>
      <c r="N1035" s="1" t="s">
        <v>10213</v>
      </c>
    </row>
    <row r="1036" spans="1:14" s="1" customFormat="1" x14ac:dyDescent="0.35">
      <c r="A1036" s="1" t="s">
        <v>4492</v>
      </c>
      <c r="B1036" s="1" t="s">
        <v>4456</v>
      </c>
      <c r="C1036" s="1" t="s">
        <v>4460</v>
      </c>
      <c r="D1036" s="1" t="s">
        <v>10212</v>
      </c>
      <c r="E1036" s="1" t="str">
        <f>"2340"</f>
        <v>2340</v>
      </c>
      <c r="F1036" s="1" t="s">
        <v>1071</v>
      </c>
      <c r="G1036" s="1" t="s">
        <v>1072</v>
      </c>
      <c r="H1036" s="1" t="s">
        <v>15</v>
      </c>
      <c r="I1036" s="1" t="str">
        <f>"2"</f>
        <v>2</v>
      </c>
      <c r="J1036" s="3">
        <v>37739.58</v>
      </c>
      <c r="K1036" s="4">
        <v>46011</v>
      </c>
      <c r="L1036" s="4">
        <v>46025</v>
      </c>
      <c r="M1036" s="1" t="s">
        <v>10211</v>
      </c>
      <c r="N1036" s="1" t="s">
        <v>10210</v>
      </c>
    </row>
    <row r="1037" spans="1:14" s="1" customFormat="1" x14ac:dyDescent="0.35">
      <c r="A1037" s="1" t="s">
        <v>4492</v>
      </c>
      <c r="B1037" s="1" t="s">
        <v>4456</v>
      </c>
      <c r="C1037" s="1" t="s">
        <v>4460</v>
      </c>
      <c r="D1037" s="1" t="s">
        <v>10209</v>
      </c>
      <c r="E1037" s="1" t="str">
        <f>"2360"</f>
        <v>2360</v>
      </c>
      <c r="F1037" s="1" t="str">
        <f>"016651491"</f>
        <v>016651491</v>
      </c>
      <c r="G1037" s="1" t="s">
        <v>1275</v>
      </c>
      <c r="H1037" s="1" t="s">
        <v>15</v>
      </c>
      <c r="I1037" s="1" t="str">
        <f>"1"</f>
        <v>1</v>
      </c>
      <c r="J1037" s="3" t="str">
        <f>"17125"</f>
        <v>17125</v>
      </c>
      <c r="K1037" s="4">
        <v>46032</v>
      </c>
      <c r="L1037" s="4">
        <v>46092</v>
      </c>
      <c r="M1037" s="1" t="s">
        <v>10208</v>
      </c>
      <c r="N1037" s="1" t="s">
        <v>10207</v>
      </c>
    </row>
    <row r="1038" spans="1:14" s="1" customFormat="1" x14ac:dyDescent="0.35">
      <c r="A1038" s="1" t="s">
        <v>4492</v>
      </c>
      <c r="B1038" s="1" t="s">
        <v>4456</v>
      </c>
      <c r="C1038" s="1" t="s">
        <v>4460</v>
      </c>
      <c r="D1038" s="1" t="s">
        <v>10206</v>
      </c>
      <c r="E1038" s="1" t="str">
        <f>"5855"</f>
        <v>5855</v>
      </c>
      <c r="F1038" s="1" t="str">
        <f>"014778738"</f>
        <v>014778738</v>
      </c>
      <c r="G1038" s="1" t="s">
        <v>614</v>
      </c>
      <c r="H1038" s="1" t="s">
        <v>15</v>
      </c>
      <c r="I1038" s="1" t="str">
        <f>"1"</f>
        <v>1</v>
      </c>
      <c r="J1038" s="3" t="str">
        <f>"7481"</f>
        <v>7481</v>
      </c>
      <c r="K1038" s="4">
        <v>46046</v>
      </c>
      <c r="L1038" s="4">
        <v>46055</v>
      </c>
      <c r="M1038" s="1" t="s">
        <v>10205</v>
      </c>
      <c r="N1038" s="1" t="s">
        <v>10203</v>
      </c>
    </row>
    <row r="1039" spans="1:14" s="1" customFormat="1" x14ac:dyDescent="0.35">
      <c r="A1039" s="1" t="s">
        <v>4492</v>
      </c>
      <c r="B1039" s="1" t="s">
        <v>4456</v>
      </c>
      <c r="C1039" s="1" t="s">
        <v>4460</v>
      </c>
      <c r="D1039" s="1" t="s">
        <v>10204</v>
      </c>
      <c r="E1039" s="1" t="str">
        <f>"5855"</f>
        <v>5855</v>
      </c>
      <c r="F1039" s="1" t="str">
        <f>"014778738"</f>
        <v>014778738</v>
      </c>
      <c r="G1039" s="1" t="s">
        <v>614</v>
      </c>
      <c r="H1039" s="1" t="s">
        <v>15</v>
      </c>
      <c r="I1039" s="1" t="str">
        <f>"1"</f>
        <v>1</v>
      </c>
      <c r="J1039" s="3" t="str">
        <f>"7481"</f>
        <v>7481</v>
      </c>
      <c r="K1039" s="4">
        <v>46046</v>
      </c>
      <c r="L1039" s="4">
        <v>46047</v>
      </c>
      <c r="M1039" s="1" t="s">
        <v>4524</v>
      </c>
      <c r="N1039" s="1" t="s">
        <v>10203</v>
      </c>
    </row>
    <row r="1040" spans="1:14" s="1" customFormat="1" x14ac:dyDescent="0.35">
      <c r="A1040" s="1" t="s">
        <v>4492</v>
      </c>
      <c r="B1040" s="1" t="s">
        <v>4456</v>
      </c>
      <c r="C1040" s="1" t="s">
        <v>4460</v>
      </c>
      <c r="D1040" s="1" t="s">
        <v>10202</v>
      </c>
      <c r="E1040" s="1" t="str">
        <f>"2330"</f>
        <v>2330</v>
      </c>
      <c r="F1040" s="1" t="str">
        <f>"010911714"</f>
        <v>010911714</v>
      </c>
      <c r="G1040" s="1" t="s">
        <v>3511</v>
      </c>
      <c r="H1040" s="1" t="s">
        <v>15</v>
      </c>
      <c r="I1040" s="1" t="str">
        <f>"1"</f>
        <v>1</v>
      </c>
      <c r="J1040" s="3" t="str">
        <f>"3918"</f>
        <v>3918</v>
      </c>
      <c r="K1040" s="4">
        <v>46076</v>
      </c>
      <c r="L1040" s="4">
        <v>46087</v>
      </c>
      <c r="M1040" s="1" t="s">
        <v>10201</v>
      </c>
      <c r="N1040" s="1" t="s">
        <v>10200</v>
      </c>
    </row>
    <row r="1041" spans="1:14" s="1" customFormat="1" x14ac:dyDescent="0.35">
      <c r="A1041" s="1" t="s">
        <v>4492</v>
      </c>
      <c r="B1041" s="1" t="s">
        <v>4456</v>
      </c>
      <c r="C1041" s="1" t="s">
        <v>4460</v>
      </c>
      <c r="D1041" s="1" t="s">
        <v>10199</v>
      </c>
      <c r="E1041" s="1" t="str">
        <f>"2310"</f>
        <v>2310</v>
      </c>
      <c r="F1041" s="1" t="str">
        <f>"016544105"</f>
        <v>016544105</v>
      </c>
      <c r="G1041" s="1" t="s">
        <v>232</v>
      </c>
      <c r="H1041" s="1" t="s">
        <v>15</v>
      </c>
      <c r="I1041" s="1" t="str">
        <f>"1"</f>
        <v>1</v>
      </c>
      <c r="J1041" s="3">
        <v>31905.14</v>
      </c>
      <c r="K1041" s="4">
        <v>46082</v>
      </c>
      <c r="L1041" s="4">
        <v>46087</v>
      </c>
      <c r="M1041" s="1" t="s">
        <v>10198</v>
      </c>
      <c r="N1041" s="1" t="s">
        <v>10197</v>
      </c>
    </row>
    <row r="1042" spans="1:14" s="1" customFormat="1" x14ac:dyDescent="0.35">
      <c r="A1042" s="1" t="s">
        <v>4492</v>
      </c>
      <c r="B1042" s="1" t="s">
        <v>4456</v>
      </c>
      <c r="C1042" s="1" t="s">
        <v>4460</v>
      </c>
      <c r="D1042" s="1" t="s">
        <v>10196</v>
      </c>
      <c r="E1042" s="1" t="str">
        <f>"5855"</f>
        <v>5855</v>
      </c>
      <c r="F1042" s="1" t="str">
        <f>"016002918"</f>
        <v>016002918</v>
      </c>
      <c r="G1042" s="1" t="s">
        <v>5814</v>
      </c>
      <c r="H1042" s="1" t="s">
        <v>15</v>
      </c>
      <c r="I1042" s="1" t="str">
        <f>"1"</f>
        <v>1</v>
      </c>
      <c r="J1042" s="3" t="str">
        <f>"27000"</f>
        <v>27000</v>
      </c>
      <c r="K1042" s="4">
        <v>46082</v>
      </c>
      <c r="L1042" s="4">
        <v>46087</v>
      </c>
      <c r="M1042" s="1" t="s">
        <v>10195</v>
      </c>
      <c r="N1042" s="1" t="s">
        <v>10194</v>
      </c>
    </row>
    <row r="1043" spans="1:14" s="1" customFormat="1" x14ac:dyDescent="0.35">
      <c r="A1043" s="1" t="s">
        <v>4492</v>
      </c>
      <c r="B1043" s="1" t="s">
        <v>4456</v>
      </c>
      <c r="C1043" s="1" t="s">
        <v>4460</v>
      </c>
      <c r="D1043" s="1" t="s">
        <v>10193</v>
      </c>
      <c r="E1043" s="1" t="str">
        <f>"5855"</f>
        <v>5855</v>
      </c>
      <c r="F1043" s="1" t="str">
        <f>"016943200"</f>
        <v>016943200</v>
      </c>
      <c r="G1043" s="1" t="s">
        <v>5814</v>
      </c>
      <c r="H1043" s="1" t="s">
        <v>15</v>
      </c>
      <c r="I1043" s="1" t="str">
        <f>"10"</f>
        <v>10</v>
      </c>
      <c r="J1043" s="3" t="str">
        <f>"35000"</f>
        <v>35000</v>
      </c>
      <c r="K1043" s="4">
        <v>46094</v>
      </c>
      <c r="L1043" s="4">
        <v>46103</v>
      </c>
      <c r="M1043" s="1" t="s">
        <v>10192</v>
      </c>
      <c r="N1043" s="1" t="s">
        <v>10191</v>
      </c>
    </row>
    <row r="1044" spans="1:14" s="1" customFormat="1" x14ac:dyDescent="0.35">
      <c r="A1044" s="1" t="s">
        <v>4492</v>
      </c>
      <c r="B1044" s="1" t="s">
        <v>4456</v>
      </c>
      <c r="C1044" s="1" t="s">
        <v>4460</v>
      </c>
      <c r="D1044" s="1" t="s">
        <v>10190</v>
      </c>
      <c r="E1044" s="1" t="str">
        <f>"1940"</f>
        <v>1940</v>
      </c>
      <c r="F1044" s="1" t="s">
        <v>1898</v>
      </c>
      <c r="G1044" s="1" t="s">
        <v>1899</v>
      </c>
      <c r="H1044" s="1" t="s">
        <v>15</v>
      </c>
      <c r="I1044" s="1" t="str">
        <f>"1"</f>
        <v>1</v>
      </c>
      <c r="J1044" s="3" t="str">
        <f>"259000"</f>
        <v>259000</v>
      </c>
      <c r="K1044" s="4">
        <v>46095</v>
      </c>
      <c r="L1044" s="4">
        <v>46098</v>
      </c>
      <c r="M1044" s="1" t="s">
        <v>4524</v>
      </c>
      <c r="N1044" s="1" t="s">
        <v>10189</v>
      </c>
    </row>
    <row r="1045" spans="1:14" s="1" customFormat="1" x14ac:dyDescent="0.35">
      <c r="A1045" s="1" t="s">
        <v>4492</v>
      </c>
      <c r="B1045" s="1" t="s">
        <v>4456</v>
      </c>
      <c r="C1045" s="1" t="s">
        <v>4460</v>
      </c>
      <c r="D1045" s="1" t="s">
        <v>10188</v>
      </c>
      <c r="E1045" s="1" t="str">
        <f>"2330"</f>
        <v>2330</v>
      </c>
      <c r="F1045" s="1" t="s">
        <v>104</v>
      </c>
      <c r="G1045" s="1" t="s">
        <v>105</v>
      </c>
      <c r="H1045" s="1" t="s">
        <v>15</v>
      </c>
      <c r="I1045" s="1" t="str">
        <f>"1"</f>
        <v>1</v>
      </c>
      <c r="J1045" s="3" t="str">
        <f>"6396"</f>
        <v>6396</v>
      </c>
      <c r="K1045" s="4">
        <v>46095</v>
      </c>
      <c r="L1045" s="4">
        <v>46098</v>
      </c>
      <c r="M1045" s="1" t="s">
        <v>4524</v>
      </c>
      <c r="N1045" s="1" t="s">
        <v>10187</v>
      </c>
    </row>
    <row r="1046" spans="1:14" s="1" customFormat="1" x14ac:dyDescent="0.35">
      <c r="A1046" s="1" t="s">
        <v>4492</v>
      </c>
      <c r="B1046" s="1" t="s">
        <v>4456</v>
      </c>
      <c r="C1046" s="1" t="s">
        <v>4460</v>
      </c>
      <c r="D1046" s="1" t="s">
        <v>10186</v>
      </c>
      <c r="E1046" s="1" t="str">
        <f>"4240"</f>
        <v>4240</v>
      </c>
      <c r="F1046" s="1" t="str">
        <f>"015835206"</f>
        <v>015835206</v>
      </c>
      <c r="G1046" s="1" t="s">
        <v>1404</v>
      </c>
      <c r="H1046" s="1" t="s">
        <v>15</v>
      </c>
      <c r="I1046" s="1" t="str">
        <f>"10"</f>
        <v>10</v>
      </c>
      <c r="J1046" s="3">
        <v>52.5</v>
      </c>
      <c r="K1046" s="4">
        <v>46095</v>
      </c>
      <c r="L1046" s="4">
        <v>46109</v>
      </c>
      <c r="M1046" s="1" t="s">
        <v>10185</v>
      </c>
      <c r="N1046" s="1" t="s">
        <v>10184</v>
      </c>
    </row>
    <row r="1047" spans="1:14" s="1" customFormat="1" x14ac:dyDescent="0.35">
      <c r="A1047" s="1" t="s">
        <v>4492</v>
      </c>
      <c r="B1047" s="1" t="s">
        <v>4456</v>
      </c>
      <c r="C1047" s="1" t="s">
        <v>4460</v>
      </c>
      <c r="D1047" s="1" t="s">
        <v>10183</v>
      </c>
      <c r="E1047" s="1" t="str">
        <f>"5855"</f>
        <v>5855</v>
      </c>
      <c r="F1047" s="1" t="str">
        <f>"015847217"</f>
        <v>015847217</v>
      </c>
      <c r="G1047" s="1" t="s">
        <v>614</v>
      </c>
      <c r="H1047" s="1" t="s">
        <v>15</v>
      </c>
      <c r="I1047" s="1" t="str">
        <f>"5"</f>
        <v>5</v>
      </c>
      <c r="J1047" s="3" t="str">
        <f>"34084"</f>
        <v>34084</v>
      </c>
      <c r="K1047" s="4">
        <v>46095</v>
      </c>
      <c r="L1047" s="4">
        <v>46100</v>
      </c>
      <c r="M1047" s="1" t="s">
        <v>10182</v>
      </c>
      <c r="N1047" s="1" t="s">
        <v>10181</v>
      </c>
    </row>
    <row r="1048" spans="1:14" s="1" customFormat="1" x14ac:dyDescent="0.35">
      <c r="A1048" s="1" t="s">
        <v>4492</v>
      </c>
      <c r="B1048" s="1" t="s">
        <v>4456</v>
      </c>
      <c r="C1048" s="1" t="s">
        <v>4460</v>
      </c>
      <c r="D1048" s="1" t="s">
        <v>10180</v>
      </c>
      <c r="E1048" s="1" t="str">
        <f>"1550"</f>
        <v>1550</v>
      </c>
      <c r="F1048" s="1" t="str">
        <f>"016215533"</f>
        <v>016215533</v>
      </c>
      <c r="G1048" s="1" t="s">
        <v>1789</v>
      </c>
      <c r="H1048" s="1" t="s">
        <v>15</v>
      </c>
      <c r="I1048" s="1" t="str">
        <f>"1"</f>
        <v>1</v>
      </c>
      <c r="J1048" s="3" t="str">
        <f>"168000"</f>
        <v>168000</v>
      </c>
      <c r="K1048" s="4">
        <v>46095</v>
      </c>
      <c r="L1048" s="4">
        <v>46096</v>
      </c>
      <c r="M1048" s="1" t="s">
        <v>4524</v>
      </c>
      <c r="N1048" s="1" t="s">
        <v>10179</v>
      </c>
    </row>
    <row r="1049" spans="1:14" s="1" customFormat="1" x14ac:dyDescent="0.35">
      <c r="A1049" s="1" t="s">
        <v>4492</v>
      </c>
      <c r="B1049" s="1" t="s">
        <v>4456</v>
      </c>
      <c r="C1049" s="1" t="s">
        <v>4460</v>
      </c>
      <c r="D1049" s="1" t="s">
        <v>10178</v>
      </c>
      <c r="E1049" s="1" t="str">
        <f>"4240"</f>
        <v>4240</v>
      </c>
      <c r="F1049" s="1" t="str">
        <f>"016306064"</f>
        <v>016306064</v>
      </c>
      <c r="G1049" s="1" t="s">
        <v>1404</v>
      </c>
      <c r="H1049" s="1" t="s">
        <v>15</v>
      </c>
      <c r="I1049" s="1" t="str">
        <f>"10"</f>
        <v>10</v>
      </c>
      <c r="J1049" s="3">
        <v>128.97999999999999</v>
      </c>
      <c r="K1049" s="4">
        <v>46103</v>
      </c>
      <c r="L1049" s="4">
        <v>46105</v>
      </c>
      <c r="M1049" s="1" t="s">
        <v>10177</v>
      </c>
      <c r="N1049" s="1" t="s">
        <v>10176</v>
      </c>
    </row>
    <row r="1050" spans="1:14" s="1" customFormat="1" x14ac:dyDescent="0.35">
      <c r="A1050" s="1" t="s">
        <v>4492</v>
      </c>
      <c r="B1050" s="1" t="s">
        <v>3822</v>
      </c>
      <c r="C1050" s="1" t="s">
        <v>10175</v>
      </c>
      <c r="D1050" s="1" t="s">
        <v>10174</v>
      </c>
      <c r="E1050" s="1" t="str">
        <f>"7830"</f>
        <v>7830</v>
      </c>
      <c r="F1050" s="1" t="s">
        <v>2004</v>
      </c>
      <c r="G1050" s="1" t="s">
        <v>2005</v>
      </c>
      <c r="H1050" s="1" t="s">
        <v>15</v>
      </c>
      <c r="I1050" s="1" t="str">
        <f>"1"</f>
        <v>1</v>
      </c>
      <c r="J1050" s="3" t="str">
        <f>"100"</f>
        <v>100</v>
      </c>
      <c r="K1050" s="4">
        <v>46097</v>
      </c>
      <c r="L1050" s="4">
        <v>46099</v>
      </c>
      <c r="M1050" s="1" t="s">
        <v>10173</v>
      </c>
      <c r="N1050" s="1" t="s">
        <v>10172</v>
      </c>
    </row>
    <row r="1051" spans="1:14" s="1" customFormat="1" x14ac:dyDescent="0.35">
      <c r="A1051" s="1" t="s">
        <v>4492</v>
      </c>
      <c r="B1051" s="1" t="s">
        <v>3822</v>
      </c>
      <c r="C1051" s="1" t="s">
        <v>10169</v>
      </c>
      <c r="D1051" s="1" t="s">
        <v>10171</v>
      </c>
      <c r="E1051" s="1" t="str">
        <f>"1095"</f>
        <v>1095</v>
      </c>
      <c r="F1051" s="1" t="str">
        <f>"015432189"</f>
        <v>015432189</v>
      </c>
      <c r="G1051" s="1" t="s">
        <v>704</v>
      </c>
      <c r="H1051" s="1" t="s">
        <v>15</v>
      </c>
      <c r="I1051" s="1" t="str">
        <f>"1"</f>
        <v>1</v>
      </c>
      <c r="J1051" s="3" t="str">
        <f>"959"</f>
        <v>959</v>
      </c>
      <c r="K1051" s="4">
        <v>46054</v>
      </c>
      <c r="L1051" s="4">
        <v>46055</v>
      </c>
      <c r="M1051" s="1" t="s">
        <v>4524</v>
      </c>
      <c r="N1051" s="1" t="s">
        <v>10170</v>
      </c>
    </row>
    <row r="1052" spans="1:14" s="1" customFormat="1" x14ac:dyDescent="0.35">
      <c r="A1052" s="1" t="s">
        <v>4492</v>
      </c>
      <c r="B1052" s="1" t="s">
        <v>3822</v>
      </c>
      <c r="C1052" s="1" t="s">
        <v>10169</v>
      </c>
      <c r="D1052" s="1" t="s">
        <v>10168</v>
      </c>
      <c r="E1052" s="1" t="str">
        <f>"5180"</f>
        <v>5180</v>
      </c>
      <c r="F1052" s="1" t="str">
        <f>"014830249"</f>
        <v>014830249</v>
      </c>
      <c r="G1052" s="1" t="s">
        <v>2821</v>
      </c>
      <c r="H1052" s="1" t="s">
        <v>257</v>
      </c>
      <c r="I1052" s="1" t="str">
        <f>"2"</f>
        <v>2</v>
      </c>
      <c r="J1052" s="3" t="str">
        <f>"1780"</f>
        <v>1780</v>
      </c>
      <c r="K1052" s="4">
        <v>46047</v>
      </c>
      <c r="L1052" s="4">
        <v>46058</v>
      </c>
      <c r="M1052" s="1" t="s">
        <v>10167</v>
      </c>
      <c r="N1052" s="1" t="s">
        <v>10166</v>
      </c>
    </row>
    <row r="1053" spans="1:14" s="1" customFormat="1" x14ac:dyDescent="0.35">
      <c r="A1053" s="1" t="s">
        <v>4492</v>
      </c>
      <c r="B1053" s="1" t="s">
        <v>692</v>
      </c>
      <c r="C1053" s="1" t="s">
        <v>702</v>
      </c>
      <c r="D1053" s="1" t="s">
        <v>10165</v>
      </c>
      <c r="E1053" s="1" t="str">
        <f>"2340"</f>
        <v>2340</v>
      </c>
      <c r="F1053" s="1" t="s">
        <v>4496</v>
      </c>
      <c r="G1053" s="1" t="s">
        <v>4495</v>
      </c>
      <c r="H1053" s="1" t="s">
        <v>15</v>
      </c>
      <c r="I1053" s="1" t="str">
        <f>"2"</f>
        <v>2</v>
      </c>
      <c r="J1053" s="3">
        <v>14958.79</v>
      </c>
      <c r="K1053" s="4">
        <v>46009</v>
      </c>
      <c r="L1053" s="4">
        <v>46029</v>
      </c>
      <c r="M1053" s="1" t="s">
        <v>10164</v>
      </c>
      <c r="N1053" s="1" t="s">
        <v>10163</v>
      </c>
    </row>
    <row r="1054" spans="1:14" s="1" customFormat="1" x14ac:dyDescent="0.35">
      <c r="A1054" s="1" t="s">
        <v>4492</v>
      </c>
      <c r="B1054" s="1" t="s">
        <v>692</v>
      </c>
      <c r="C1054" s="1" t="s">
        <v>702</v>
      </c>
      <c r="D1054" s="1" t="s">
        <v>10162</v>
      </c>
      <c r="E1054" s="1" t="str">
        <f>"2920"</f>
        <v>2920</v>
      </c>
      <c r="F1054" s="1" t="s">
        <v>1309</v>
      </c>
      <c r="G1054" s="1" t="s">
        <v>1310</v>
      </c>
      <c r="H1054" s="1" t="s">
        <v>15</v>
      </c>
      <c r="I1054" s="1" t="str">
        <f>"2"</f>
        <v>2</v>
      </c>
      <c r="J1054" s="3" t="str">
        <f>"2905"</f>
        <v>2905</v>
      </c>
      <c r="K1054" s="4">
        <v>46012</v>
      </c>
      <c r="L1054" s="4">
        <v>46027</v>
      </c>
      <c r="M1054" s="1" t="s">
        <v>10161</v>
      </c>
      <c r="N1054" s="1" t="s">
        <v>10158</v>
      </c>
    </row>
    <row r="1055" spans="1:14" s="1" customFormat="1" x14ac:dyDescent="0.35">
      <c r="A1055" s="1" t="s">
        <v>4492</v>
      </c>
      <c r="B1055" s="1" t="s">
        <v>692</v>
      </c>
      <c r="C1055" s="1" t="s">
        <v>702</v>
      </c>
      <c r="D1055" s="1" t="s">
        <v>10160</v>
      </c>
      <c r="E1055" s="1" t="str">
        <f>"2920"</f>
        <v>2920</v>
      </c>
      <c r="F1055" s="1" t="s">
        <v>1309</v>
      </c>
      <c r="G1055" s="1" t="s">
        <v>1310</v>
      </c>
      <c r="H1055" s="1" t="s">
        <v>15</v>
      </c>
      <c r="I1055" s="1" t="str">
        <f>"1"</f>
        <v>1</v>
      </c>
      <c r="J1055" s="3" t="str">
        <f>"2905"</f>
        <v>2905</v>
      </c>
      <c r="K1055" s="4">
        <v>46012</v>
      </c>
      <c r="L1055" s="4">
        <v>46027</v>
      </c>
      <c r="M1055" s="1" t="s">
        <v>10159</v>
      </c>
      <c r="N1055" s="1" t="s">
        <v>10158</v>
      </c>
    </row>
    <row r="1056" spans="1:14" s="1" customFormat="1" x14ac:dyDescent="0.35">
      <c r="A1056" s="1" t="s">
        <v>4492</v>
      </c>
      <c r="B1056" s="1" t="s">
        <v>692</v>
      </c>
      <c r="C1056" s="1" t="s">
        <v>702</v>
      </c>
      <c r="D1056" s="1" t="s">
        <v>10157</v>
      </c>
      <c r="E1056" s="1" t="str">
        <f>"4910"</f>
        <v>4910</v>
      </c>
      <c r="F1056" s="1" t="s">
        <v>145</v>
      </c>
      <c r="G1056" s="1" t="s">
        <v>146</v>
      </c>
      <c r="H1056" s="1" t="s">
        <v>15</v>
      </c>
      <c r="I1056" s="1" t="str">
        <f>"1"</f>
        <v>1</v>
      </c>
      <c r="J1056" s="3">
        <v>2499.9899999999998</v>
      </c>
      <c r="K1056" s="4">
        <v>46035</v>
      </c>
      <c r="L1056" s="4">
        <v>46038</v>
      </c>
      <c r="M1056" s="1" t="s">
        <v>4524</v>
      </c>
      <c r="N1056" s="1" t="s">
        <v>10156</v>
      </c>
    </row>
    <row r="1057" spans="1:14" s="1" customFormat="1" x14ac:dyDescent="0.35">
      <c r="A1057" s="1" t="s">
        <v>4492</v>
      </c>
      <c r="B1057" s="1" t="s">
        <v>692</v>
      </c>
      <c r="C1057" s="1" t="s">
        <v>702</v>
      </c>
      <c r="D1057" s="1" t="s">
        <v>10155</v>
      </c>
      <c r="E1057" s="1" t="str">
        <f>"2330"</f>
        <v>2330</v>
      </c>
      <c r="F1057" s="1" t="s">
        <v>104</v>
      </c>
      <c r="G1057" s="1" t="s">
        <v>105</v>
      </c>
      <c r="H1057" s="1" t="s">
        <v>15</v>
      </c>
      <c r="I1057" s="1" t="str">
        <f>"2"</f>
        <v>2</v>
      </c>
      <c r="J1057" s="3" t="str">
        <f>"1500"</f>
        <v>1500</v>
      </c>
      <c r="K1057" s="4">
        <v>46035</v>
      </c>
      <c r="L1057" s="4">
        <v>46037</v>
      </c>
      <c r="M1057" s="1" t="s">
        <v>4524</v>
      </c>
      <c r="N1057" s="1" t="s">
        <v>10154</v>
      </c>
    </row>
    <row r="1058" spans="1:14" s="1" customFormat="1" x14ac:dyDescent="0.35">
      <c r="A1058" s="1" t="s">
        <v>4492</v>
      </c>
      <c r="B1058" s="1" t="s">
        <v>692</v>
      </c>
      <c r="C1058" s="1" t="s">
        <v>702</v>
      </c>
      <c r="D1058" s="1" t="s">
        <v>10153</v>
      </c>
      <c r="E1058" s="1" t="str">
        <f>"2330"</f>
        <v>2330</v>
      </c>
      <c r="F1058" s="1" t="str">
        <f>"013875443"</f>
        <v>013875443</v>
      </c>
      <c r="G1058" s="1" t="s">
        <v>2101</v>
      </c>
      <c r="H1058" s="1" t="s">
        <v>15</v>
      </c>
      <c r="I1058" s="1" t="str">
        <f>"1"</f>
        <v>1</v>
      </c>
      <c r="J1058" s="3" t="str">
        <f>"9535"</f>
        <v>9535</v>
      </c>
      <c r="K1058" s="4">
        <v>46035</v>
      </c>
      <c r="L1058" s="4">
        <v>46064</v>
      </c>
      <c r="M1058" s="1" t="s">
        <v>10152</v>
      </c>
      <c r="N1058" s="1" t="s">
        <v>10151</v>
      </c>
    </row>
    <row r="1059" spans="1:14" s="1" customFormat="1" x14ac:dyDescent="0.35">
      <c r="A1059" s="1" t="s">
        <v>4492</v>
      </c>
      <c r="B1059" s="1" t="s">
        <v>692</v>
      </c>
      <c r="C1059" s="1" t="s">
        <v>702</v>
      </c>
      <c r="D1059" s="1" t="s">
        <v>10150</v>
      </c>
      <c r="E1059" s="1" t="str">
        <f>"1095"</f>
        <v>1095</v>
      </c>
      <c r="F1059" s="1" t="str">
        <f>"015186832"</f>
        <v>015186832</v>
      </c>
      <c r="G1059" s="1" t="s">
        <v>10149</v>
      </c>
      <c r="H1059" s="1" t="s">
        <v>15</v>
      </c>
      <c r="I1059" s="1" t="str">
        <f>"1"</f>
        <v>1</v>
      </c>
      <c r="J1059" s="3">
        <v>240.3</v>
      </c>
      <c r="K1059" s="4">
        <v>46035</v>
      </c>
      <c r="L1059" s="4">
        <v>46051</v>
      </c>
      <c r="M1059" s="1" t="s">
        <v>4524</v>
      </c>
      <c r="N1059" s="1" t="s">
        <v>10148</v>
      </c>
    </row>
    <row r="1060" spans="1:14" s="1" customFormat="1" x14ac:dyDescent="0.35">
      <c r="A1060" s="1" t="s">
        <v>4492</v>
      </c>
      <c r="B1060" s="1" t="s">
        <v>692</v>
      </c>
      <c r="C1060" s="1" t="s">
        <v>702</v>
      </c>
      <c r="D1060" s="1" t="s">
        <v>10147</v>
      </c>
      <c r="E1060" s="1" t="str">
        <f>"1240"</f>
        <v>1240</v>
      </c>
      <c r="F1060" s="1" t="str">
        <f>"015929079"</f>
        <v>015929079</v>
      </c>
      <c r="G1060" s="1" t="s">
        <v>6044</v>
      </c>
      <c r="H1060" s="1" t="s">
        <v>15</v>
      </c>
      <c r="I1060" s="1" t="str">
        <f>"6"</f>
        <v>6</v>
      </c>
      <c r="J1060" s="3" t="str">
        <f>"1363"</f>
        <v>1363</v>
      </c>
      <c r="K1060" s="4">
        <v>46043</v>
      </c>
      <c r="L1060" s="4">
        <v>46070</v>
      </c>
      <c r="M1060" s="1" t="s">
        <v>10146</v>
      </c>
      <c r="N1060" s="1" t="s">
        <v>10145</v>
      </c>
    </row>
    <row r="1061" spans="1:14" s="1" customFormat="1" x14ac:dyDescent="0.35">
      <c r="A1061" s="1" t="s">
        <v>4492</v>
      </c>
      <c r="B1061" s="1" t="s">
        <v>692</v>
      </c>
      <c r="C1061" s="1" t="s">
        <v>702</v>
      </c>
      <c r="D1061" s="1" t="s">
        <v>10144</v>
      </c>
      <c r="E1061" s="1" t="str">
        <f>"2920"</f>
        <v>2920</v>
      </c>
      <c r="F1061" s="1" t="s">
        <v>1309</v>
      </c>
      <c r="G1061" s="1" t="s">
        <v>1310</v>
      </c>
      <c r="H1061" s="1" t="s">
        <v>15</v>
      </c>
      <c r="I1061" s="1" t="str">
        <f>"2"</f>
        <v>2</v>
      </c>
      <c r="J1061" s="3" t="str">
        <f>"2905"</f>
        <v>2905</v>
      </c>
      <c r="K1061" s="4">
        <v>46045</v>
      </c>
      <c r="L1061" s="4">
        <v>46049</v>
      </c>
      <c r="M1061" s="1" t="s">
        <v>4524</v>
      </c>
      <c r="N1061" s="1" t="s">
        <v>10143</v>
      </c>
    </row>
    <row r="1062" spans="1:14" s="1" customFormat="1" x14ac:dyDescent="0.35">
      <c r="A1062" s="1" t="s">
        <v>4492</v>
      </c>
      <c r="B1062" s="1" t="s">
        <v>692</v>
      </c>
      <c r="C1062" s="1" t="s">
        <v>702</v>
      </c>
      <c r="D1062" s="1" t="s">
        <v>10142</v>
      </c>
      <c r="E1062" s="1" t="str">
        <f>"2310"</f>
        <v>2310</v>
      </c>
      <c r="F1062" s="1" t="str">
        <f>"010907741"</f>
        <v>010907741</v>
      </c>
      <c r="G1062" s="1" t="s">
        <v>710</v>
      </c>
      <c r="H1062" s="1" t="s">
        <v>15</v>
      </c>
      <c r="I1062" s="1" t="str">
        <f>"1"</f>
        <v>1</v>
      </c>
      <c r="J1062" s="3" t="str">
        <f>"30027"</f>
        <v>30027</v>
      </c>
      <c r="K1062" s="4">
        <v>46039</v>
      </c>
      <c r="L1062" s="4">
        <v>46055</v>
      </c>
      <c r="M1062" s="1" t="s">
        <v>10141</v>
      </c>
      <c r="N1062" s="1" t="s">
        <v>10136</v>
      </c>
    </row>
    <row r="1063" spans="1:14" s="1" customFormat="1" x14ac:dyDescent="0.35">
      <c r="A1063" s="1" t="s">
        <v>4492</v>
      </c>
      <c r="B1063" s="1" t="s">
        <v>692</v>
      </c>
      <c r="C1063" s="1" t="s">
        <v>702</v>
      </c>
      <c r="D1063" s="1" t="s">
        <v>10140</v>
      </c>
      <c r="E1063" s="1" t="str">
        <f>"2310"</f>
        <v>2310</v>
      </c>
      <c r="F1063" s="1" t="str">
        <f>"010907741"</f>
        <v>010907741</v>
      </c>
      <c r="G1063" s="1" t="s">
        <v>710</v>
      </c>
      <c r="H1063" s="1" t="s">
        <v>15</v>
      </c>
      <c r="I1063" s="1" t="str">
        <f>"1"</f>
        <v>1</v>
      </c>
      <c r="J1063" s="3" t="str">
        <f>"30027"</f>
        <v>30027</v>
      </c>
      <c r="K1063" s="4">
        <v>46039</v>
      </c>
      <c r="L1063" s="4">
        <v>46055</v>
      </c>
      <c r="M1063" s="1" t="s">
        <v>10139</v>
      </c>
      <c r="N1063" s="1" t="s">
        <v>10136</v>
      </c>
    </row>
    <row r="1064" spans="1:14" s="1" customFormat="1" x14ac:dyDescent="0.35">
      <c r="A1064" s="1" t="s">
        <v>4492</v>
      </c>
      <c r="B1064" s="1" t="s">
        <v>692</v>
      </c>
      <c r="C1064" s="1" t="s">
        <v>702</v>
      </c>
      <c r="D1064" s="1" t="s">
        <v>10138</v>
      </c>
      <c r="E1064" s="1" t="str">
        <f>"2310"</f>
        <v>2310</v>
      </c>
      <c r="F1064" s="1" t="str">
        <f>"010907741"</f>
        <v>010907741</v>
      </c>
      <c r="G1064" s="1" t="s">
        <v>710</v>
      </c>
      <c r="H1064" s="1" t="s">
        <v>15</v>
      </c>
      <c r="I1064" s="1" t="str">
        <f>"1"</f>
        <v>1</v>
      </c>
      <c r="J1064" s="3" t="str">
        <f>"30027"</f>
        <v>30027</v>
      </c>
      <c r="K1064" s="4">
        <v>46039</v>
      </c>
      <c r="L1064" s="4">
        <v>46055</v>
      </c>
      <c r="M1064" s="1" t="s">
        <v>10137</v>
      </c>
      <c r="N1064" s="1" t="s">
        <v>10136</v>
      </c>
    </row>
    <row r="1065" spans="1:14" s="1" customFormat="1" x14ac:dyDescent="0.35">
      <c r="A1065" s="1" t="s">
        <v>4492</v>
      </c>
      <c r="B1065" s="1" t="s">
        <v>692</v>
      </c>
      <c r="C1065" s="1" t="s">
        <v>702</v>
      </c>
      <c r="D1065" s="1" t="s">
        <v>10135</v>
      </c>
      <c r="E1065" s="1" t="str">
        <f>"8415"</f>
        <v>8415</v>
      </c>
      <c r="F1065" s="1" t="str">
        <f>"014975989"</f>
        <v>014975989</v>
      </c>
      <c r="G1065" s="1" t="s">
        <v>10134</v>
      </c>
      <c r="H1065" s="1" t="s">
        <v>47</v>
      </c>
      <c r="I1065" s="1" t="str">
        <f>"40"</f>
        <v>40</v>
      </c>
      <c r="J1065" s="3">
        <v>13.33</v>
      </c>
      <c r="K1065" s="4">
        <v>46039</v>
      </c>
      <c r="L1065" s="4">
        <v>46040</v>
      </c>
      <c r="M1065" s="1" t="s">
        <v>4524</v>
      </c>
      <c r="N1065" s="1" t="s">
        <v>10133</v>
      </c>
    </row>
    <row r="1066" spans="1:14" s="1" customFormat="1" x14ac:dyDescent="0.35">
      <c r="A1066" s="1" t="s">
        <v>4492</v>
      </c>
      <c r="B1066" s="1" t="s">
        <v>692</v>
      </c>
      <c r="C1066" s="1" t="s">
        <v>702</v>
      </c>
      <c r="D1066" s="1" t="s">
        <v>10132</v>
      </c>
      <c r="E1066" s="1" t="str">
        <f>"2310"</f>
        <v>2310</v>
      </c>
      <c r="F1066" s="1" t="str">
        <f>"010907741"</f>
        <v>010907741</v>
      </c>
      <c r="G1066" s="1" t="s">
        <v>710</v>
      </c>
      <c r="H1066" s="1" t="s">
        <v>15</v>
      </c>
      <c r="I1066" s="1" t="str">
        <f>"1"</f>
        <v>1</v>
      </c>
      <c r="J1066" s="3" t="str">
        <f>"30027"</f>
        <v>30027</v>
      </c>
      <c r="K1066" s="4">
        <v>46039</v>
      </c>
      <c r="L1066" s="4">
        <v>46055</v>
      </c>
      <c r="M1066" s="1" t="s">
        <v>10131</v>
      </c>
      <c r="N1066" s="1" t="s">
        <v>10130</v>
      </c>
    </row>
    <row r="1067" spans="1:14" s="1" customFormat="1" x14ac:dyDescent="0.35">
      <c r="A1067" s="1" t="s">
        <v>4492</v>
      </c>
      <c r="B1067" s="1" t="s">
        <v>692</v>
      </c>
      <c r="C1067" s="1" t="s">
        <v>702</v>
      </c>
      <c r="D1067" s="1" t="s">
        <v>10129</v>
      </c>
      <c r="E1067" s="1" t="str">
        <f>"5855"</f>
        <v>5855</v>
      </c>
      <c r="F1067" s="1" t="str">
        <f>"015096871"</f>
        <v>015096871</v>
      </c>
      <c r="G1067" s="1" t="s">
        <v>7641</v>
      </c>
      <c r="H1067" s="1" t="s">
        <v>15</v>
      </c>
      <c r="I1067" s="1" t="str">
        <f>"1"</f>
        <v>1</v>
      </c>
      <c r="J1067" s="3" t="str">
        <f>"15264"</f>
        <v>15264</v>
      </c>
      <c r="K1067" s="4">
        <v>46043</v>
      </c>
      <c r="L1067" s="4">
        <v>46070</v>
      </c>
      <c r="M1067" s="1" t="s">
        <v>10128</v>
      </c>
      <c r="N1067" s="1" t="s">
        <v>10127</v>
      </c>
    </row>
    <row r="1068" spans="1:14" s="1" customFormat="1" x14ac:dyDescent="0.35">
      <c r="A1068" s="1" t="s">
        <v>4492</v>
      </c>
      <c r="B1068" s="1" t="s">
        <v>692</v>
      </c>
      <c r="C1068" s="1" t="s">
        <v>702</v>
      </c>
      <c r="D1068" s="1" t="s">
        <v>10126</v>
      </c>
      <c r="E1068" s="1" t="str">
        <f>"5855"</f>
        <v>5855</v>
      </c>
      <c r="F1068" s="1" t="str">
        <f>"015959294"</f>
        <v>015959294</v>
      </c>
      <c r="G1068" s="1" t="s">
        <v>1188</v>
      </c>
      <c r="H1068" s="1" t="s">
        <v>15</v>
      </c>
      <c r="I1068" s="1" t="str">
        <f>"6"</f>
        <v>6</v>
      </c>
      <c r="J1068" s="3" t="str">
        <f>"18055"</f>
        <v>18055</v>
      </c>
      <c r="K1068" s="4">
        <v>46043</v>
      </c>
      <c r="L1068" s="4">
        <v>46045</v>
      </c>
      <c r="M1068" s="1" t="s">
        <v>10125</v>
      </c>
      <c r="N1068" s="1" t="s">
        <v>10124</v>
      </c>
    </row>
    <row r="1069" spans="1:14" s="1" customFormat="1" x14ac:dyDescent="0.35">
      <c r="A1069" s="1" t="s">
        <v>4492</v>
      </c>
      <c r="B1069" s="1" t="s">
        <v>692</v>
      </c>
      <c r="C1069" s="1" t="s">
        <v>702</v>
      </c>
      <c r="D1069" s="1" t="s">
        <v>10126</v>
      </c>
      <c r="E1069" s="1" t="str">
        <f>"5855"</f>
        <v>5855</v>
      </c>
      <c r="F1069" s="1" t="str">
        <f>"015959294"</f>
        <v>015959294</v>
      </c>
      <c r="G1069" s="1" t="s">
        <v>1188</v>
      </c>
      <c r="H1069" s="1" t="s">
        <v>15</v>
      </c>
      <c r="I1069" s="1" t="str">
        <f>"6"</f>
        <v>6</v>
      </c>
      <c r="J1069" s="3" t="str">
        <f>"18055"</f>
        <v>18055</v>
      </c>
      <c r="K1069" s="4">
        <v>46043</v>
      </c>
      <c r="L1069" s="4">
        <v>46045</v>
      </c>
      <c r="M1069" s="1" t="s">
        <v>10125</v>
      </c>
      <c r="N1069" s="1" t="s">
        <v>10124</v>
      </c>
    </row>
    <row r="1070" spans="1:14" s="1" customFormat="1" x14ac:dyDescent="0.35">
      <c r="A1070" s="1" t="s">
        <v>4492</v>
      </c>
      <c r="B1070" s="1" t="s">
        <v>692</v>
      </c>
      <c r="C1070" s="1" t="s">
        <v>702</v>
      </c>
      <c r="D1070" s="1" t="s">
        <v>10123</v>
      </c>
      <c r="E1070" s="1" t="str">
        <f>"2310"</f>
        <v>2310</v>
      </c>
      <c r="F1070" s="1" t="str">
        <f>"010907741"</f>
        <v>010907741</v>
      </c>
      <c r="G1070" s="1" t="s">
        <v>710</v>
      </c>
      <c r="H1070" s="1" t="s">
        <v>15</v>
      </c>
      <c r="I1070" s="1" t="str">
        <f>"1"</f>
        <v>1</v>
      </c>
      <c r="J1070" s="3" t="str">
        <f>"30027"</f>
        <v>30027</v>
      </c>
      <c r="K1070" s="4">
        <v>46071</v>
      </c>
      <c r="L1070" s="4">
        <v>46072</v>
      </c>
      <c r="M1070" s="1" t="s">
        <v>4524</v>
      </c>
      <c r="N1070" s="1" t="s">
        <v>10122</v>
      </c>
    </row>
    <row r="1071" spans="1:14" s="1" customFormat="1" x14ac:dyDescent="0.35">
      <c r="A1071" s="1" t="s">
        <v>4492</v>
      </c>
      <c r="B1071" s="1" t="s">
        <v>692</v>
      </c>
      <c r="C1071" s="1" t="s">
        <v>702</v>
      </c>
      <c r="D1071" s="1" t="s">
        <v>10121</v>
      </c>
      <c r="E1071" s="1" t="str">
        <f>"2320"</f>
        <v>2320</v>
      </c>
      <c r="F1071" s="1" t="str">
        <f>"011513177"</f>
        <v>011513177</v>
      </c>
      <c r="G1071" s="1" t="s">
        <v>1765</v>
      </c>
      <c r="H1071" s="1" t="s">
        <v>15</v>
      </c>
      <c r="I1071" s="1" t="str">
        <f>"1"</f>
        <v>1</v>
      </c>
      <c r="J1071" s="3" t="str">
        <f>"29693"</f>
        <v>29693</v>
      </c>
      <c r="K1071" s="4">
        <v>46071</v>
      </c>
      <c r="L1071" s="4">
        <v>46072</v>
      </c>
      <c r="M1071" s="1" t="s">
        <v>4524</v>
      </c>
      <c r="N1071" s="1" t="s">
        <v>10120</v>
      </c>
    </row>
    <row r="1072" spans="1:14" s="1" customFormat="1" x14ac:dyDescent="0.35">
      <c r="A1072" s="1" t="s">
        <v>4492</v>
      </c>
      <c r="B1072" s="1" t="s">
        <v>692</v>
      </c>
      <c r="C1072" s="1" t="s">
        <v>702</v>
      </c>
      <c r="D1072" s="1" t="s">
        <v>10119</v>
      </c>
      <c r="E1072" s="1" t="str">
        <f>"5855"</f>
        <v>5855</v>
      </c>
      <c r="F1072" s="1" t="str">
        <f>"014778738"</f>
        <v>014778738</v>
      </c>
      <c r="G1072" s="1" t="s">
        <v>614</v>
      </c>
      <c r="H1072" s="1" t="s">
        <v>15</v>
      </c>
      <c r="I1072" s="1" t="str">
        <f>"1"</f>
        <v>1</v>
      </c>
      <c r="J1072" s="3" t="str">
        <f>"7481"</f>
        <v>7481</v>
      </c>
      <c r="K1072" s="4">
        <v>46049</v>
      </c>
      <c r="L1072" s="4">
        <v>46063</v>
      </c>
      <c r="M1072" s="1" t="s">
        <v>10118</v>
      </c>
      <c r="N1072" s="1" t="s">
        <v>10104</v>
      </c>
    </row>
    <row r="1073" spans="1:14" s="1" customFormat="1" x14ac:dyDescent="0.35">
      <c r="A1073" s="1" t="s">
        <v>4492</v>
      </c>
      <c r="B1073" s="1" t="s">
        <v>692</v>
      </c>
      <c r="C1073" s="1" t="s">
        <v>702</v>
      </c>
      <c r="D1073" s="1" t="s">
        <v>10117</v>
      </c>
      <c r="E1073" s="1" t="str">
        <f>"5855"</f>
        <v>5855</v>
      </c>
      <c r="F1073" s="1" t="str">
        <f>"014778738"</f>
        <v>014778738</v>
      </c>
      <c r="G1073" s="1" t="s">
        <v>614</v>
      </c>
      <c r="H1073" s="1" t="s">
        <v>15</v>
      </c>
      <c r="I1073" s="1" t="str">
        <f>"1"</f>
        <v>1</v>
      </c>
      <c r="J1073" s="3" t="str">
        <f>"7481"</f>
        <v>7481</v>
      </c>
      <c r="K1073" s="4">
        <v>46049</v>
      </c>
      <c r="L1073" s="4">
        <v>46063</v>
      </c>
      <c r="M1073" s="1" t="s">
        <v>10116</v>
      </c>
      <c r="N1073" s="1" t="s">
        <v>10104</v>
      </c>
    </row>
    <row r="1074" spans="1:14" s="1" customFormat="1" x14ac:dyDescent="0.35">
      <c r="A1074" s="1" t="s">
        <v>4492</v>
      </c>
      <c r="B1074" s="1" t="s">
        <v>692</v>
      </c>
      <c r="C1074" s="1" t="s">
        <v>702</v>
      </c>
      <c r="D1074" s="1" t="s">
        <v>10115</v>
      </c>
      <c r="E1074" s="1" t="str">
        <f>"5855"</f>
        <v>5855</v>
      </c>
      <c r="F1074" s="1" t="str">
        <f>"014778738"</f>
        <v>014778738</v>
      </c>
      <c r="G1074" s="1" t="s">
        <v>614</v>
      </c>
      <c r="H1074" s="1" t="s">
        <v>15</v>
      </c>
      <c r="I1074" s="1" t="str">
        <f>"1"</f>
        <v>1</v>
      </c>
      <c r="J1074" s="3" t="str">
        <f>"7481"</f>
        <v>7481</v>
      </c>
      <c r="K1074" s="4">
        <v>46049</v>
      </c>
      <c r="L1074" s="4">
        <v>46063</v>
      </c>
      <c r="M1074" s="1" t="s">
        <v>10114</v>
      </c>
      <c r="N1074" s="1" t="s">
        <v>10104</v>
      </c>
    </row>
    <row r="1075" spans="1:14" s="1" customFormat="1" x14ac:dyDescent="0.35">
      <c r="A1075" s="1" t="s">
        <v>4492</v>
      </c>
      <c r="B1075" s="1" t="s">
        <v>692</v>
      </c>
      <c r="C1075" s="1" t="s">
        <v>702</v>
      </c>
      <c r="D1075" s="1" t="s">
        <v>10113</v>
      </c>
      <c r="E1075" s="1" t="str">
        <f>"5855"</f>
        <v>5855</v>
      </c>
      <c r="F1075" s="1" t="str">
        <f>"014778738"</f>
        <v>014778738</v>
      </c>
      <c r="G1075" s="1" t="s">
        <v>614</v>
      </c>
      <c r="H1075" s="1" t="s">
        <v>15</v>
      </c>
      <c r="I1075" s="1" t="str">
        <f>"1"</f>
        <v>1</v>
      </c>
      <c r="J1075" s="3" t="str">
        <f>"7481"</f>
        <v>7481</v>
      </c>
      <c r="K1075" s="4">
        <v>46049</v>
      </c>
      <c r="L1075" s="4">
        <v>46063</v>
      </c>
      <c r="M1075" s="1" t="s">
        <v>10112</v>
      </c>
      <c r="N1075" s="1" t="s">
        <v>10104</v>
      </c>
    </row>
    <row r="1076" spans="1:14" s="1" customFormat="1" x14ac:dyDescent="0.35">
      <c r="A1076" s="1" t="s">
        <v>4492</v>
      </c>
      <c r="B1076" s="1" t="s">
        <v>692</v>
      </c>
      <c r="C1076" s="1" t="s">
        <v>702</v>
      </c>
      <c r="D1076" s="1" t="s">
        <v>10111</v>
      </c>
      <c r="E1076" s="1" t="str">
        <f>"5855"</f>
        <v>5855</v>
      </c>
      <c r="F1076" s="1" t="str">
        <f>"014778738"</f>
        <v>014778738</v>
      </c>
      <c r="G1076" s="1" t="s">
        <v>614</v>
      </c>
      <c r="H1076" s="1" t="s">
        <v>15</v>
      </c>
      <c r="I1076" s="1" t="str">
        <f>"1"</f>
        <v>1</v>
      </c>
      <c r="J1076" s="3" t="str">
        <f>"7481"</f>
        <v>7481</v>
      </c>
      <c r="K1076" s="4">
        <v>46049</v>
      </c>
      <c r="L1076" s="4">
        <v>46063</v>
      </c>
      <c r="M1076" s="1" t="s">
        <v>10110</v>
      </c>
      <c r="N1076" s="1" t="s">
        <v>10104</v>
      </c>
    </row>
    <row r="1077" spans="1:14" s="1" customFormat="1" x14ac:dyDescent="0.35">
      <c r="A1077" s="1" t="s">
        <v>4492</v>
      </c>
      <c r="B1077" s="1" t="s">
        <v>692</v>
      </c>
      <c r="C1077" s="1" t="s">
        <v>702</v>
      </c>
      <c r="D1077" s="1" t="s">
        <v>10109</v>
      </c>
      <c r="E1077" s="1" t="str">
        <f>"5855"</f>
        <v>5855</v>
      </c>
      <c r="F1077" s="1" t="str">
        <f>"014778738"</f>
        <v>014778738</v>
      </c>
      <c r="G1077" s="1" t="s">
        <v>614</v>
      </c>
      <c r="H1077" s="1" t="s">
        <v>15</v>
      </c>
      <c r="I1077" s="1" t="str">
        <f>"1"</f>
        <v>1</v>
      </c>
      <c r="J1077" s="3" t="str">
        <f>"7481"</f>
        <v>7481</v>
      </c>
      <c r="K1077" s="4">
        <v>46049</v>
      </c>
      <c r="L1077" s="4">
        <v>46055</v>
      </c>
      <c r="M1077" s="1" t="s">
        <v>4524</v>
      </c>
      <c r="N1077" s="1" t="s">
        <v>10104</v>
      </c>
    </row>
    <row r="1078" spans="1:14" s="1" customFormat="1" x14ac:dyDescent="0.35">
      <c r="A1078" s="1" t="s">
        <v>4492</v>
      </c>
      <c r="B1078" s="1" t="s">
        <v>692</v>
      </c>
      <c r="C1078" s="1" t="s">
        <v>702</v>
      </c>
      <c r="D1078" s="1" t="s">
        <v>10108</v>
      </c>
      <c r="E1078" s="1" t="str">
        <f>"5855"</f>
        <v>5855</v>
      </c>
      <c r="F1078" s="1" t="str">
        <f>"014778738"</f>
        <v>014778738</v>
      </c>
      <c r="G1078" s="1" t="s">
        <v>614</v>
      </c>
      <c r="H1078" s="1" t="s">
        <v>15</v>
      </c>
      <c r="I1078" s="1" t="str">
        <f>"1"</f>
        <v>1</v>
      </c>
      <c r="J1078" s="3" t="str">
        <f>"7481"</f>
        <v>7481</v>
      </c>
      <c r="K1078" s="4">
        <v>46049</v>
      </c>
      <c r="L1078" s="4">
        <v>46063</v>
      </c>
      <c r="M1078" s="1" t="s">
        <v>10107</v>
      </c>
      <c r="N1078" s="1" t="s">
        <v>10104</v>
      </c>
    </row>
    <row r="1079" spans="1:14" s="1" customFormat="1" x14ac:dyDescent="0.35">
      <c r="A1079" s="1" t="s">
        <v>4492</v>
      </c>
      <c r="B1079" s="1" t="s">
        <v>692</v>
      </c>
      <c r="C1079" s="1" t="s">
        <v>702</v>
      </c>
      <c r="D1079" s="1" t="s">
        <v>10106</v>
      </c>
      <c r="E1079" s="1" t="str">
        <f>"5855"</f>
        <v>5855</v>
      </c>
      <c r="F1079" s="1" t="str">
        <f>"014778738"</f>
        <v>014778738</v>
      </c>
      <c r="G1079" s="1" t="s">
        <v>614</v>
      </c>
      <c r="H1079" s="1" t="s">
        <v>15</v>
      </c>
      <c r="I1079" s="1" t="str">
        <f>"1"</f>
        <v>1</v>
      </c>
      <c r="J1079" s="3" t="str">
        <f>"7481"</f>
        <v>7481</v>
      </c>
      <c r="K1079" s="4">
        <v>46049</v>
      </c>
      <c r="L1079" s="4">
        <v>46063</v>
      </c>
      <c r="M1079" s="1" t="s">
        <v>10105</v>
      </c>
      <c r="N1079" s="1" t="s">
        <v>10104</v>
      </c>
    </row>
    <row r="1080" spans="1:14" s="1" customFormat="1" x14ac:dyDescent="0.35">
      <c r="A1080" s="1" t="s">
        <v>4492</v>
      </c>
      <c r="B1080" s="1" t="s">
        <v>692</v>
      </c>
      <c r="C1080" s="1" t="s">
        <v>702</v>
      </c>
      <c r="D1080" s="1" t="s">
        <v>10103</v>
      </c>
      <c r="E1080" s="1" t="str">
        <f>"2340"</f>
        <v>2340</v>
      </c>
      <c r="F1080" s="1" t="s">
        <v>1071</v>
      </c>
      <c r="G1080" s="1" t="s">
        <v>1072</v>
      </c>
      <c r="H1080" s="1" t="s">
        <v>15</v>
      </c>
      <c r="I1080" s="1" t="str">
        <f>"1"</f>
        <v>1</v>
      </c>
      <c r="J1080" s="3" t="str">
        <f>"9000"</f>
        <v>9000</v>
      </c>
      <c r="K1080" s="4">
        <v>46074</v>
      </c>
      <c r="L1080" s="4">
        <v>46090</v>
      </c>
      <c r="M1080" s="1" t="s">
        <v>10102</v>
      </c>
      <c r="N1080" s="1" t="s">
        <v>10101</v>
      </c>
    </row>
    <row r="1081" spans="1:14" s="1" customFormat="1" x14ac:dyDescent="0.35">
      <c r="A1081" s="1" t="s">
        <v>4492</v>
      </c>
      <c r="B1081" s="1" t="s">
        <v>692</v>
      </c>
      <c r="C1081" s="1" t="s">
        <v>702</v>
      </c>
      <c r="D1081" s="1" t="s">
        <v>10100</v>
      </c>
      <c r="E1081" s="1" t="str">
        <f>"4910"</f>
        <v>4910</v>
      </c>
      <c r="F1081" s="1" t="s">
        <v>145</v>
      </c>
      <c r="G1081" s="1" t="s">
        <v>146</v>
      </c>
      <c r="H1081" s="1" t="s">
        <v>15</v>
      </c>
      <c r="I1081" s="1" t="str">
        <f>"1"</f>
        <v>1</v>
      </c>
      <c r="J1081" s="3">
        <v>6041.52</v>
      </c>
      <c r="K1081" s="4">
        <v>46078</v>
      </c>
      <c r="L1081" s="4">
        <v>46090</v>
      </c>
      <c r="M1081" s="1" t="s">
        <v>10099</v>
      </c>
      <c r="N1081" s="1" t="s">
        <v>10098</v>
      </c>
    </row>
    <row r="1082" spans="1:14" s="1" customFormat="1" x14ac:dyDescent="0.35">
      <c r="A1082" s="1" t="s">
        <v>4492</v>
      </c>
      <c r="B1082" s="1" t="s">
        <v>692</v>
      </c>
      <c r="C1082" s="1" t="s">
        <v>702</v>
      </c>
      <c r="D1082" s="1" t="s">
        <v>10097</v>
      </c>
      <c r="E1082" s="1" t="str">
        <f>"3750"</f>
        <v>3750</v>
      </c>
      <c r="F1082" s="1" t="s">
        <v>115</v>
      </c>
      <c r="G1082" s="1" t="s">
        <v>116</v>
      </c>
      <c r="H1082" s="1" t="s">
        <v>15</v>
      </c>
      <c r="I1082" s="1" t="str">
        <f>"1"</f>
        <v>1</v>
      </c>
      <c r="J1082" s="3" t="str">
        <f>"19465"</f>
        <v>19465</v>
      </c>
      <c r="K1082" s="4">
        <v>46087</v>
      </c>
      <c r="L1082" s="4">
        <v>46107</v>
      </c>
      <c r="M1082" s="1" t="s">
        <v>10096</v>
      </c>
      <c r="N1082" s="1" t="s">
        <v>10095</v>
      </c>
    </row>
    <row r="1083" spans="1:14" s="1" customFormat="1" x14ac:dyDescent="0.35">
      <c r="A1083" s="1" t="s">
        <v>4492</v>
      </c>
      <c r="B1083" s="1" t="s">
        <v>692</v>
      </c>
      <c r="C1083" s="1" t="s">
        <v>702</v>
      </c>
      <c r="D1083" s="1" t="s">
        <v>10094</v>
      </c>
      <c r="E1083" s="1" t="str">
        <f>"8145"</f>
        <v>8145</v>
      </c>
      <c r="F1083" s="1" t="s">
        <v>2453</v>
      </c>
      <c r="G1083" s="1" t="s">
        <v>2454</v>
      </c>
      <c r="H1083" s="1" t="s">
        <v>15</v>
      </c>
      <c r="I1083" s="1" t="str">
        <f>"3"</f>
        <v>3</v>
      </c>
      <c r="J1083" s="3">
        <v>605.11</v>
      </c>
      <c r="K1083" s="4">
        <v>46090</v>
      </c>
      <c r="L1083" s="4">
        <v>46094</v>
      </c>
      <c r="M1083" s="1" t="s">
        <v>10093</v>
      </c>
      <c r="N1083" s="1" t="s">
        <v>10092</v>
      </c>
    </row>
    <row r="1084" spans="1:14" s="1" customFormat="1" x14ac:dyDescent="0.35">
      <c r="A1084" s="1" t="s">
        <v>4492</v>
      </c>
      <c r="B1084" s="1" t="s">
        <v>692</v>
      </c>
      <c r="C1084" s="1" t="s">
        <v>702</v>
      </c>
      <c r="D1084" s="1" t="s">
        <v>10091</v>
      </c>
      <c r="E1084" s="1" t="str">
        <f>"2330"</f>
        <v>2330</v>
      </c>
      <c r="F1084" s="1" t="s">
        <v>104</v>
      </c>
      <c r="G1084" s="1" t="s">
        <v>105</v>
      </c>
      <c r="H1084" s="1" t="s">
        <v>15</v>
      </c>
      <c r="I1084" s="1" t="str">
        <f>"1"</f>
        <v>1</v>
      </c>
      <c r="J1084" s="3" t="str">
        <f>"16229"</f>
        <v>16229</v>
      </c>
      <c r="K1084" s="4">
        <v>46090</v>
      </c>
      <c r="L1084" s="4">
        <v>46092</v>
      </c>
      <c r="M1084" s="1" t="s">
        <v>4524</v>
      </c>
      <c r="N1084" s="1" t="s">
        <v>10090</v>
      </c>
    </row>
    <row r="1085" spans="1:14" s="1" customFormat="1" x14ac:dyDescent="0.35">
      <c r="A1085" s="1" t="s">
        <v>4492</v>
      </c>
      <c r="B1085" s="1" t="s">
        <v>692</v>
      </c>
      <c r="C1085" s="1" t="s">
        <v>702</v>
      </c>
      <c r="D1085" s="1" t="s">
        <v>10089</v>
      </c>
      <c r="E1085" s="1" t="str">
        <f>"3930"</f>
        <v>3930</v>
      </c>
      <c r="F1085" s="1" t="str">
        <f>"011580849"</f>
        <v>011580849</v>
      </c>
      <c r="G1085" s="1" t="s">
        <v>124</v>
      </c>
      <c r="H1085" s="1" t="s">
        <v>15</v>
      </c>
      <c r="I1085" s="1" t="str">
        <f>"1"</f>
        <v>1</v>
      </c>
      <c r="J1085" s="3" t="str">
        <f>"72370"</f>
        <v>72370</v>
      </c>
      <c r="K1085" s="4">
        <v>46090</v>
      </c>
      <c r="L1085" s="4">
        <v>46093</v>
      </c>
      <c r="M1085" s="1" t="s">
        <v>10088</v>
      </c>
      <c r="N1085" s="1" t="s">
        <v>10087</v>
      </c>
    </row>
    <row r="1086" spans="1:14" s="1" customFormat="1" x14ac:dyDescent="0.35">
      <c r="A1086" s="1" t="s">
        <v>4492</v>
      </c>
      <c r="B1086" s="1" t="s">
        <v>692</v>
      </c>
      <c r="C1086" s="1" t="s">
        <v>702</v>
      </c>
      <c r="D1086" s="1" t="s">
        <v>10086</v>
      </c>
      <c r="E1086" s="1" t="str">
        <f>"8150"</f>
        <v>8150</v>
      </c>
      <c r="F1086" s="1" t="str">
        <f>"015188749"</f>
        <v>015188749</v>
      </c>
      <c r="G1086" s="1" t="s">
        <v>10085</v>
      </c>
      <c r="H1086" s="1" t="s">
        <v>15</v>
      </c>
      <c r="I1086" s="1" t="str">
        <f>"1"</f>
        <v>1</v>
      </c>
      <c r="J1086" s="3">
        <v>37666.15</v>
      </c>
      <c r="K1086" s="4">
        <v>46105</v>
      </c>
      <c r="L1086" s="4">
        <v>46107</v>
      </c>
      <c r="M1086" s="1" t="s">
        <v>4524</v>
      </c>
      <c r="N1086" s="1" t="s">
        <v>10084</v>
      </c>
    </row>
    <row r="1087" spans="1:14" s="1" customFormat="1" x14ac:dyDescent="0.35">
      <c r="A1087" s="1" t="s">
        <v>4492</v>
      </c>
      <c r="B1087" s="1" t="s">
        <v>692</v>
      </c>
      <c r="C1087" s="1" t="s">
        <v>702</v>
      </c>
      <c r="D1087" s="1" t="s">
        <v>10083</v>
      </c>
      <c r="E1087" s="1" t="str">
        <f>"8465"</f>
        <v>8465</v>
      </c>
      <c r="F1087" s="1" t="str">
        <f>"016982346"</f>
        <v>016982346</v>
      </c>
      <c r="G1087" s="1" t="s">
        <v>8749</v>
      </c>
      <c r="H1087" s="1" t="s">
        <v>168</v>
      </c>
      <c r="I1087" s="1" t="str">
        <f>"10"</f>
        <v>10</v>
      </c>
      <c r="J1087" s="3">
        <v>199.39</v>
      </c>
      <c r="K1087" s="4">
        <v>46105</v>
      </c>
      <c r="L1087" s="4">
        <v>46106</v>
      </c>
      <c r="M1087" s="1" t="s">
        <v>4524</v>
      </c>
      <c r="N1087" s="1" t="s">
        <v>10082</v>
      </c>
    </row>
    <row r="1088" spans="1:14" s="1" customFormat="1" x14ac:dyDescent="0.35">
      <c r="A1088" s="1" t="s">
        <v>4492</v>
      </c>
      <c r="B1088" s="1" t="s">
        <v>73</v>
      </c>
      <c r="C1088" s="1" t="s">
        <v>10068</v>
      </c>
      <c r="D1088" s="1" t="s">
        <v>10081</v>
      </c>
      <c r="E1088" s="1" t="str">
        <f>"2340"</f>
        <v>2340</v>
      </c>
      <c r="F1088" s="1" t="s">
        <v>179</v>
      </c>
      <c r="G1088" s="1" t="s">
        <v>180</v>
      </c>
      <c r="H1088" s="1" t="s">
        <v>15</v>
      </c>
      <c r="I1088" s="1" t="str">
        <f>"1"</f>
        <v>1</v>
      </c>
      <c r="J1088" s="3" t="str">
        <f>"6600"</f>
        <v>6600</v>
      </c>
      <c r="K1088" s="4">
        <v>46060</v>
      </c>
      <c r="L1088" s="4">
        <v>46064</v>
      </c>
      <c r="M1088" s="1" t="s">
        <v>10080</v>
      </c>
      <c r="N1088" s="1" t="s">
        <v>10077</v>
      </c>
    </row>
    <row r="1089" spans="1:14" s="1" customFormat="1" x14ac:dyDescent="0.35">
      <c r="A1089" s="1" t="s">
        <v>4492</v>
      </c>
      <c r="B1089" s="1" t="s">
        <v>73</v>
      </c>
      <c r="C1089" s="1" t="s">
        <v>10068</v>
      </c>
      <c r="D1089" s="1" t="s">
        <v>10079</v>
      </c>
      <c r="E1089" s="1" t="str">
        <f>"2340"</f>
        <v>2340</v>
      </c>
      <c r="F1089" s="1" t="s">
        <v>179</v>
      </c>
      <c r="G1089" s="1" t="s">
        <v>180</v>
      </c>
      <c r="H1089" s="1" t="s">
        <v>15</v>
      </c>
      <c r="I1089" s="1" t="str">
        <f>"1"</f>
        <v>1</v>
      </c>
      <c r="J1089" s="3" t="str">
        <f>"6600"</f>
        <v>6600</v>
      </c>
      <c r="K1089" s="4">
        <v>46060</v>
      </c>
      <c r="L1089" s="4">
        <v>46064</v>
      </c>
      <c r="M1089" s="1" t="s">
        <v>10078</v>
      </c>
      <c r="N1089" s="1" t="s">
        <v>10077</v>
      </c>
    </row>
    <row r="1090" spans="1:14" s="1" customFormat="1" x14ac:dyDescent="0.35">
      <c r="A1090" s="1" t="s">
        <v>4492</v>
      </c>
      <c r="B1090" s="1" t="s">
        <v>73</v>
      </c>
      <c r="C1090" s="1" t="s">
        <v>10068</v>
      </c>
      <c r="D1090" s="1" t="s">
        <v>10076</v>
      </c>
      <c r="E1090" s="1" t="str">
        <f>"2330"</f>
        <v>2330</v>
      </c>
      <c r="F1090" s="1" t="s">
        <v>104</v>
      </c>
      <c r="G1090" s="1" t="s">
        <v>105</v>
      </c>
      <c r="H1090" s="1" t="s">
        <v>15</v>
      </c>
      <c r="I1090" s="1" t="str">
        <f>"1"</f>
        <v>1</v>
      </c>
      <c r="J1090" s="3">
        <v>968678.86</v>
      </c>
      <c r="K1090" s="4">
        <v>46074</v>
      </c>
      <c r="L1090" s="4">
        <v>46088</v>
      </c>
      <c r="M1090" s="1" t="s">
        <v>10075</v>
      </c>
      <c r="N1090" s="1" t="s">
        <v>10074</v>
      </c>
    </row>
    <row r="1091" spans="1:14" s="1" customFormat="1" x14ac:dyDescent="0.35">
      <c r="A1091" s="1" t="s">
        <v>4492</v>
      </c>
      <c r="B1091" s="1" t="s">
        <v>73</v>
      </c>
      <c r="C1091" s="1" t="s">
        <v>10068</v>
      </c>
      <c r="D1091" s="1" t="s">
        <v>10073</v>
      </c>
      <c r="E1091" s="1" t="str">
        <f>"2320"</f>
        <v>2320</v>
      </c>
      <c r="F1091" s="1" t="str">
        <f>"010911597"</f>
        <v>010911597</v>
      </c>
      <c r="G1091" s="1" t="s">
        <v>4468</v>
      </c>
      <c r="H1091" s="1" t="s">
        <v>15</v>
      </c>
      <c r="I1091" s="1" t="str">
        <f>"1"</f>
        <v>1</v>
      </c>
      <c r="J1091" s="3" t="str">
        <f>"150120"</f>
        <v>150120</v>
      </c>
      <c r="K1091" s="4">
        <v>46074</v>
      </c>
      <c r="L1091" s="4">
        <v>46088</v>
      </c>
      <c r="M1091" s="1" t="s">
        <v>10072</v>
      </c>
      <c r="N1091" s="1" t="s">
        <v>10071</v>
      </c>
    </row>
    <row r="1092" spans="1:14" s="1" customFormat="1" x14ac:dyDescent="0.35">
      <c r="A1092" s="1" t="s">
        <v>4492</v>
      </c>
      <c r="B1092" s="1" t="s">
        <v>73</v>
      </c>
      <c r="C1092" s="1" t="s">
        <v>10068</v>
      </c>
      <c r="D1092" s="1" t="s">
        <v>10070</v>
      </c>
      <c r="E1092" s="1" t="str">
        <f>"2310"</f>
        <v>2310</v>
      </c>
      <c r="F1092" s="1" t="s">
        <v>4332</v>
      </c>
      <c r="G1092" s="1" t="s">
        <v>4333</v>
      </c>
      <c r="H1092" s="1" t="s">
        <v>15</v>
      </c>
      <c r="I1092" s="1" t="str">
        <f>"1"</f>
        <v>1</v>
      </c>
      <c r="J1092" s="3" t="str">
        <f>"81369"</f>
        <v>81369</v>
      </c>
      <c r="K1092" s="4">
        <v>46095</v>
      </c>
      <c r="L1092" s="4">
        <v>46109</v>
      </c>
      <c r="M1092" s="1" t="s">
        <v>10069</v>
      </c>
      <c r="N1092" s="1" t="s">
        <v>10065</v>
      </c>
    </row>
    <row r="1093" spans="1:14" s="1" customFormat="1" x14ac:dyDescent="0.35">
      <c r="A1093" s="1" t="s">
        <v>4492</v>
      </c>
      <c r="B1093" s="1" t="s">
        <v>73</v>
      </c>
      <c r="C1093" s="1" t="s">
        <v>10068</v>
      </c>
      <c r="D1093" s="1" t="s">
        <v>10067</v>
      </c>
      <c r="E1093" s="1" t="str">
        <f>"2310"</f>
        <v>2310</v>
      </c>
      <c r="F1093" s="1" t="s">
        <v>4332</v>
      </c>
      <c r="G1093" s="1" t="s">
        <v>4333</v>
      </c>
      <c r="H1093" s="1" t="s">
        <v>15</v>
      </c>
      <c r="I1093" s="1" t="str">
        <f>"1"</f>
        <v>1</v>
      </c>
      <c r="J1093" s="3" t="str">
        <f>"81369"</f>
        <v>81369</v>
      </c>
      <c r="K1093" s="4">
        <v>46095</v>
      </c>
      <c r="L1093" s="4">
        <v>46109</v>
      </c>
      <c r="M1093" s="1" t="s">
        <v>10066</v>
      </c>
      <c r="N1093" s="1" t="s">
        <v>10065</v>
      </c>
    </row>
    <row r="1094" spans="1:14" s="1" customFormat="1" x14ac:dyDescent="0.35">
      <c r="A1094" s="1" t="s">
        <v>4492</v>
      </c>
      <c r="B1094" s="1" t="s">
        <v>2641</v>
      </c>
      <c r="C1094" s="1" t="s">
        <v>2642</v>
      </c>
      <c r="D1094" s="1" t="s">
        <v>10064</v>
      </c>
      <c r="E1094" s="1" t="str">
        <f>"3431"</f>
        <v>3431</v>
      </c>
      <c r="F1094" s="1" t="str">
        <f>"010633340"</f>
        <v>010633340</v>
      </c>
      <c r="G1094" s="1" t="s">
        <v>6122</v>
      </c>
      <c r="H1094" s="1" t="s">
        <v>15</v>
      </c>
      <c r="I1094" s="1" t="str">
        <f>"1"</f>
        <v>1</v>
      </c>
      <c r="J1094" s="3">
        <v>10420.43</v>
      </c>
      <c r="K1094" s="4">
        <v>46027</v>
      </c>
      <c r="L1094" s="4">
        <v>46030</v>
      </c>
      <c r="M1094" s="1" t="s">
        <v>10063</v>
      </c>
      <c r="N1094" s="1" t="s">
        <v>10062</v>
      </c>
    </row>
    <row r="1095" spans="1:14" s="1" customFormat="1" x14ac:dyDescent="0.35">
      <c r="A1095" s="1" t="s">
        <v>4492</v>
      </c>
      <c r="B1095" s="1" t="s">
        <v>2641</v>
      </c>
      <c r="C1095" s="1" t="s">
        <v>2642</v>
      </c>
      <c r="D1095" s="1" t="s">
        <v>10061</v>
      </c>
      <c r="E1095" s="1" t="str">
        <f>"8430"</f>
        <v>8430</v>
      </c>
      <c r="F1095" s="1" t="s">
        <v>897</v>
      </c>
      <c r="G1095" s="1" t="s">
        <v>898</v>
      </c>
      <c r="H1095" s="1" t="s">
        <v>15</v>
      </c>
      <c r="I1095" s="1" t="str">
        <f>"3"</f>
        <v>3</v>
      </c>
      <c r="J1095" s="3" t="str">
        <f>"120"</f>
        <v>120</v>
      </c>
      <c r="K1095" s="4">
        <v>46042</v>
      </c>
      <c r="L1095" s="4">
        <v>46092</v>
      </c>
      <c r="M1095" s="1" t="s">
        <v>10060</v>
      </c>
      <c r="N1095" s="1" t="s">
        <v>10059</v>
      </c>
    </row>
    <row r="1096" spans="1:14" s="1" customFormat="1" x14ac:dyDescent="0.35">
      <c r="A1096" s="1" t="s">
        <v>4492</v>
      </c>
      <c r="B1096" s="1" t="s">
        <v>2641</v>
      </c>
      <c r="C1096" s="1" t="s">
        <v>2642</v>
      </c>
      <c r="D1096" s="1" t="s">
        <v>10058</v>
      </c>
      <c r="E1096" s="1" t="str">
        <f>"8415"</f>
        <v>8415</v>
      </c>
      <c r="F1096" s="1" t="str">
        <f>"015674279"</f>
        <v>015674279</v>
      </c>
      <c r="G1096" s="1" t="s">
        <v>3008</v>
      </c>
      <c r="H1096" s="1" t="s">
        <v>15</v>
      </c>
      <c r="I1096" s="1" t="str">
        <f>"8"</f>
        <v>8</v>
      </c>
      <c r="J1096" s="3">
        <v>43.63</v>
      </c>
      <c r="K1096" s="4">
        <v>46057</v>
      </c>
      <c r="L1096" s="4">
        <v>46058</v>
      </c>
      <c r="M1096" s="1" t="s">
        <v>10057</v>
      </c>
      <c r="N1096" s="1" t="s">
        <v>10054</v>
      </c>
    </row>
    <row r="1097" spans="1:14" s="1" customFormat="1" x14ac:dyDescent="0.35">
      <c r="A1097" s="1" t="s">
        <v>4492</v>
      </c>
      <c r="B1097" s="1" t="s">
        <v>2641</v>
      </c>
      <c r="C1097" s="1" t="s">
        <v>2642</v>
      </c>
      <c r="D1097" s="1" t="s">
        <v>10056</v>
      </c>
      <c r="E1097" s="1" t="str">
        <f>"8415"</f>
        <v>8415</v>
      </c>
      <c r="F1097" s="1" t="str">
        <f>"015030766"</f>
        <v>015030766</v>
      </c>
      <c r="G1097" s="1" t="s">
        <v>822</v>
      </c>
      <c r="H1097" s="1" t="s">
        <v>15</v>
      </c>
      <c r="I1097" s="1" t="str">
        <f>"8"</f>
        <v>8</v>
      </c>
      <c r="J1097" s="3">
        <v>33.47</v>
      </c>
      <c r="K1097" s="4">
        <v>46057</v>
      </c>
      <c r="L1097" s="4">
        <v>46058</v>
      </c>
      <c r="M1097" s="1" t="s">
        <v>10055</v>
      </c>
      <c r="N1097" s="1" t="s">
        <v>10054</v>
      </c>
    </row>
    <row r="1098" spans="1:14" s="1" customFormat="1" x14ac:dyDescent="0.35">
      <c r="A1098" s="1" t="s">
        <v>4492</v>
      </c>
      <c r="B1098" s="1" t="s">
        <v>2641</v>
      </c>
      <c r="C1098" s="1" t="s">
        <v>2642</v>
      </c>
      <c r="D1098" s="1" t="s">
        <v>10053</v>
      </c>
      <c r="E1098" s="1" t="str">
        <f>"7010"</f>
        <v>7010</v>
      </c>
      <c r="F1098" s="1" t="s">
        <v>10001</v>
      </c>
      <c r="G1098" s="1" t="s">
        <v>10000</v>
      </c>
      <c r="H1098" s="1" t="s">
        <v>15</v>
      </c>
      <c r="I1098" s="1" t="str">
        <f>"7"</f>
        <v>7</v>
      </c>
      <c r="J1098" s="3">
        <v>1601.82</v>
      </c>
      <c r="K1098" s="4">
        <v>46062</v>
      </c>
      <c r="L1098" s="4">
        <v>46063</v>
      </c>
      <c r="M1098" s="1" t="s">
        <v>4524</v>
      </c>
      <c r="N1098" s="1" t="s">
        <v>10052</v>
      </c>
    </row>
    <row r="1099" spans="1:14" s="1" customFormat="1" x14ac:dyDescent="0.35">
      <c r="A1099" s="1" t="s">
        <v>4492</v>
      </c>
      <c r="B1099" s="1" t="s">
        <v>2641</v>
      </c>
      <c r="C1099" s="1" t="s">
        <v>2642</v>
      </c>
      <c r="D1099" s="1" t="s">
        <v>10051</v>
      </c>
      <c r="E1099" s="1" t="str">
        <f>"8465"</f>
        <v>8465</v>
      </c>
      <c r="F1099" s="1" t="str">
        <f>"015196490"</f>
        <v>015196490</v>
      </c>
      <c r="G1099" s="1" t="s">
        <v>3261</v>
      </c>
      <c r="H1099" s="1" t="s">
        <v>15</v>
      </c>
      <c r="I1099" s="1" t="str">
        <f>"3"</f>
        <v>3</v>
      </c>
      <c r="J1099" s="3">
        <v>125.58</v>
      </c>
      <c r="K1099" s="4">
        <v>46086</v>
      </c>
      <c r="L1099" s="4">
        <v>46095</v>
      </c>
      <c r="M1099" s="1" t="s">
        <v>10050</v>
      </c>
      <c r="N1099" s="1" t="s">
        <v>10049</v>
      </c>
    </row>
    <row r="1100" spans="1:14" s="1" customFormat="1" x14ac:dyDescent="0.35">
      <c r="A1100" s="1" t="s">
        <v>4492</v>
      </c>
      <c r="B1100" s="1" t="s">
        <v>2641</v>
      </c>
      <c r="C1100" s="1" t="s">
        <v>2642</v>
      </c>
      <c r="D1100" s="1" t="s">
        <v>10048</v>
      </c>
      <c r="E1100" s="1" t="str">
        <f>"4910"</f>
        <v>4910</v>
      </c>
      <c r="F1100" s="1" t="s">
        <v>2740</v>
      </c>
      <c r="G1100" s="1" t="s">
        <v>2741</v>
      </c>
      <c r="H1100" s="1" t="s">
        <v>15</v>
      </c>
      <c r="I1100" s="1" t="str">
        <f>"2"</f>
        <v>2</v>
      </c>
      <c r="J1100" s="3" t="str">
        <f>"75"</f>
        <v>75</v>
      </c>
      <c r="K1100" s="4">
        <v>46086</v>
      </c>
      <c r="L1100" s="4">
        <v>46093</v>
      </c>
      <c r="M1100" s="1" t="s">
        <v>10047</v>
      </c>
      <c r="N1100" s="1" t="s">
        <v>10046</v>
      </c>
    </row>
    <row r="1101" spans="1:14" s="1" customFormat="1" x14ac:dyDescent="0.35">
      <c r="A1101" s="1" t="s">
        <v>4492</v>
      </c>
      <c r="B1101" s="1" t="s">
        <v>2641</v>
      </c>
      <c r="C1101" s="1" t="s">
        <v>2642</v>
      </c>
      <c r="D1101" s="1" t="s">
        <v>10045</v>
      </c>
      <c r="E1101" s="1" t="str">
        <f>"6545"</f>
        <v>6545</v>
      </c>
      <c r="F1101" s="1" t="str">
        <f>"016859951"</f>
        <v>016859951</v>
      </c>
      <c r="G1101" s="1" t="s">
        <v>990</v>
      </c>
      <c r="H1101" s="1" t="s">
        <v>168</v>
      </c>
      <c r="I1101" s="1" t="str">
        <f>"19"</f>
        <v>19</v>
      </c>
      <c r="J1101" s="3">
        <v>264.8</v>
      </c>
      <c r="K1101" s="4">
        <v>46090</v>
      </c>
      <c r="L1101" s="4">
        <v>46093</v>
      </c>
      <c r="M1101" s="1" t="s">
        <v>10044</v>
      </c>
      <c r="N1101" s="1" t="s">
        <v>10043</v>
      </c>
    </row>
    <row r="1102" spans="1:14" s="1" customFormat="1" x14ac:dyDescent="0.35">
      <c r="A1102" s="1" t="s">
        <v>4492</v>
      </c>
      <c r="B1102" s="1" t="s">
        <v>1989</v>
      </c>
      <c r="C1102" s="1" t="s">
        <v>1990</v>
      </c>
      <c r="D1102" s="1" t="s">
        <v>10042</v>
      </c>
      <c r="E1102" s="1" t="str">
        <f>"8430"</f>
        <v>8430</v>
      </c>
      <c r="F1102" s="1" t="str">
        <f>"015400469"</f>
        <v>015400469</v>
      </c>
      <c r="G1102" s="1" t="s">
        <v>2366</v>
      </c>
      <c r="H1102" s="1" t="s">
        <v>47</v>
      </c>
      <c r="I1102" s="1" t="str">
        <f>"16"</f>
        <v>16</v>
      </c>
      <c r="J1102" s="3">
        <v>98.39</v>
      </c>
      <c r="K1102" s="4">
        <v>46043</v>
      </c>
      <c r="L1102" s="4">
        <v>46043</v>
      </c>
      <c r="N1102" s="1" t="s">
        <v>10041</v>
      </c>
    </row>
    <row r="1103" spans="1:14" s="1" customFormat="1" x14ac:dyDescent="0.35">
      <c r="A1103" s="1" t="s">
        <v>4492</v>
      </c>
      <c r="B1103" s="1" t="s">
        <v>1989</v>
      </c>
      <c r="C1103" s="1" t="s">
        <v>1990</v>
      </c>
      <c r="D1103" s="1" t="s">
        <v>10040</v>
      </c>
      <c r="E1103" s="1" t="str">
        <f>"7110"</f>
        <v>7110</v>
      </c>
      <c r="F1103" s="1" t="str">
        <f>"013838102"</f>
        <v>013838102</v>
      </c>
      <c r="G1103" s="1" t="s">
        <v>10039</v>
      </c>
      <c r="H1103" s="1" t="s">
        <v>15</v>
      </c>
      <c r="I1103" s="1" t="str">
        <f>"2"</f>
        <v>2</v>
      </c>
      <c r="J1103" s="3">
        <v>3961.27</v>
      </c>
      <c r="K1103" s="4">
        <v>46043</v>
      </c>
      <c r="L1103" s="4">
        <v>46066</v>
      </c>
      <c r="M1103" s="1" t="s">
        <v>10038</v>
      </c>
      <c r="N1103" s="1" t="s">
        <v>10037</v>
      </c>
    </row>
    <row r="1104" spans="1:14" s="1" customFormat="1" x14ac:dyDescent="0.35">
      <c r="A1104" s="1" t="s">
        <v>4492</v>
      </c>
      <c r="B1104" s="1" t="s">
        <v>1989</v>
      </c>
      <c r="C1104" s="1" t="s">
        <v>1990</v>
      </c>
      <c r="D1104" s="1" t="s">
        <v>10036</v>
      </c>
      <c r="E1104" s="1" t="str">
        <f>"7110"</f>
        <v>7110</v>
      </c>
      <c r="F1104" s="1" t="s">
        <v>1998</v>
      </c>
      <c r="G1104" s="1" t="s">
        <v>1999</v>
      </c>
      <c r="H1104" s="1" t="s">
        <v>15</v>
      </c>
      <c r="I1104" s="1" t="str">
        <f>"2"</f>
        <v>2</v>
      </c>
      <c r="J1104" s="3" t="str">
        <f>"365"</f>
        <v>365</v>
      </c>
      <c r="K1104" s="4">
        <v>46043</v>
      </c>
      <c r="L1104" s="4">
        <v>46044</v>
      </c>
      <c r="M1104" s="1" t="s">
        <v>4524</v>
      </c>
      <c r="N1104" s="1" t="s">
        <v>10035</v>
      </c>
    </row>
    <row r="1105" spans="1:14" s="1" customFormat="1" x14ac:dyDescent="0.35">
      <c r="A1105" s="1" t="s">
        <v>4492</v>
      </c>
      <c r="B1105" s="1" t="s">
        <v>1989</v>
      </c>
      <c r="C1105" s="1" t="s">
        <v>1990</v>
      </c>
      <c r="D1105" s="1" t="s">
        <v>10034</v>
      </c>
      <c r="E1105" s="1" t="str">
        <f>"6532"</f>
        <v>6532</v>
      </c>
      <c r="F1105" s="1" t="str">
        <f>"014697520"</f>
        <v>014697520</v>
      </c>
      <c r="G1105" s="1" t="s">
        <v>3796</v>
      </c>
      <c r="H1105" s="1" t="s">
        <v>293</v>
      </c>
      <c r="I1105" s="1" t="str">
        <f>"1"</f>
        <v>1</v>
      </c>
      <c r="J1105" s="3">
        <v>169.84</v>
      </c>
      <c r="K1105" s="4">
        <v>46054</v>
      </c>
      <c r="L1105" s="4">
        <v>46055</v>
      </c>
      <c r="M1105" s="1" t="s">
        <v>4524</v>
      </c>
      <c r="N1105" s="1" t="s">
        <v>10033</v>
      </c>
    </row>
    <row r="1106" spans="1:14" s="1" customFormat="1" x14ac:dyDescent="0.35">
      <c r="A1106" s="1" t="s">
        <v>4492</v>
      </c>
      <c r="B1106" s="1" t="s">
        <v>1989</v>
      </c>
      <c r="C1106" s="1" t="s">
        <v>1990</v>
      </c>
      <c r="D1106" s="1" t="s">
        <v>10032</v>
      </c>
      <c r="E1106" s="1" t="str">
        <f>"4240"</f>
        <v>4240</v>
      </c>
      <c r="F1106" s="1" t="s">
        <v>372</v>
      </c>
      <c r="G1106" s="1" t="s">
        <v>373</v>
      </c>
      <c r="H1106" s="1" t="s">
        <v>15</v>
      </c>
      <c r="I1106" s="1" t="str">
        <f>"20"</f>
        <v>20</v>
      </c>
      <c r="J1106" s="3">
        <v>24.5</v>
      </c>
      <c r="K1106" s="4">
        <v>46054</v>
      </c>
      <c r="L1106" s="4">
        <v>46055</v>
      </c>
      <c r="M1106" s="1" t="s">
        <v>4524</v>
      </c>
      <c r="N1106" s="1" t="s">
        <v>10031</v>
      </c>
    </row>
    <row r="1107" spans="1:14" s="1" customFormat="1" x14ac:dyDescent="0.35">
      <c r="A1107" s="1" t="s">
        <v>4492</v>
      </c>
      <c r="B1107" s="1" t="s">
        <v>1989</v>
      </c>
      <c r="C1107" s="1" t="s">
        <v>1990</v>
      </c>
      <c r="D1107" s="1" t="s">
        <v>10030</v>
      </c>
      <c r="E1107" s="1" t="str">
        <f>"7810"</f>
        <v>7810</v>
      </c>
      <c r="F1107" s="1" t="s">
        <v>174</v>
      </c>
      <c r="G1107" s="1" t="s">
        <v>175</v>
      </c>
      <c r="H1107" s="1" t="s">
        <v>15</v>
      </c>
      <c r="I1107" s="1" t="str">
        <f>"11"</f>
        <v>11</v>
      </c>
      <c r="J1107" s="3" t="str">
        <f>"30"</f>
        <v>30</v>
      </c>
      <c r="K1107" s="4">
        <v>46054</v>
      </c>
      <c r="L1107" s="4">
        <v>46059</v>
      </c>
      <c r="M1107" s="1" t="s">
        <v>10029</v>
      </c>
      <c r="N1107" s="1" t="s">
        <v>2002</v>
      </c>
    </row>
    <row r="1108" spans="1:14" s="1" customFormat="1" x14ac:dyDescent="0.35">
      <c r="A1108" s="1" t="s">
        <v>4492</v>
      </c>
      <c r="B1108" s="1" t="s">
        <v>1989</v>
      </c>
      <c r="C1108" s="1" t="s">
        <v>1990</v>
      </c>
      <c r="D1108" s="1" t="s">
        <v>10028</v>
      </c>
      <c r="E1108" s="1" t="str">
        <f>"2310"</f>
        <v>2310</v>
      </c>
      <c r="F1108" s="1" t="s">
        <v>4332</v>
      </c>
      <c r="G1108" s="1" t="s">
        <v>4333</v>
      </c>
      <c r="H1108" s="1" t="s">
        <v>15</v>
      </c>
      <c r="I1108" s="1" t="str">
        <f>"1"</f>
        <v>1</v>
      </c>
      <c r="J1108" s="3" t="str">
        <f>"3000"</f>
        <v>3000</v>
      </c>
      <c r="K1108" s="4">
        <v>46091</v>
      </c>
      <c r="L1108" s="4">
        <v>46111</v>
      </c>
      <c r="M1108" s="1" t="s">
        <v>10027</v>
      </c>
      <c r="N1108" s="1" t="s">
        <v>10026</v>
      </c>
    </row>
    <row r="1109" spans="1:14" s="1" customFormat="1" x14ac:dyDescent="0.35">
      <c r="A1109" s="1" t="s">
        <v>4492</v>
      </c>
      <c r="B1109" s="1" t="s">
        <v>1989</v>
      </c>
      <c r="C1109" s="1" t="s">
        <v>1990</v>
      </c>
      <c r="D1109" s="1" t="s">
        <v>10025</v>
      </c>
      <c r="E1109" s="1" t="str">
        <f>"6230"</f>
        <v>6230</v>
      </c>
      <c r="F1109" s="1" t="s">
        <v>3594</v>
      </c>
      <c r="G1109" s="1" t="s">
        <v>3595</v>
      </c>
      <c r="H1109" s="1" t="s">
        <v>15</v>
      </c>
      <c r="I1109" s="1" t="str">
        <f>"2"</f>
        <v>2</v>
      </c>
      <c r="J1109" s="3" t="str">
        <f>"8000"</f>
        <v>8000</v>
      </c>
      <c r="K1109" s="4">
        <v>46095</v>
      </c>
      <c r="L1109" s="4">
        <v>46109</v>
      </c>
      <c r="M1109" s="1" t="s">
        <v>10024</v>
      </c>
      <c r="N1109" s="1" t="s">
        <v>10023</v>
      </c>
    </row>
    <row r="1110" spans="1:14" s="1" customFormat="1" x14ac:dyDescent="0.35">
      <c r="A1110" s="1" t="s">
        <v>4492</v>
      </c>
      <c r="B1110" s="1" t="s">
        <v>73</v>
      </c>
      <c r="C1110" s="1" t="s">
        <v>10022</v>
      </c>
      <c r="D1110" s="1" t="s">
        <v>10021</v>
      </c>
      <c r="E1110" s="1" t="str">
        <f>"6650"</f>
        <v>6650</v>
      </c>
      <c r="F1110" s="1" t="s">
        <v>1576</v>
      </c>
      <c r="G1110" s="1" t="s">
        <v>1577</v>
      </c>
      <c r="H1110" s="1" t="s">
        <v>15</v>
      </c>
      <c r="I1110" s="1" t="str">
        <f>"6"</f>
        <v>6</v>
      </c>
      <c r="J1110" s="3" t="str">
        <f>"8000"</f>
        <v>8000</v>
      </c>
      <c r="K1110" s="4">
        <v>46058</v>
      </c>
      <c r="L1110" s="4">
        <v>46067</v>
      </c>
      <c r="M1110" s="1" t="s">
        <v>10020</v>
      </c>
      <c r="N1110" s="1" t="s">
        <v>10019</v>
      </c>
    </row>
    <row r="1111" spans="1:14" s="1" customFormat="1" x14ac:dyDescent="0.35">
      <c r="A1111" s="1" t="s">
        <v>4492</v>
      </c>
      <c r="B1111" s="1" t="s">
        <v>1176</v>
      </c>
      <c r="C1111" s="1" t="s">
        <v>1190</v>
      </c>
      <c r="D1111" s="1" t="s">
        <v>10018</v>
      </c>
      <c r="E1111" s="1" t="str">
        <f>"6115"</f>
        <v>6115</v>
      </c>
      <c r="F1111" s="1" t="s">
        <v>157</v>
      </c>
      <c r="G1111" s="1" t="s">
        <v>158</v>
      </c>
      <c r="H1111" s="1" t="s">
        <v>15</v>
      </c>
      <c r="I1111" s="1" t="str">
        <f>"1"</f>
        <v>1</v>
      </c>
      <c r="J1111" s="3" t="str">
        <f>"54000"</f>
        <v>54000</v>
      </c>
      <c r="K1111" s="4">
        <v>46018</v>
      </c>
      <c r="L1111" s="4">
        <v>46064</v>
      </c>
      <c r="M1111" s="1" t="s">
        <v>10017</v>
      </c>
      <c r="N1111" s="1" t="s">
        <v>10016</v>
      </c>
    </row>
    <row r="1112" spans="1:14" s="1" customFormat="1" x14ac:dyDescent="0.35">
      <c r="A1112" s="1" t="s">
        <v>4492</v>
      </c>
      <c r="B1112" s="1" t="s">
        <v>1176</v>
      </c>
      <c r="C1112" s="1" t="s">
        <v>1190</v>
      </c>
      <c r="D1112" s="1" t="s">
        <v>10015</v>
      </c>
      <c r="E1112" s="1" t="str">
        <f>"2330"</f>
        <v>2330</v>
      </c>
      <c r="F1112" s="1" t="s">
        <v>104</v>
      </c>
      <c r="G1112" s="1" t="s">
        <v>105</v>
      </c>
      <c r="H1112" s="1" t="s">
        <v>15</v>
      </c>
      <c r="I1112" s="1" t="str">
        <f>"1"</f>
        <v>1</v>
      </c>
      <c r="J1112" s="3" t="str">
        <f>"6111"</f>
        <v>6111</v>
      </c>
      <c r="K1112" s="4">
        <v>46046</v>
      </c>
      <c r="L1112" s="4">
        <v>46060</v>
      </c>
      <c r="M1112" s="1" t="s">
        <v>10014</v>
      </c>
      <c r="N1112" s="1" t="s">
        <v>9941</v>
      </c>
    </row>
    <row r="1113" spans="1:14" s="1" customFormat="1" x14ac:dyDescent="0.35">
      <c r="A1113" s="1" t="s">
        <v>4492</v>
      </c>
      <c r="B1113" s="1" t="s">
        <v>1176</v>
      </c>
      <c r="C1113" s="1" t="s">
        <v>1190</v>
      </c>
      <c r="D1113" s="1" t="s">
        <v>10013</v>
      </c>
      <c r="E1113" s="1" t="str">
        <f>"7010"</f>
        <v>7010</v>
      </c>
      <c r="F1113" s="1" t="s">
        <v>1203</v>
      </c>
      <c r="G1113" s="1" t="s">
        <v>1204</v>
      </c>
      <c r="H1113" s="1" t="s">
        <v>15</v>
      </c>
      <c r="I1113" s="1" t="str">
        <f>"4"</f>
        <v>4</v>
      </c>
      <c r="J1113" s="3" t="str">
        <f>"1384"</f>
        <v>1384</v>
      </c>
      <c r="K1113" s="4">
        <v>46059</v>
      </c>
      <c r="L1113" s="4">
        <v>46067</v>
      </c>
      <c r="M1113" s="1" t="s">
        <v>10012</v>
      </c>
      <c r="N1113" s="1" t="s">
        <v>10011</v>
      </c>
    </row>
    <row r="1114" spans="1:14" s="1" customFormat="1" x14ac:dyDescent="0.35">
      <c r="A1114" s="1" t="s">
        <v>4492</v>
      </c>
      <c r="B1114" s="1" t="s">
        <v>1176</v>
      </c>
      <c r="C1114" s="1" t="s">
        <v>1190</v>
      </c>
      <c r="D1114" s="1" t="s">
        <v>10010</v>
      </c>
      <c r="E1114" s="1" t="str">
        <f>"7025"</f>
        <v>7025</v>
      </c>
      <c r="F1114" s="1" t="str">
        <f>"016744800"</f>
        <v>016744800</v>
      </c>
      <c r="G1114" s="1" t="s">
        <v>654</v>
      </c>
      <c r="H1114" s="1" t="s">
        <v>15</v>
      </c>
      <c r="I1114" s="1" t="str">
        <f>"7"</f>
        <v>7</v>
      </c>
      <c r="J1114" s="3">
        <v>2455.81</v>
      </c>
      <c r="K1114" s="4">
        <v>46060</v>
      </c>
      <c r="L1114" s="4">
        <v>46067</v>
      </c>
      <c r="M1114" s="1" t="s">
        <v>10009</v>
      </c>
      <c r="N1114" s="1" t="s">
        <v>10008</v>
      </c>
    </row>
    <row r="1115" spans="1:14" s="1" customFormat="1" x14ac:dyDescent="0.35">
      <c r="A1115" s="1" t="s">
        <v>4492</v>
      </c>
      <c r="B1115" s="1" t="s">
        <v>1176</v>
      </c>
      <c r="C1115" s="1" t="s">
        <v>1190</v>
      </c>
      <c r="D1115" s="1" t="s">
        <v>10007</v>
      </c>
      <c r="E1115" s="1" t="str">
        <f>"6720"</f>
        <v>6720</v>
      </c>
      <c r="F1115" s="1" t="str">
        <f>"016877421"</f>
        <v>016877421</v>
      </c>
      <c r="G1115" s="1" t="s">
        <v>1725</v>
      </c>
      <c r="H1115" s="1" t="s">
        <v>15</v>
      </c>
      <c r="I1115" s="1" t="str">
        <f>"6"</f>
        <v>6</v>
      </c>
      <c r="J1115" s="3">
        <v>10613.84</v>
      </c>
      <c r="K1115" s="4">
        <v>46060</v>
      </c>
      <c r="L1115" s="4">
        <v>46087</v>
      </c>
      <c r="M1115" s="1" t="s">
        <v>10006</v>
      </c>
      <c r="N1115" s="1" t="s">
        <v>10003</v>
      </c>
    </row>
    <row r="1116" spans="1:14" s="1" customFormat="1" x14ac:dyDescent="0.35">
      <c r="A1116" s="1" t="s">
        <v>4492</v>
      </c>
      <c r="B1116" s="1" t="s">
        <v>1176</v>
      </c>
      <c r="C1116" s="1" t="s">
        <v>1190</v>
      </c>
      <c r="D1116" s="1" t="s">
        <v>10005</v>
      </c>
      <c r="E1116" s="1" t="str">
        <f>"6650"</f>
        <v>6650</v>
      </c>
      <c r="F1116" s="1" t="s">
        <v>1576</v>
      </c>
      <c r="G1116" s="1" t="s">
        <v>1577</v>
      </c>
      <c r="H1116" s="1" t="s">
        <v>15</v>
      </c>
      <c r="I1116" s="1" t="str">
        <f>"6"</f>
        <v>6</v>
      </c>
      <c r="J1116" s="3" t="str">
        <f>"8000"</f>
        <v>8000</v>
      </c>
      <c r="K1116" s="4">
        <v>46060</v>
      </c>
      <c r="L1116" s="4">
        <v>46067</v>
      </c>
      <c r="M1116" s="1" t="s">
        <v>10004</v>
      </c>
      <c r="N1116" s="1" t="s">
        <v>10003</v>
      </c>
    </row>
    <row r="1117" spans="1:14" s="1" customFormat="1" x14ac:dyDescent="0.35">
      <c r="A1117" s="1" t="s">
        <v>4492</v>
      </c>
      <c r="B1117" s="1" t="s">
        <v>1176</v>
      </c>
      <c r="C1117" s="1" t="s">
        <v>1190</v>
      </c>
      <c r="D1117" s="1" t="s">
        <v>10002</v>
      </c>
      <c r="E1117" s="1" t="str">
        <f>"7010"</f>
        <v>7010</v>
      </c>
      <c r="F1117" s="1" t="s">
        <v>10001</v>
      </c>
      <c r="G1117" s="1" t="s">
        <v>10000</v>
      </c>
      <c r="H1117" s="1" t="s">
        <v>15</v>
      </c>
      <c r="I1117" s="1" t="str">
        <f>"8"</f>
        <v>8</v>
      </c>
      <c r="J1117" s="3">
        <v>1601.82</v>
      </c>
      <c r="K1117" s="4">
        <v>46060</v>
      </c>
      <c r="L1117" s="4">
        <v>46063</v>
      </c>
      <c r="M1117" s="1" t="s">
        <v>9999</v>
      </c>
      <c r="N1117" s="1" t="s">
        <v>9998</v>
      </c>
    </row>
    <row r="1118" spans="1:14" s="1" customFormat="1" x14ac:dyDescent="0.35">
      <c r="A1118" s="1" t="s">
        <v>4492</v>
      </c>
      <c r="B1118" s="1" t="s">
        <v>1176</v>
      </c>
      <c r="C1118" s="1" t="s">
        <v>1190</v>
      </c>
      <c r="D1118" s="1" t="s">
        <v>9997</v>
      </c>
      <c r="E1118" s="1" t="str">
        <f>"5855"</f>
        <v>5855</v>
      </c>
      <c r="F1118" s="1" t="s">
        <v>1390</v>
      </c>
      <c r="G1118" s="1" t="s">
        <v>1391</v>
      </c>
      <c r="H1118" s="1" t="s">
        <v>15</v>
      </c>
      <c r="I1118" s="1" t="str">
        <f>"4"</f>
        <v>4</v>
      </c>
      <c r="J1118" s="3" t="str">
        <f>"100000"</f>
        <v>100000</v>
      </c>
      <c r="K1118" s="4">
        <v>46060</v>
      </c>
      <c r="L1118" s="4">
        <v>46071</v>
      </c>
      <c r="M1118" s="1" t="s">
        <v>9996</v>
      </c>
      <c r="N1118" s="1" t="s">
        <v>9995</v>
      </c>
    </row>
    <row r="1119" spans="1:14" s="1" customFormat="1" x14ac:dyDescent="0.35">
      <c r="A1119" s="1" t="s">
        <v>4492</v>
      </c>
      <c r="B1119" s="1" t="s">
        <v>1176</v>
      </c>
      <c r="C1119" s="1" t="s">
        <v>1190</v>
      </c>
      <c r="D1119" s="1" t="s">
        <v>9994</v>
      </c>
      <c r="E1119" s="1" t="str">
        <f>"3750"</f>
        <v>3750</v>
      </c>
      <c r="F1119" s="1" t="s">
        <v>120</v>
      </c>
      <c r="G1119" s="1" t="s">
        <v>121</v>
      </c>
      <c r="H1119" s="1" t="s">
        <v>15</v>
      </c>
      <c r="I1119" s="1" t="str">
        <f>"4"</f>
        <v>4</v>
      </c>
      <c r="J1119" s="3" t="str">
        <f>"5000"</f>
        <v>5000</v>
      </c>
      <c r="K1119" s="4">
        <v>46060</v>
      </c>
      <c r="L1119" s="4">
        <v>46063</v>
      </c>
      <c r="M1119" s="1" t="s">
        <v>9993</v>
      </c>
      <c r="N1119" s="1" t="s">
        <v>9992</v>
      </c>
    </row>
    <row r="1120" spans="1:14" s="1" customFormat="1" x14ac:dyDescent="0.35">
      <c r="A1120" s="1" t="s">
        <v>4492</v>
      </c>
      <c r="B1120" s="1" t="s">
        <v>1176</v>
      </c>
      <c r="C1120" s="1" t="s">
        <v>1190</v>
      </c>
      <c r="D1120" s="1" t="s">
        <v>9991</v>
      </c>
      <c r="E1120" s="1" t="str">
        <f>"2340"</f>
        <v>2340</v>
      </c>
      <c r="F1120" s="1" t="s">
        <v>179</v>
      </c>
      <c r="G1120" s="1" t="s">
        <v>180</v>
      </c>
      <c r="H1120" s="1" t="s">
        <v>15</v>
      </c>
      <c r="I1120" s="1" t="str">
        <f>"2"</f>
        <v>2</v>
      </c>
      <c r="J1120" s="3" t="str">
        <f>"6600"</f>
        <v>6600</v>
      </c>
      <c r="K1120" s="4">
        <v>46060</v>
      </c>
      <c r="L1120" s="4">
        <v>46064</v>
      </c>
      <c r="M1120" s="1" t="s">
        <v>9990</v>
      </c>
      <c r="N1120" s="1" t="s">
        <v>9987</v>
      </c>
    </row>
    <row r="1121" spans="1:14" s="1" customFormat="1" x14ac:dyDescent="0.35">
      <c r="A1121" s="1" t="s">
        <v>4492</v>
      </c>
      <c r="B1121" s="1" t="s">
        <v>1176</v>
      </c>
      <c r="C1121" s="1" t="s">
        <v>1190</v>
      </c>
      <c r="D1121" s="1" t="s">
        <v>9989</v>
      </c>
      <c r="E1121" s="1" t="str">
        <f>"2340"</f>
        <v>2340</v>
      </c>
      <c r="F1121" s="1" t="s">
        <v>179</v>
      </c>
      <c r="G1121" s="1" t="s">
        <v>180</v>
      </c>
      <c r="H1121" s="1" t="s">
        <v>15</v>
      </c>
      <c r="I1121" s="1" t="str">
        <f>"1"</f>
        <v>1</v>
      </c>
      <c r="J1121" s="3" t="str">
        <f>"6600"</f>
        <v>6600</v>
      </c>
      <c r="K1121" s="4">
        <v>46060</v>
      </c>
      <c r="L1121" s="4">
        <v>46064</v>
      </c>
      <c r="M1121" s="1" t="s">
        <v>9988</v>
      </c>
      <c r="N1121" s="1" t="s">
        <v>9987</v>
      </c>
    </row>
    <row r="1122" spans="1:14" s="1" customFormat="1" x14ac:dyDescent="0.35">
      <c r="A1122" s="1" t="s">
        <v>4492</v>
      </c>
      <c r="B1122" s="1" t="s">
        <v>1176</v>
      </c>
      <c r="C1122" s="1" t="s">
        <v>1190</v>
      </c>
      <c r="D1122" s="1" t="s">
        <v>9986</v>
      </c>
      <c r="E1122" s="1" t="str">
        <f>"2320"</f>
        <v>2320</v>
      </c>
      <c r="F1122" s="1" t="str">
        <f>"005401428"</f>
        <v>005401428</v>
      </c>
      <c r="G1122" s="1" t="s">
        <v>930</v>
      </c>
      <c r="H1122" s="1" t="s">
        <v>15</v>
      </c>
      <c r="I1122" s="1" t="str">
        <f>"1"</f>
        <v>1</v>
      </c>
      <c r="J1122" s="3" t="str">
        <f>"13334"</f>
        <v>13334</v>
      </c>
      <c r="K1122" s="4">
        <v>46075</v>
      </c>
      <c r="L1122" s="4">
        <v>46087</v>
      </c>
      <c r="M1122" s="1" t="s">
        <v>9985</v>
      </c>
      <c r="N1122" s="1" t="s">
        <v>9984</v>
      </c>
    </row>
    <row r="1123" spans="1:14" s="1" customFormat="1" x14ac:dyDescent="0.35">
      <c r="A1123" s="1" t="s">
        <v>4492</v>
      </c>
      <c r="B1123" s="1" t="s">
        <v>1176</v>
      </c>
      <c r="C1123" s="1" t="s">
        <v>1190</v>
      </c>
      <c r="D1123" s="1" t="s">
        <v>9983</v>
      </c>
      <c r="E1123" s="1" t="str">
        <f>"2320"</f>
        <v>2320</v>
      </c>
      <c r="F1123" s="1" t="str">
        <f>"012157631"</f>
        <v>012157631</v>
      </c>
      <c r="G1123" s="1" t="s">
        <v>1093</v>
      </c>
      <c r="H1123" s="1" t="s">
        <v>15</v>
      </c>
      <c r="I1123" s="1" t="str">
        <f>"1"</f>
        <v>1</v>
      </c>
      <c r="J1123" s="3" t="str">
        <f>"33082"</f>
        <v>33082</v>
      </c>
      <c r="K1123" s="4">
        <v>46075</v>
      </c>
      <c r="L1123" s="4">
        <v>46108</v>
      </c>
      <c r="M1123" s="1" t="s">
        <v>9982</v>
      </c>
      <c r="N1123" s="1" t="s">
        <v>9979</v>
      </c>
    </row>
    <row r="1124" spans="1:14" s="1" customFormat="1" x14ac:dyDescent="0.35">
      <c r="A1124" s="1" t="s">
        <v>4492</v>
      </c>
      <c r="B1124" s="1" t="s">
        <v>1176</v>
      </c>
      <c r="C1124" s="1" t="s">
        <v>1190</v>
      </c>
      <c r="D1124" s="1" t="s">
        <v>9981</v>
      </c>
      <c r="E1124" s="1" t="str">
        <f>"2320"</f>
        <v>2320</v>
      </c>
      <c r="F1124" s="1" t="str">
        <f>"012157631"</f>
        <v>012157631</v>
      </c>
      <c r="G1124" s="1" t="s">
        <v>1093</v>
      </c>
      <c r="H1124" s="1" t="s">
        <v>15</v>
      </c>
      <c r="I1124" s="1" t="str">
        <f>"1"</f>
        <v>1</v>
      </c>
      <c r="J1124" s="3" t="str">
        <f>"33082"</f>
        <v>33082</v>
      </c>
      <c r="K1124" s="4">
        <v>46075</v>
      </c>
      <c r="L1124" s="4">
        <v>46088</v>
      </c>
      <c r="M1124" s="1" t="s">
        <v>9980</v>
      </c>
      <c r="N1124" s="1" t="s">
        <v>9979</v>
      </c>
    </row>
    <row r="1125" spans="1:14" s="1" customFormat="1" x14ac:dyDescent="0.35">
      <c r="A1125" s="1" t="s">
        <v>4492</v>
      </c>
      <c r="B1125" s="1" t="s">
        <v>1176</v>
      </c>
      <c r="C1125" s="1" t="s">
        <v>1190</v>
      </c>
      <c r="D1125" s="1" t="s">
        <v>9978</v>
      </c>
      <c r="E1125" s="1" t="str">
        <f>"4210"</f>
        <v>4210</v>
      </c>
      <c r="F1125" s="1" t="str">
        <f>"015879735"</f>
        <v>015879735</v>
      </c>
      <c r="G1125" s="1" t="s">
        <v>1552</v>
      </c>
      <c r="H1125" s="1" t="s">
        <v>15</v>
      </c>
      <c r="I1125" s="1" t="str">
        <f>"3"</f>
        <v>3</v>
      </c>
      <c r="J1125" s="3">
        <v>318.31</v>
      </c>
      <c r="K1125" s="4">
        <v>46075</v>
      </c>
      <c r="L1125" s="4">
        <v>46088</v>
      </c>
      <c r="M1125" s="1" t="s">
        <v>9977</v>
      </c>
      <c r="N1125" s="1" t="s">
        <v>9976</v>
      </c>
    </row>
    <row r="1126" spans="1:14" s="1" customFormat="1" x14ac:dyDescent="0.35">
      <c r="A1126" s="1" t="s">
        <v>4492</v>
      </c>
      <c r="B1126" s="1" t="s">
        <v>1176</v>
      </c>
      <c r="C1126" s="1" t="s">
        <v>1190</v>
      </c>
      <c r="D1126" s="1" t="s">
        <v>9975</v>
      </c>
      <c r="E1126" s="1" t="str">
        <f>"3930"</f>
        <v>3930</v>
      </c>
      <c r="F1126" s="1" t="s">
        <v>95</v>
      </c>
      <c r="G1126" s="1" t="s">
        <v>96</v>
      </c>
      <c r="H1126" s="1" t="s">
        <v>15</v>
      </c>
      <c r="I1126" s="1" t="str">
        <f>"1"</f>
        <v>1</v>
      </c>
      <c r="J1126" s="3">
        <v>96630.85</v>
      </c>
      <c r="K1126" s="4">
        <v>46082</v>
      </c>
      <c r="L1126" s="4">
        <v>46087</v>
      </c>
      <c r="M1126" s="1" t="s">
        <v>9974</v>
      </c>
      <c r="N1126" s="1" t="s">
        <v>9973</v>
      </c>
    </row>
    <row r="1127" spans="1:14" s="1" customFormat="1" x14ac:dyDescent="0.35">
      <c r="A1127" s="1" t="s">
        <v>4492</v>
      </c>
      <c r="B1127" s="1" t="s">
        <v>1176</v>
      </c>
      <c r="C1127" s="1" t="s">
        <v>1190</v>
      </c>
      <c r="D1127" s="1" t="s">
        <v>9972</v>
      </c>
      <c r="E1127" s="1" t="str">
        <f>"7035"</f>
        <v>7035</v>
      </c>
      <c r="F1127" s="1" t="s">
        <v>2047</v>
      </c>
      <c r="G1127" s="1" t="s">
        <v>2048</v>
      </c>
      <c r="H1127" s="1" t="s">
        <v>15</v>
      </c>
      <c r="I1127" s="1" t="str">
        <f>"1"</f>
        <v>1</v>
      </c>
      <c r="J1127" s="3" t="str">
        <f>"950"</f>
        <v>950</v>
      </c>
      <c r="K1127" s="4">
        <v>46082</v>
      </c>
      <c r="L1127" s="4">
        <v>46088</v>
      </c>
      <c r="M1127" s="1" t="s">
        <v>9971</v>
      </c>
      <c r="N1127" s="1" t="s">
        <v>9970</v>
      </c>
    </row>
    <row r="1128" spans="1:14" s="1" customFormat="1" x14ac:dyDescent="0.35">
      <c r="A1128" s="1" t="s">
        <v>4492</v>
      </c>
      <c r="B1128" s="1" t="s">
        <v>1176</v>
      </c>
      <c r="C1128" s="1" t="s">
        <v>1190</v>
      </c>
      <c r="D1128" s="1" t="s">
        <v>9969</v>
      </c>
      <c r="E1128" s="1" t="str">
        <f>"3590"</f>
        <v>3590</v>
      </c>
      <c r="F1128" s="1" t="s">
        <v>1052</v>
      </c>
      <c r="G1128" s="1" t="s">
        <v>1053</v>
      </c>
      <c r="H1128" s="1" t="s">
        <v>15</v>
      </c>
      <c r="I1128" s="1" t="str">
        <f>"1"</f>
        <v>1</v>
      </c>
      <c r="J1128" s="3" t="str">
        <f>"3751"</f>
        <v>3751</v>
      </c>
      <c r="K1128" s="4">
        <v>46082</v>
      </c>
      <c r="L1128" s="4">
        <v>46108</v>
      </c>
      <c r="M1128" s="1" t="s">
        <v>9968</v>
      </c>
      <c r="N1128" s="1" t="s">
        <v>9967</v>
      </c>
    </row>
    <row r="1129" spans="1:14" s="1" customFormat="1" x14ac:dyDescent="0.35">
      <c r="A1129" s="1" t="s">
        <v>4492</v>
      </c>
      <c r="B1129" s="1" t="s">
        <v>1176</v>
      </c>
      <c r="C1129" s="1" t="s">
        <v>1190</v>
      </c>
      <c r="D1129" s="1" t="s">
        <v>9966</v>
      </c>
      <c r="E1129" s="1" t="str">
        <f>"6660"</f>
        <v>6660</v>
      </c>
      <c r="F1129" s="1" t="str">
        <f>"014488227"</f>
        <v>014488227</v>
      </c>
      <c r="G1129" s="1" t="s">
        <v>1196</v>
      </c>
      <c r="H1129" s="1" t="s">
        <v>15</v>
      </c>
      <c r="I1129" s="1" t="str">
        <f>"1"</f>
        <v>1</v>
      </c>
      <c r="J1129" s="3">
        <v>12203.68</v>
      </c>
      <c r="K1129" s="4">
        <v>46082</v>
      </c>
      <c r="L1129" s="4">
        <v>46088</v>
      </c>
      <c r="M1129" s="1" t="s">
        <v>9965</v>
      </c>
      <c r="N1129" s="1" t="s">
        <v>9964</v>
      </c>
    </row>
    <row r="1130" spans="1:14" s="1" customFormat="1" x14ac:dyDescent="0.35">
      <c r="A1130" s="1" t="s">
        <v>4492</v>
      </c>
      <c r="B1130" s="1" t="s">
        <v>1176</v>
      </c>
      <c r="C1130" s="1" t="s">
        <v>1190</v>
      </c>
      <c r="D1130" s="1" t="s">
        <v>9963</v>
      </c>
      <c r="E1130" s="1" t="str">
        <f>"3590"</f>
        <v>3590</v>
      </c>
      <c r="F1130" s="1" t="s">
        <v>1052</v>
      </c>
      <c r="G1130" s="1" t="s">
        <v>1053</v>
      </c>
      <c r="H1130" s="1" t="s">
        <v>15</v>
      </c>
      <c r="I1130" s="1" t="str">
        <f>"1"</f>
        <v>1</v>
      </c>
      <c r="J1130" s="3" t="str">
        <f>"20000"</f>
        <v>20000</v>
      </c>
      <c r="K1130" s="4">
        <v>46082</v>
      </c>
      <c r="L1130" s="4">
        <v>46087</v>
      </c>
      <c r="M1130" s="1" t="s">
        <v>9962</v>
      </c>
      <c r="N1130" s="1" t="s">
        <v>9961</v>
      </c>
    </row>
    <row r="1131" spans="1:14" s="1" customFormat="1" x14ac:dyDescent="0.35">
      <c r="A1131" s="1" t="s">
        <v>4492</v>
      </c>
      <c r="B1131" s="1" t="s">
        <v>1176</v>
      </c>
      <c r="C1131" s="1" t="s">
        <v>1190</v>
      </c>
      <c r="D1131" s="1" t="s">
        <v>9960</v>
      </c>
      <c r="E1131" s="1" t="str">
        <f>"7035"</f>
        <v>7035</v>
      </c>
      <c r="F1131" s="1" t="s">
        <v>9959</v>
      </c>
      <c r="G1131" s="1" t="s">
        <v>9958</v>
      </c>
      <c r="H1131" s="1" t="s">
        <v>15</v>
      </c>
      <c r="I1131" s="1" t="str">
        <f>"1"</f>
        <v>1</v>
      </c>
      <c r="J1131" s="3" t="str">
        <f>"3725"</f>
        <v>3725</v>
      </c>
      <c r="K1131" s="4">
        <v>46093</v>
      </c>
      <c r="L1131" s="4">
        <v>46094</v>
      </c>
      <c r="M1131" s="1" t="s">
        <v>4524</v>
      </c>
      <c r="N1131" s="1" t="s">
        <v>9957</v>
      </c>
    </row>
    <row r="1132" spans="1:14" s="1" customFormat="1" x14ac:dyDescent="0.35">
      <c r="A1132" s="1" t="s">
        <v>4492</v>
      </c>
      <c r="B1132" s="1" t="s">
        <v>1176</v>
      </c>
      <c r="C1132" s="1" t="s">
        <v>1190</v>
      </c>
      <c r="D1132" s="1" t="s">
        <v>9956</v>
      </c>
      <c r="E1132" s="1" t="str">
        <f>"8340"</f>
        <v>8340</v>
      </c>
      <c r="F1132" s="1" t="str">
        <f>"015140578"</f>
        <v>015140578</v>
      </c>
      <c r="G1132" s="1" t="s">
        <v>9955</v>
      </c>
      <c r="H1132" s="1" t="s">
        <v>15</v>
      </c>
      <c r="I1132" s="1" t="str">
        <f>"1"</f>
        <v>1</v>
      </c>
      <c r="J1132" s="3">
        <v>170094.07999999999</v>
      </c>
      <c r="K1132" s="4">
        <v>46082</v>
      </c>
      <c r="L1132" s="4">
        <v>46087</v>
      </c>
      <c r="M1132" s="1" t="s">
        <v>9954</v>
      </c>
      <c r="N1132" s="1" t="s">
        <v>9953</v>
      </c>
    </row>
    <row r="1133" spans="1:14" s="1" customFormat="1" x14ac:dyDescent="0.35">
      <c r="A1133" s="1" t="s">
        <v>4492</v>
      </c>
      <c r="B1133" s="1" t="s">
        <v>1176</v>
      </c>
      <c r="C1133" s="1" t="s">
        <v>1190</v>
      </c>
      <c r="D1133" s="1" t="s">
        <v>9952</v>
      </c>
      <c r="E1133" s="1" t="str">
        <f>"2330"</f>
        <v>2330</v>
      </c>
      <c r="F1133" s="1" t="s">
        <v>104</v>
      </c>
      <c r="G1133" s="1" t="s">
        <v>105</v>
      </c>
      <c r="H1133" s="1" t="s">
        <v>15</v>
      </c>
      <c r="I1133" s="1" t="str">
        <f>"1"</f>
        <v>1</v>
      </c>
      <c r="J1133" s="3">
        <v>2645.5</v>
      </c>
      <c r="K1133" s="4">
        <v>46082</v>
      </c>
      <c r="L1133" s="4">
        <v>46095</v>
      </c>
      <c r="M1133" s="1" t="s">
        <v>9951</v>
      </c>
      <c r="N1133" s="1" t="s">
        <v>9950</v>
      </c>
    </row>
    <row r="1134" spans="1:14" s="1" customFormat="1" x14ac:dyDescent="0.35">
      <c r="A1134" s="1" t="s">
        <v>4492</v>
      </c>
      <c r="B1134" s="1" t="s">
        <v>1176</v>
      </c>
      <c r="C1134" s="1" t="s">
        <v>1190</v>
      </c>
      <c r="D1134" s="1" t="s">
        <v>9949</v>
      </c>
      <c r="E1134" s="1" t="str">
        <f>"2320"</f>
        <v>2320</v>
      </c>
      <c r="F1134" s="1" t="s">
        <v>100</v>
      </c>
      <c r="G1134" s="1" t="s">
        <v>101</v>
      </c>
      <c r="H1134" s="1" t="s">
        <v>15</v>
      </c>
      <c r="I1134" s="1" t="str">
        <f>"1"</f>
        <v>1</v>
      </c>
      <c r="J1134" s="3" t="str">
        <f>"33000"</f>
        <v>33000</v>
      </c>
      <c r="K1134" s="4">
        <v>46082</v>
      </c>
      <c r="L1134" s="4">
        <v>46095</v>
      </c>
      <c r="M1134" s="1" t="s">
        <v>9948</v>
      </c>
      <c r="N1134" s="1" t="s">
        <v>9947</v>
      </c>
    </row>
    <row r="1135" spans="1:14" s="1" customFormat="1" x14ac:dyDescent="0.35">
      <c r="A1135" s="1" t="s">
        <v>4492</v>
      </c>
      <c r="B1135" s="1" t="s">
        <v>1176</v>
      </c>
      <c r="C1135" s="1" t="s">
        <v>1190</v>
      </c>
      <c r="D1135" s="1" t="s">
        <v>9946</v>
      </c>
      <c r="E1135" s="1" t="str">
        <f>"2340"</f>
        <v>2340</v>
      </c>
      <c r="F1135" s="1" t="s">
        <v>2469</v>
      </c>
      <c r="G1135" s="1" t="s">
        <v>2470</v>
      </c>
      <c r="H1135" s="1" t="s">
        <v>15</v>
      </c>
      <c r="I1135" s="1" t="str">
        <f>"1"</f>
        <v>1</v>
      </c>
      <c r="J1135" s="3">
        <v>8804.7999999999993</v>
      </c>
      <c r="K1135" s="4">
        <v>46082</v>
      </c>
      <c r="L1135" s="4">
        <v>46095</v>
      </c>
      <c r="M1135" s="1" t="s">
        <v>9945</v>
      </c>
      <c r="N1135" s="1" t="s">
        <v>9944</v>
      </c>
    </row>
    <row r="1136" spans="1:14" s="1" customFormat="1" x14ac:dyDescent="0.35">
      <c r="A1136" s="1" t="s">
        <v>4492</v>
      </c>
      <c r="B1136" s="1" t="s">
        <v>1176</v>
      </c>
      <c r="C1136" s="1" t="s">
        <v>1190</v>
      </c>
      <c r="D1136" s="1" t="s">
        <v>9943</v>
      </c>
      <c r="E1136" s="1" t="str">
        <f>"6910"</f>
        <v>6910</v>
      </c>
      <c r="F1136" s="1" t="s">
        <v>647</v>
      </c>
      <c r="G1136" s="1" t="s">
        <v>648</v>
      </c>
      <c r="H1136" s="1" t="s">
        <v>15</v>
      </c>
      <c r="I1136" s="1" t="str">
        <f>"1"</f>
        <v>1</v>
      </c>
      <c r="J1136" s="3" t="str">
        <f>"3760"</f>
        <v>3760</v>
      </c>
      <c r="K1136" s="4">
        <v>46096</v>
      </c>
      <c r="L1136" s="4">
        <v>46109</v>
      </c>
      <c r="M1136" s="1" t="s">
        <v>9942</v>
      </c>
      <c r="N1136" s="1" t="s">
        <v>9941</v>
      </c>
    </row>
    <row r="1137" spans="1:14" s="1" customFormat="1" x14ac:dyDescent="0.35">
      <c r="A1137" s="1" t="s">
        <v>4492</v>
      </c>
      <c r="B1137" s="1" t="s">
        <v>1176</v>
      </c>
      <c r="C1137" s="1" t="s">
        <v>1190</v>
      </c>
      <c r="D1137" s="1" t="s">
        <v>9940</v>
      </c>
      <c r="E1137" s="1" t="str">
        <f>"2330"</f>
        <v>2330</v>
      </c>
      <c r="F1137" s="1" t="s">
        <v>104</v>
      </c>
      <c r="G1137" s="1" t="s">
        <v>105</v>
      </c>
      <c r="H1137" s="1" t="s">
        <v>15</v>
      </c>
      <c r="I1137" s="1" t="str">
        <f>"1"</f>
        <v>1</v>
      </c>
      <c r="J1137" s="3" t="str">
        <f>"14555"</f>
        <v>14555</v>
      </c>
      <c r="K1137" s="4">
        <v>46096</v>
      </c>
      <c r="L1137" s="4">
        <v>46109</v>
      </c>
      <c r="M1137" s="1" t="s">
        <v>9939</v>
      </c>
      <c r="N1137" s="1" t="s">
        <v>9934</v>
      </c>
    </row>
    <row r="1138" spans="1:14" s="1" customFormat="1" x14ac:dyDescent="0.35">
      <c r="A1138" s="1" t="s">
        <v>4492</v>
      </c>
      <c r="B1138" s="1" t="s">
        <v>1176</v>
      </c>
      <c r="C1138" s="1" t="s">
        <v>1190</v>
      </c>
      <c r="D1138" s="1" t="s">
        <v>9938</v>
      </c>
      <c r="E1138" s="1" t="str">
        <f>"2330"</f>
        <v>2330</v>
      </c>
      <c r="F1138" s="1" t="s">
        <v>104</v>
      </c>
      <c r="G1138" s="1" t="s">
        <v>105</v>
      </c>
      <c r="H1138" s="1" t="s">
        <v>15</v>
      </c>
      <c r="I1138" s="1" t="str">
        <f>"1"</f>
        <v>1</v>
      </c>
      <c r="J1138" s="3" t="str">
        <f>"10000"</f>
        <v>10000</v>
      </c>
      <c r="K1138" s="4">
        <v>46096</v>
      </c>
      <c r="L1138" s="4">
        <v>46100</v>
      </c>
      <c r="M1138" s="1" t="s">
        <v>9937</v>
      </c>
      <c r="N1138" s="1" t="s">
        <v>9934</v>
      </c>
    </row>
    <row r="1139" spans="1:14" s="1" customFormat="1" x14ac:dyDescent="0.35">
      <c r="A1139" s="1" t="s">
        <v>4492</v>
      </c>
      <c r="B1139" s="1" t="s">
        <v>1176</v>
      </c>
      <c r="C1139" s="1" t="s">
        <v>1190</v>
      </c>
      <c r="D1139" s="1" t="s">
        <v>9936</v>
      </c>
      <c r="E1139" s="1" t="str">
        <f>"2330"</f>
        <v>2330</v>
      </c>
      <c r="F1139" s="1" t="s">
        <v>104</v>
      </c>
      <c r="G1139" s="1" t="s">
        <v>105</v>
      </c>
      <c r="H1139" s="1" t="s">
        <v>15</v>
      </c>
      <c r="I1139" s="1" t="str">
        <f>"1"</f>
        <v>1</v>
      </c>
      <c r="J1139" s="3" t="str">
        <f>"10000"</f>
        <v>10000</v>
      </c>
      <c r="K1139" s="4">
        <v>46096</v>
      </c>
      <c r="L1139" s="4">
        <v>46101</v>
      </c>
      <c r="M1139" s="1" t="s">
        <v>9935</v>
      </c>
      <c r="N1139" s="1" t="s">
        <v>9934</v>
      </c>
    </row>
    <row r="1140" spans="1:14" s="1" customFormat="1" x14ac:dyDescent="0.35">
      <c r="A1140" s="1" t="s">
        <v>4492</v>
      </c>
      <c r="B1140" s="1" t="s">
        <v>1176</v>
      </c>
      <c r="C1140" s="1" t="s">
        <v>1190</v>
      </c>
      <c r="D1140" s="1" t="s">
        <v>9933</v>
      </c>
      <c r="E1140" s="1" t="str">
        <f>"2320"</f>
        <v>2320</v>
      </c>
      <c r="F1140" s="1" t="s">
        <v>100</v>
      </c>
      <c r="G1140" s="1" t="s">
        <v>101</v>
      </c>
      <c r="H1140" s="1" t="s">
        <v>15</v>
      </c>
      <c r="I1140" s="1" t="str">
        <f>"1"</f>
        <v>1</v>
      </c>
      <c r="J1140" s="3" t="str">
        <f>"54000"</f>
        <v>54000</v>
      </c>
      <c r="K1140" s="4">
        <v>46103</v>
      </c>
      <c r="L1140" s="4">
        <v>46106</v>
      </c>
      <c r="M1140" s="1" t="s">
        <v>9932</v>
      </c>
      <c r="N1140" s="1" t="s">
        <v>9931</v>
      </c>
    </row>
    <row r="1141" spans="1:14" s="1" customFormat="1" x14ac:dyDescent="0.35">
      <c r="A1141" s="1" t="s">
        <v>4492</v>
      </c>
      <c r="B1141" s="1" t="s">
        <v>1176</v>
      </c>
      <c r="C1141" s="1" t="s">
        <v>1190</v>
      </c>
      <c r="D1141" s="1" t="s">
        <v>9930</v>
      </c>
      <c r="E1141" s="1" t="str">
        <f>"7025"</f>
        <v>7025</v>
      </c>
      <c r="F1141" s="1" t="str">
        <f>"016041808"</f>
        <v>016041808</v>
      </c>
      <c r="G1141" s="1" t="s">
        <v>9929</v>
      </c>
      <c r="H1141" s="1" t="s">
        <v>15</v>
      </c>
      <c r="I1141" s="1" t="str">
        <f>"10"</f>
        <v>10</v>
      </c>
      <c r="J1141" s="3" t="str">
        <f>"481"</f>
        <v>481</v>
      </c>
      <c r="K1141" s="4">
        <v>46103</v>
      </c>
      <c r="L1141" s="4">
        <v>46106</v>
      </c>
      <c r="M1141" s="1" t="s">
        <v>9928</v>
      </c>
      <c r="N1141" s="1" t="s">
        <v>9927</v>
      </c>
    </row>
    <row r="1142" spans="1:14" s="1" customFormat="1" x14ac:dyDescent="0.35">
      <c r="A1142" s="1" t="s">
        <v>4492</v>
      </c>
      <c r="B1142" s="1" t="s">
        <v>4883</v>
      </c>
      <c r="C1142" s="1" t="s">
        <v>9924</v>
      </c>
      <c r="D1142" s="1" t="s">
        <v>9926</v>
      </c>
      <c r="E1142" s="1" t="str">
        <f>"5855"</f>
        <v>5855</v>
      </c>
      <c r="F1142" s="1" t="str">
        <f>"015847217"</f>
        <v>015847217</v>
      </c>
      <c r="G1142" s="1" t="s">
        <v>614</v>
      </c>
      <c r="H1142" s="1" t="s">
        <v>15</v>
      </c>
      <c r="I1142" s="1" t="str">
        <f>"5"</f>
        <v>5</v>
      </c>
      <c r="J1142" s="3" t="str">
        <f>"34084"</f>
        <v>34084</v>
      </c>
      <c r="K1142" s="4">
        <v>46101</v>
      </c>
      <c r="L1142" s="4">
        <v>46105</v>
      </c>
      <c r="M1142" s="1" t="s">
        <v>4524</v>
      </c>
      <c r="N1142" s="1" t="s">
        <v>9925</v>
      </c>
    </row>
    <row r="1143" spans="1:14" s="1" customFormat="1" x14ac:dyDescent="0.35">
      <c r="A1143" s="1" t="s">
        <v>4492</v>
      </c>
      <c r="B1143" s="1" t="s">
        <v>4883</v>
      </c>
      <c r="C1143" s="1" t="s">
        <v>9924</v>
      </c>
      <c r="D1143" s="1" t="s">
        <v>9923</v>
      </c>
      <c r="E1143" s="1" t="str">
        <f>"5855"</f>
        <v>5855</v>
      </c>
      <c r="F1143" s="1" t="str">
        <f>"015942892"</f>
        <v>015942892</v>
      </c>
      <c r="G1143" s="1" t="s">
        <v>742</v>
      </c>
      <c r="H1143" s="1" t="s">
        <v>15</v>
      </c>
      <c r="I1143" s="1" t="str">
        <f>"6"</f>
        <v>6</v>
      </c>
      <c r="J1143" s="3" t="str">
        <f>"1319"</f>
        <v>1319</v>
      </c>
      <c r="K1143" s="4">
        <v>46101</v>
      </c>
      <c r="L1143" s="4">
        <v>46110</v>
      </c>
      <c r="M1143" s="1" t="s">
        <v>4524</v>
      </c>
      <c r="N1143" s="1" t="s">
        <v>9922</v>
      </c>
    </row>
    <row r="1144" spans="1:14" s="1" customFormat="1" x14ac:dyDescent="0.35">
      <c r="A1144" s="1" t="s">
        <v>4492</v>
      </c>
      <c r="B1144" s="1" t="s">
        <v>1303</v>
      </c>
      <c r="C1144" s="1" t="s">
        <v>9921</v>
      </c>
      <c r="D1144" s="1" t="s">
        <v>9920</v>
      </c>
      <c r="E1144" s="1" t="str">
        <f>"5180"</f>
        <v>5180</v>
      </c>
      <c r="F1144" s="1" t="str">
        <f>"015595981"</f>
        <v>015595981</v>
      </c>
      <c r="G1144" s="1" t="s">
        <v>2584</v>
      </c>
      <c r="H1144" s="1" t="s">
        <v>168</v>
      </c>
      <c r="I1144" s="1" t="str">
        <f>"4"</f>
        <v>4</v>
      </c>
      <c r="J1144" s="3" t="str">
        <f>"1774"</f>
        <v>1774</v>
      </c>
      <c r="K1144" s="4">
        <v>46042</v>
      </c>
      <c r="L1144" s="4">
        <v>46071</v>
      </c>
      <c r="M1144" s="1" t="s">
        <v>9919</v>
      </c>
      <c r="N1144" s="1" t="s">
        <v>9918</v>
      </c>
    </row>
    <row r="1145" spans="1:14" s="1" customFormat="1" x14ac:dyDescent="0.35">
      <c r="A1145" s="1" t="s">
        <v>4492</v>
      </c>
      <c r="B1145" s="1" t="s">
        <v>3822</v>
      </c>
      <c r="C1145" s="1" t="s">
        <v>9917</v>
      </c>
      <c r="D1145" s="1" t="s">
        <v>9916</v>
      </c>
      <c r="E1145" s="1" t="str">
        <f>"1095"</f>
        <v>1095</v>
      </c>
      <c r="F1145" s="1" t="str">
        <f>"015717367"</f>
        <v>015717367</v>
      </c>
      <c r="G1145" s="1" t="s">
        <v>330</v>
      </c>
      <c r="H1145" s="1" t="s">
        <v>15</v>
      </c>
      <c r="I1145" s="1" t="str">
        <f>"1"</f>
        <v>1</v>
      </c>
      <c r="J1145" s="3">
        <v>1240.19</v>
      </c>
      <c r="K1145" s="4">
        <v>46083</v>
      </c>
      <c r="L1145" s="4">
        <v>46088</v>
      </c>
      <c r="M1145" s="1" t="s">
        <v>9915</v>
      </c>
      <c r="N1145" s="1" t="s">
        <v>9914</v>
      </c>
    </row>
    <row r="1146" spans="1:14" s="1" customFormat="1" x14ac:dyDescent="0.35">
      <c r="A1146" s="1" t="s">
        <v>4492</v>
      </c>
      <c r="B1146" s="1" t="s">
        <v>861</v>
      </c>
      <c r="C1146" s="1" t="s">
        <v>873</v>
      </c>
      <c r="D1146" s="1" t="s">
        <v>9913</v>
      </c>
      <c r="E1146" s="1" t="str">
        <f>"8150"</f>
        <v>8150</v>
      </c>
      <c r="F1146" s="1" t="s">
        <v>8179</v>
      </c>
      <c r="G1146" s="1" t="s">
        <v>8178</v>
      </c>
      <c r="H1146" s="1" t="s">
        <v>15</v>
      </c>
      <c r="I1146" s="1" t="str">
        <f>"1"</f>
        <v>1</v>
      </c>
      <c r="J1146" s="3">
        <v>2826.85</v>
      </c>
      <c r="K1146" s="4">
        <v>46044</v>
      </c>
      <c r="L1146" s="4">
        <v>46066</v>
      </c>
      <c r="M1146" s="1" t="s">
        <v>9912</v>
      </c>
      <c r="N1146" s="1" t="s">
        <v>9904</v>
      </c>
    </row>
    <row r="1147" spans="1:14" s="1" customFormat="1" x14ac:dyDescent="0.35">
      <c r="A1147" s="1" t="s">
        <v>4492</v>
      </c>
      <c r="B1147" s="1" t="s">
        <v>861</v>
      </c>
      <c r="C1147" s="1" t="s">
        <v>873</v>
      </c>
      <c r="D1147" s="1" t="s">
        <v>9911</v>
      </c>
      <c r="E1147" s="1" t="str">
        <f>"7035"</f>
        <v>7035</v>
      </c>
      <c r="F1147" s="1" t="s">
        <v>9910</v>
      </c>
      <c r="G1147" s="1" t="s">
        <v>6517</v>
      </c>
      <c r="H1147" s="1" t="s">
        <v>15</v>
      </c>
      <c r="I1147" s="1" t="str">
        <f>"302"</f>
        <v>302</v>
      </c>
      <c r="J1147" s="3" t="str">
        <f>"270"</f>
        <v>270</v>
      </c>
      <c r="K1147" s="4">
        <v>46044</v>
      </c>
      <c r="L1147" s="4">
        <v>46071</v>
      </c>
      <c r="M1147" s="1" t="s">
        <v>9909</v>
      </c>
      <c r="N1147" s="1" t="s">
        <v>876</v>
      </c>
    </row>
    <row r="1148" spans="1:14" s="1" customFormat="1" x14ac:dyDescent="0.35">
      <c r="A1148" s="1" t="s">
        <v>4492</v>
      </c>
      <c r="B1148" s="1" t="s">
        <v>861</v>
      </c>
      <c r="C1148" s="1" t="s">
        <v>873</v>
      </c>
      <c r="D1148" s="1" t="s">
        <v>9908</v>
      </c>
      <c r="E1148" s="1" t="str">
        <f>"8415"</f>
        <v>8415</v>
      </c>
      <c r="F1148" s="1" t="str">
        <f>"014155669"</f>
        <v>014155669</v>
      </c>
      <c r="G1148" s="1" t="s">
        <v>2194</v>
      </c>
      <c r="H1148" s="1" t="s">
        <v>47</v>
      </c>
      <c r="I1148" s="1" t="str">
        <f>"20"</f>
        <v>20</v>
      </c>
      <c r="J1148" s="3">
        <v>9.89</v>
      </c>
      <c r="K1148" s="4">
        <v>46044</v>
      </c>
      <c r="L1148" s="4">
        <v>46049</v>
      </c>
      <c r="M1148" s="1" t="s">
        <v>9907</v>
      </c>
      <c r="N1148" s="1" t="s">
        <v>876</v>
      </c>
    </row>
    <row r="1149" spans="1:14" s="1" customFormat="1" x14ac:dyDescent="0.35">
      <c r="A1149" s="1" t="s">
        <v>4492</v>
      </c>
      <c r="B1149" s="1" t="s">
        <v>861</v>
      </c>
      <c r="C1149" s="1" t="s">
        <v>873</v>
      </c>
      <c r="D1149" s="1" t="s">
        <v>9906</v>
      </c>
      <c r="E1149" s="1" t="str">
        <f>"8150"</f>
        <v>8150</v>
      </c>
      <c r="F1149" s="1" t="str">
        <f>"014638553"</f>
        <v>014638553</v>
      </c>
      <c r="G1149" s="1" t="s">
        <v>387</v>
      </c>
      <c r="H1149" s="1" t="s">
        <v>15</v>
      </c>
      <c r="I1149" s="1" t="str">
        <f>"2"</f>
        <v>2</v>
      </c>
      <c r="J1149" s="3">
        <v>9188.48</v>
      </c>
      <c r="K1149" s="4">
        <v>46044</v>
      </c>
      <c r="L1149" s="4">
        <v>46055</v>
      </c>
      <c r="M1149" s="1" t="s">
        <v>9905</v>
      </c>
      <c r="N1149" s="1" t="s">
        <v>9904</v>
      </c>
    </row>
    <row r="1150" spans="1:14" s="1" customFormat="1" x14ac:dyDescent="0.35">
      <c r="A1150" s="1" t="s">
        <v>4492</v>
      </c>
      <c r="B1150" s="1" t="s">
        <v>861</v>
      </c>
      <c r="C1150" s="1" t="s">
        <v>873</v>
      </c>
      <c r="D1150" s="1" t="s">
        <v>9903</v>
      </c>
      <c r="E1150" s="1" t="str">
        <f>"6130"</f>
        <v>6130</v>
      </c>
      <c r="F1150" s="1" t="str">
        <f>"015870731"</f>
        <v>015870731</v>
      </c>
      <c r="G1150" s="1" t="s">
        <v>882</v>
      </c>
      <c r="H1150" s="1" t="s">
        <v>15</v>
      </c>
      <c r="I1150" s="1" t="str">
        <f>"1"</f>
        <v>1</v>
      </c>
      <c r="J1150" s="3">
        <v>311.69</v>
      </c>
      <c r="K1150" s="4">
        <v>46050</v>
      </c>
      <c r="L1150" s="4">
        <v>46055</v>
      </c>
      <c r="M1150" s="1" t="s">
        <v>4524</v>
      </c>
      <c r="N1150" s="1" t="s">
        <v>876</v>
      </c>
    </row>
    <row r="1151" spans="1:14" s="1" customFormat="1" x14ac:dyDescent="0.35">
      <c r="A1151" s="1" t="s">
        <v>4492</v>
      </c>
      <c r="B1151" s="1" t="s">
        <v>861</v>
      </c>
      <c r="C1151" s="1" t="s">
        <v>873</v>
      </c>
      <c r="D1151" s="1" t="s">
        <v>9902</v>
      </c>
      <c r="E1151" s="1" t="str">
        <f>"6130"</f>
        <v>6130</v>
      </c>
      <c r="F1151" s="1" t="str">
        <f>"015870731"</f>
        <v>015870731</v>
      </c>
      <c r="G1151" s="1" t="s">
        <v>882</v>
      </c>
      <c r="H1151" s="1" t="s">
        <v>15</v>
      </c>
      <c r="I1151" s="1" t="str">
        <f>"1"</f>
        <v>1</v>
      </c>
      <c r="J1151" s="3">
        <v>311.69</v>
      </c>
      <c r="K1151" s="4">
        <v>46050</v>
      </c>
      <c r="L1151" s="4">
        <v>46055</v>
      </c>
      <c r="M1151" s="1" t="s">
        <v>4524</v>
      </c>
      <c r="N1151" s="1" t="s">
        <v>876</v>
      </c>
    </row>
    <row r="1152" spans="1:14" s="1" customFormat="1" x14ac:dyDescent="0.35">
      <c r="A1152" s="1" t="s">
        <v>4492</v>
      </c>
      <c r="B1152" s="1" t="s">
        <v>861</v>
      </c>
      <c r="C1152" s="1" t="s">
        <v>873</v>
      </c>
      <c r="D1152" s="1" t="s">
        <v>9901</v>
      </c>
      <c r="E1152" s="1" t="str">
        <f>"8415"</f>
        <v>8415</v>
      </c>
      <c r="F1152" s="1" t="str">
        <f>"013950005"</f>
        <v>013950005</v>
      </c>
      <c r="G1152" s="1" t="s">
        <v>6437</v>
      </c>
      <c r="H1152" s="1" t="s">
        <v>15</v>
      </c>
      <c r="I1152" s="1" t="str">
        <f>"13"</f>
        <v>13</v>
      </c>
      <c r="J1152" s="3">
        <v>184.45</v>
      </c>
      <c r="K1152" s="4">
        <v>46050</v>
      </c>
      <c r="L1152" s="4">
        <v>46055</v>
      </c>
      <c r="M1152" s="1" t="s">
        <v>4524</v>
      </c>
      <c r="N1152" s="1" t="s">
        <v>876</v>
      </c>
    </row>
    <row r="1153" spans="1:14" s="1" customFormat="1" x14ac:dyDescent="0.35">
      <c r="A1153" s="1" t="s">
        <v>4492</v>
      </c>
      <c r="B1153" s="1" t="s">
        <v>861</v>
      </c>
      <c r="C1153" s="1" t="s">
        <v>873</v>
      </c>
      <c r="D1153" s="1" t="s">
        <v>9900</v>
      </c>
      <c r="E1153" s="1" t="str">
        <f>"7810"</f>
        <v>7810</v>
      </c>
      <c r="F1153" s="1" t="s">
        <v>174</v>
      </c>
      <c r="G1153" s="1" t="s">
        <v>175</v>
      </c>
      <c r="H1153" s="1" t="s">
        <v>15</v>
      </c>
      <c r="I1153" s="1" t="str">
        <f>"11"</f>
        <v>11</v>
      </c>
      <c r="J1153" s="3" t="str">
        <f>"30"</f>
        <v>30</v>
      </c>
      <c r="K1153" s="4">
        <v>46050</v>
      </c>
      <c r="L1153" s="4">
        <v>46059</v>
      </c>
      <c r="M1153" s="1" t="s">
        <v>9899</v>
      </c>
      <c r="N1153" s="1" t="s">
        <v>9896</v>
      </c>
    </row>
    <row r="1154" spans="1:14" s="1" customFormat="1" x14ac:dyDescent="0.35">
      <c r="A1154" s="1" t="s">
        <v>4492</v>
      </c>
      <c r="B1154" s="1" t="s">
        <v>861</v>
      </c>
      <c r="C1154" s="1" t="s">
        <v>873</v>
      </c>
      <c r="D1154" s="1" t="s">
        <v>9898</v>
      </c>
      <c r="E1154" s="1" t="str">
        <f>"6910"</f>
        <v>6910</v>
      </c>
      <c r="F1154" s="1" t="s">
        <v>647</v>
      </c>
      <c r="G1154" s="1" t="s">
        <v>648</v>
      </c>
      <c r="H1154" s="1" t="s">
        <v>15</v>
      </c>
      <c r="I1154" s="1" t="str">
        <f>"1"</f>
        <v>1</v>
      </c>
      <c r="J1154" s="3" t="str">
        <f>"899"</f>
        <v>899</v>
      </c>
      <c r="K1154" s="4">
        <v>46055</v>
      </c>
      <c r="L1154" s="4">
        <v>46060</v>
      </c>
      <c r="M1154" s="1" t="s">
        <v>9897</v>
      </c>
      <c r="N1154" s="1" t="s">
        <v>9896</v>
      </c>
    </row>
    <row r="1155" spans="1:14" s="1" customFormat="1" x14ac:dyDescent="0.35">
      <c r="A1155" s="1" t="s">
        <v>4492</v>
      </c>
      <c r="B1155" s="1" t="s">
        <v>861</v>
      </c>
      <c r="C1155" s="1" t="s">
        <v>873</v>
      </c>
      <c r="D1155" s="1" t="s">
        <v>9895</v>
      </c>
      <c r="E1155" s="1" t="str">
        <f>"8415"</f>
        <v>8415</v>
      </c>
      <c r="F1155" s="1" t="str">
        <f>"015778459"</f>
        <v>015778459</v>
      </c>
      <c r="G1155" s="1" t="s">
        <v>1463</v>
      </c>
      <c r="H1155" s="1" t="s">
        <v>15</v>
      </c>
      <c r="I1155" s="1" t="str">
        <f>"1"</f>
        <v>1</v>
      </c>
      <c r="J1155" s="3">
        <v>134.36000000000001</v>
      </c>
      <c r="K1155" s="4">
        <v>46055</v>
      </c>
      <c r="L1155" s="4">
        <v>46060</v>
      </c>
      <c r="M1155" s="1" t="s">
        <v>9894</v>
      </c>
      <c r="N1155" s="1" t="s">
        <v>876</v>
      </c>
    </row>
    <row r="1156" spans="1:14" s="1" customFormat="1" x14ac:dyDescent="0.35">
      <c r="A1156" s="1" t="s">
        <v>4492</v>
      </c>
      <c r="B1156" s="1" t="s">
        <v>861</v>
      </c>
      <c r="C1156" s="1" t="s">
        <v>873</v>
      </c>
      <c r="D1156" s="1" t="s">
        <v>9893</v>
      </c>
      <c r="E1156" s="1" t="str">
        <f>"2340"</f>
        <v>2340</v>
      </c>
      <c r="F1156" s="1" t="s">
        <v>1071</v>
      </c>
      <c r="G1156" s="1" t="s">
        <v>1072</v>
      </c>
      <c r="H1156" s="1" t="s">
        <v>15</v>
      </c>
      <c r="I1156" s="1" t="str">
        <f>"1"</f>
        <v>1</v>
      </c>
      <c r="J1156" s="3" t="str">
        <f>"6000"</f>
        <v>6000</v>
      </c>
      <c r="K1156" s="4">
        <v>46056</v>
      </c>
      <c r="L1156" s="4">
        <v>46067</v>
      </c>
      <c r="M1156" s="1" t="s">
        <v>9892</v>
      </c>
      <c r="N1156" s="1" t="s">
        <v>876</v>
      </c>
    </row>
    <row r="1157" spans="1:14" s="1" customFormat="1" x14ac:dyDescent="0.35">
      <c r="A1157" s="1" t="s">
        <v>4492</v>
      </c>
      <c r="B1157" s="1" t="s">
        <v>861</v>
      </c>
      <c r="C1157" s="1" t="s">
        <v>873</v>
      </c>
      <c r="D1157" s="1" t="s">
        <v>9891</v>
      </c>
      <c r="E1157" s="1" t="str">
        <f>"8415"</f>
        <v>8415</v>
      </c>
      <c r="F1157" s="1" t="str">
        <f>"015553842"</f>
        <v>015553842</v>
      </c>
      <c r="G1157" s="1" t="s">
        <v>2194</v>
      </c>
      <c r="H1157" s="1" t="s">
        <v>47</v>
      </c>
      <c r="I1157" s="1" t="str">
        <f>"20"</f>
        <v>20</v>
      </c>
      <c r="J1157" s="3">
        <v>59.36</v>
      </c>
      <c r="K1157" s="4">
        <v>46056</v>
      </c>
      <c r="L1157" s="4">
        <v>46058</v>
      </c>
      <c r="M1157" s="1" t="s">
        <v>4524</v>
      </c>
      <c r="N1157" s="1" t="s">
        <v>876</v>
      </c>
    </row>
    <row r="1158" spans="1:14" s="1" customFormat="1" x14ac:dyDescent="0.35">
      <c r="A1158" s="1" t="s">
        <v>4492</v>
      </c>
      <c r="B1158" s="1" t="s">
        <v>861</v>
      </c>
      <c r="C1158" s="1" t="s">
        <v>873</v>
      </c>
      <c r="D1158" s="1" t="s">
        <v>9890</v>
      </c>
      <c r="E1158" s="1" t="str">
        <f>"8415"</f>
        <v>8415</v>
      </c>
      <c r="F1158" s="1" t="str">
        <f>"015674128"</f>
        <v>015674128</v>
      </c>
      <c r="G1158" s="1" t="s">
        <v>2194</v>
      </c>
      <c r="H1158" s="1" t="s">
        <v>47</v>
      </c>
      <c r="I1158" s="1" t="str">
        <f>"20"</f>
        <v>20</v>
      </c>
      <c r="J1158" s="3">
        <v>40.79</v>
      </c>
      <c r="K1158" s="4">
        <v>46056</v>
      </c>
      <c r="L1158" s="4">
        <v>46058</v>
      </c>
      <c r="M1158" s="1" t="s">
        <v>4524</v>
      </c>
      <c r="N1158" s="1" t="s">
        <v>876</v>
      </c>
    </row>
    <row r="1159" spans="1:14" s="1" customFormat="1" x14ac:dyDescent="0.35">
      <c r="A1159" s="1" t="s">
        <v>4492</v>
      </c>
      <c r="B1159" s="1" t="s">
        <v>861</v>
      </c>
      <c r="C1159" s="1" t="s">
        <v>873</v>
      </c>
      <c r="D1159" s="1" t="s">
        <v>9889</v>
      </c>
      <c r="E1159" s="1" t="str">
        <f>"8415"</f>
        <v>8415</v>
      </c>
      <c r="F1159" s="1" t="str">
        <f>"015030766"</f>
        <v>015030766</v>
      </c>
      <c r="G1159" s="1" t="s">
        <v>822</v>
      </c>
      <c r="H1159" s="1" t="s">
        <v>15</v>
      </c>
      <c r="I1159" s="1" t="str">
        <f>"50"</f>
        <v>50</v>
      </c>
      <c r="J1159" s="3">
        <v>33.47</v>
      </c>
      <c r="K1159" s="4">
        <v>46056</v>
      </c>
      <c r="L1159" s="4">
        <v>46058</v>
      </c>
      <c r="M1159" s="1" t="s">
        <v>4524</v>
      </c>
      <c r="N1159" s="1" t="s">
        <v>876</v>
      </c>
    </row>
    <row r="1160" spans="1:14" s="1" customFormat="1" x14ac:dyDescent="0.35">
      <c r="A1160" s="1" t="s">
        <v>4492</v>
      </c>
      <c r="B1160" s="1" t="s">
        <v>861</v>
      </c>
      <c r="C1160" s="1" t="s">
        <v>873</v>
      </c>
      <c r="D1160" s="1" t="s">
        <v>9888</v>
      </c>
      <c r="E1160" s="1" t="str">
        <f>"8415"</f>
        <v>8415</v>
      </c>
      <c r="F1160" s="1" t="str">
        <f>"015066281"</f>
        <v>015066281</v>
      </c>
      <c r="G1160" s="1" t="s">
        <v>895</v>
      </c>
      <c r="H1160" s="1" t="s">
        <v>15</v>
      </c>
      <c r="I1160" s="1" t="str">
        <f>"3"</f>
        <v>3</v>
      </c>
      <c r="J1160" s="3">
        <v>206.34</v>
      </c>
      <c r="K1160" s="4">
        <v>46056</v>
      </c>
      <c r="L1160" s="4">
        <v>46067</v>
      </c>
      <c r="M1160" s="1" t="s">
        <v>9887</v>
      </c>
      <c r="N1160" s="1" t="s">
        <v>876</v>
      </c>
    </row>
    <row r="1161" spans="1:14" s="1" customFormat="1" x14ac:dyDescent="0.35">
      <c r="A1161" s="1" t="s">
        <v>4492</v>
      </c>
      <c r="B1161" s="1" t="s">
        <v>861</v>
      </c>
      <c r="C1161" s="1" t="s">
        <v>873</v>
      </c>
      <c r="D1161" s="1" t="s">
        <v>9886</v>
      </c>
      <c r="E1161" s="1" t="str">
        <f>"7025"</f>
        <v>7025</v>
      </c>
      <c r="F1161" s="1" t="s">
        <v>7564</v>
      </c>
      <c r="G1161" s="1" t="s">
        <v>7563</v>
      </c>
      <c r="H1161" s="1" t="s">
        <v>15</v>
      </c>
      <c r="I1161" s="1" t="str">
        <f>"7"</f>
        <v>7</v>
      </c>
      <c r="J1161" s="3" t="str">
        <f>"30"</f>
        <v>30</v>
      </c>
      <c r="K1161" s="4">
        <v>46099</v>
      </c>
      <c r="L1161" s="4">
        <v>46101</v>
      </c>
      <c r="M1161" s="1" t="s">
        <v>9885</v>
      </c>
      <c r="N1161" s="1" t="s">
        <v>9872</v>
      </c>
    </row>
    <row r="1162" spans="1:14" s="1" customFormat="1" x14ac:dyDescent="0.35">
      <c r="A1162" s="1" t="s">
        <v>4492</v>
      </c>
      <c r="B1162" s="1" t="s">
        <v>861</v>
      </c>
      <c r="C1162" s="1" t="s">
        <v>873</v>
      </c>
      <c r="D1162" s="1" t="s">
        <v>9884</v>
      </c>
      <c r="E1162" s="1" t="str">
        <f>"7025"</f>
        <v>7025</v>
      </c>
      <c r="F1162" s="1" t="s">
        <v>7564</v>
      </c>
      <c r="G1162" s="1" t="s">
        <v>7563</v>
      </c>
      <c r="H1162" s="1" t="s">
        <v>15</v>
      </c>
      <c r="I1162" s="1" t="str">
        <f>"12"</f>
        <v>12</v>
      </c>
      <c r="J1162" s="3" t="str">
        <f>"30"</f>
        <v>30</v>
      </c>
      <c r="K1162" s="4">
        <v>46099</v>
      </c>
      <c r="L1162" s="4">
        <v>46108</v>
      </c>
      <c r="M1162" s="1" t="s">
        <v>9883</v>
      </c>
      <c r="N1162" s="1" t="s">
        <v>9872</v>
      </c>
    </row>
    <row r="1163" spans="1:14" s="1" customFormat="1" x14ac:dyDescent="0.35">
      <c r="A1163" s="1" t="s">
        <v>4492</v>
      </c>
      <c r="B1163" s="1" t="s">
        <v>861</v>
      </c>
      <c r="C1163" s="1" t="s">
        <v>873</v>
      </c>
      <c r="D1163" s="1" t="s">
        <v>9882</v>
      </c>
      <c r="E1163" s="1" t="str">
        <f>"7025"</f>
        <v>7025</v>
      </c>
      <c r="F1163" s="1" t="s">
        <v>7564</v>
      </c>
      <c r="G1163" s="1" t="s">
        <v>7563</v>
      </c>
      <c r="H1163" s="1" t="s">
        <v>15</v>
      </c>
      <c r="I1163" s="1" t="str">
        <f>"13"</f>
        <v>13</v>
      </c>
      <c r="J1163" s="3" t="str">
        <f>"30"</f>
        <v>30</v>
      </c>
      <c r="K1163" s="4">
        <v>46099</v>
      </c>
      <c r="L1163" s="4">
        <v>46105</v>
      </c>
      <c r="M1163" s="1" t="s">
        <v>9881</v>
      </c>
      <c r="N1163" s="1" t="s">
        <v>9872</v>
      </c>
    </row>
    <row r="1164" spans="1:14" s="1" customFormat="1" x14ac:dyDescent="0.35">
      <c r="A1164" s="1" t="s">
        <v>4492</v>
      </c>
      <c r="B1164" s="1" t="s">
        <v>861</v>
      </c>
      <c r="C1164" s="1" t="s">
        <v>873</v>
      </c>
      <c r="D1164" s="1" t="s">
        <v>9880</v>
      </c>
      <c r="E1164" s="1" t="str">
        <f>"7025"</f>
        <v>7025</v>
      </c>
      <c r="F1164" s="1" t="s">
        <v>7564</v>
      </c>
      <c r="G1164" s="1" t="s">
        <v>7563</v>
      </c>
      <c r="H1164" s="1" t="s">
        <v>15</v>
      </c>
      <c r="I1164" s="1" t="str">
        <f>"20"</f>
        <v>20</v>
      </c>
      <c r="J1164" s="3" t="str">
        <f>"30"</f>
        <v>30</v>
      </c>
      <c r="K1164" s="4">
        <v>46099</v>
      </c>
      <c r="L1164" s="4">
        <v>46100</v>
      </c>
      <c r="M1164" s="1" t="s">
        <v>9879</v>
      </c>
      <c r="N1164" s="1" t="s">
        <v>9872</v>
      </c>
    </row>
    <row r="1165" spans="1:14" s="1" customFormat="1" x14ac:dyDescent="0.35">
      <c r="A1165" s="1" t="s">
        <v>4492</v>
      </c>
      <c r="B1165" s="1" t="s">
        <v>861</v>
      </c>
      <c r="C1165" s="1" t="s">
        <v>873</v>
      </c>
      <c r="D1165" s="1" t="s">
        <v>9878</v>
      </c>
      <c r="E1165" s="1" t="str">
        <f>"7025"</f>
        <v>7025</v>
      </c>
      <c r="F1165" s="1" t="s">
        <v>7564</v>
      </c>
      <c r="G1165" s="1" t="s">
        <v>7563</v>
      </c>
      <c r="H1165" s="1" t="s">
        <v>15</v>
      </c>
      <c r="I1165" s="1" t="str">
        <f>"12"</f>
        <v>12</v>
      </c>
      <c r="J1165" s="3" t="str">
        <f>"30"</f>
        <v>30</v>
      </c>
      <c r="K1165" s="4">
        <v>46099</v>
      </c>
      <c r="L1165" s="4">
        <v>46100</v>
      </c>
      <c r="M1165" s="1" t="s">
        <v>9877</v>
      </c>
      <c r="N1165" s="1" t="s">
        <v>9872</v>
      </c>
    </row>
    <row r="1166" spans="1:14" s="1" customFormat="1" x14ac:dyDescent="0.35">
      <c r="A1166" s="1" t="s">
        <v>4492</v>
      </c>
      <c r="B1166" s="1" t="s">
        <v>861</v>
      </c>
      <c r="C1166" s="1" t="s">
        <v>873</v>
      </c>
      <c r="D1166" s="1" t="s">
        <v>9876</v>
      </c>
      <c r="E1166" s="1" t="str">
        <f>"7025"</f>
        <v>7025</v>
      </c>
      <c r="F1166" s="1" t="s">
        <v>7564</v>
      </c>
      <c r="G1166" s="1" t="s">
        <v>7563</v>
      </c>
      <c r="H1166" s="1" t="s">
        <v>15</v>
      </c>
      <c r="I1166" s="1" t="str">
        <f>"12"</f>
        <v>12</v>
      </c>
      <c r="J1166" s="3" t="str">
        <f>"30"</f>
        <v>30</v>
      </c>
      <c r="K1166" s="4">
        <v>46099</v>
      </c>
      <c r="L1166" s="4">
        <v>46100</v>
      </c>
      <c r="M1166" s="1" t="s">
        <v>9875</v>
      </c>
      <c r="N1166" s="1" t="s">
        <v>9872</v>
      </c>
    </row>
    <row r="1167" spans="1:14" s="1" customFormat="1" x14ac:dyDescent="0.35">
      <c r="A1167" s="1" t="s">
        <v>4492</v>
      </c>
      <c r="B1167" s="1" t="s">
        <v>861</v>
      </c>
      <c r="C1167" s="1" t="s">
        <v>873</v>
      </c>
      <c r="D1167" s="1" t="s">
        <v>9874</v>
      </c>
      <c r="E1167" s="1" t="str">
        <f>"7025"</f>
        <v>7025</v>
      </c>
      <c r="F1167" s="1" t="s">
        <v>7564</v>
      </c>
      <c r="G1167" s="1" t="s">
        <v>7563</v>
      </c>
      <c r="H1167" s="1" t="s">
        <v>15</v>
      </c>
      <c r="I1167" s="1" t="str">
        <f>"12"</f>
        <v>12</v>
      </c>
      <c r="J1167" s="3" t="str">
        <f>"30"</f>
        <v>30</v>
      </c>
      <c r="K1167" s="4">
        <v>46099</v>
      </c>
      <c r="L1167" s="4">
        <v>46108</v>
      </c>
      <c r="M1167" s="1" t="s">
        <v>9873</v>
      </c>
      <c r="N1167" s="1" t="s">
        <v>9872</v>
      </c>
    </row>
    <row r="1168" spans="1:14" s="1" customFormat="1" x14ac:dyDescent="0.35">
      <c r="A1168" s="1" t="s">
        <v>4492</v>
      </c>
      <c r="B1168" s="1" t="s">
        <v>861</v>
      </c>
      <c r="C1168" s="1" t="s">
        <v>9847</v>
      </c>
      <c r="D1168" s="1" t="s">
        <v>9871</v>
      </c>
      <c r="E1168" s="1" t="str">
        <f>"8415"</f>
        <v>8415</v>
      </c>
      <c r="F1168" s="1" t="str">
        <f>"016877191"</f>
        <v>016877191</v>
      </c>
      <c r="G1168" s="1" t="s">
        <v>9870</v>
      </c>
      <c r="H1168" s="1" t="s">
        <v>15</v>
      </c>
      <c r="I1168" s="1" t="str">
        <f>"2"</f>
        <v>2</v>
      </c>
      <c r="J1168" s="3">
        <v>207.17</v>
      </c>
      <c r="K1168" s="4">
        <v>46059</v>
      </c>
      <c r="L1168" s="4">
        <v>46060</v>
      </c>
      <c r="M1168" s="1" t="s">
        <v>4524</v>
      </c>
      <c r="N1168" s="1" t="s">
        <v>9869</v>
      </c>
    </row>
    <row r="1169" spans="1:14" s="1" customFormat="1" x14ac:dyDescent="0.35">
      <c r="A1169" s="1" t="s">
        <v>4492</v>
      </c>
      <c r="B1169" s="1" t="s">
        <v>861</v>
      </c>
      <c r="C1169" s="1" t="s">
        <v>9847</v>
      </c>
      <c r="D1169" s="1" t="s">
        <v>9868</v>
      </c>
      <c r="E1169" s="1" t="str">
        <f>"8415"</f>
        <v>8415</v>
      </c>
      <c r="F1169" s="1" t="str">
        <f>"015269185"</f>
        <v>015269185</v>
      </c>
      <c r="G1169" s="1" t="s">
        <v>781</v>
      </c>
      <c r="H1169" s="1" t="s">
        <v>15</v>
      </c>
      <c r="I1169" s="1" t="str">
        <f>"2"</f>
        <v>2</v>
      </c>
      <c r="J1169" s="3">
        <v>171.72</v>
      </c>
      <c r="K1169" s="4">
        <v>46064</v>
      </c>
      <c r="L1169" s="4">
        <v>46077</v>
      </c>
      <c r="M1169" s="1" t="s">
        <v>4524</v>
      </c>
      <c r="N1169" s="1" t="s">
        <v>9867</v>
      </c>
    </row>
    <row r="1170" spans="1:14" s="1" customFormat="1" x14ac:dyDescent="0.35">
      <c r="A1170" s="1" t="s">
        <v>4492</v>
      </c>
      <c r="B1170" s="1" t="s">
        <v>861</v>
      </c>
      <c r="C1170" s="1" t="s">
        <v>9847</v>
      </c>
      <c r="D1170" s="1" t="s">
        <v>9866</v>
      </c>
      <c r="E1170" s="1" t="str">
        <f>"8415"</f>
        <v>8415</v>
      </c>
      <c r="F1170" s="1" t="str">
        <f>"015269182"</f>
        <v>015269182</v>
      </c>
      <c r="G1170" s="1" t="s">
        <v>781</v>
      </c>
      <c r="H1170" s="1" t="s">
        <v>15</v>
      </c>
      <c r="I1170" s="1" t="str">
        <f>"1"</f>
        <v>1</v>
      </c>
      <c r="J1170" s="3">
        <v>171.72</v>
      </c>
      <c r="K1170" s="4">
        <v>46064</v>
      </c>
      <c r="L1170" s="4">
        <v>46077</v>
      </c>
      <c r="M1170" s="1" t="s">
        <v>4524</v>
      </c>
      <c r="N1170" s="1" t="s">
        <v>9865</v>
      </c>
    </row>
    <row r="1171" spans="1:14" s="1" customFormat="1" x14ac:dyDescent="0.35">
      <c r="A1171" s="1" t="s">
        <v>4492</v>
      </c>
      <c r="B1171" s="1" t="s">
        <v>861</v>
      </c>
      <c r="C1171" s="1" t="s">
        <v>9847</v>
      </c>
      <c r="D1171" s="1" t="s">
        <v>9864</v>
      </c>
      <c r="E1171" s="1" t="str">
        <f>"8415"</f>
        <v>8415</v>
      </c>
      <c r="F1171" s="1" t="str">
        <f>"015387764"</f>
        <v>015387764</v>
      </c>
      <c r="G1171" s="1" t="s">
        <v>18</v>
      </c>
      <c r="H1171" s="1" t="s">
        <v>15</v>
      </c>
      <c r="I1171" s="1" t="str">
        <f>"4"</f>
        <v>4</v>
      </c>
      <c r="J1171" s="3">
        <v>111.26</v>
      </c>
      <c r="K1171" s="4">
        <v>46065</v>
      </c>
      <c r="L1171" s="4">
        <v>46067</v>
      </c>
      <c r="M1171" s="1" t="s">
        <v>4524</v>
      </c>
      <c r="N1171" s="1" t="s">
        <v>9851</v>
      </c>
    </row>
    <row r="1172" spans="1:14" s="1" customFormat="1" x14ac:dyDescent="0.35">
      <c r="A1172" s="1" t="s">
        <v>4492</v>
      </c>
      <c r="B1172" s="1" t="s">
        <v>861</v>
      </c>
      <c r="C1172" s="1" t="s">
        <v>9847</v>
      </c>
      <c r="D1172" s="1" t="s">
        <v>9863</v>
      </c>
      <c r="E1172" s="1" t="str">
        <f>"8415"</f>
        <v>8415</v>
      </c>
      <c r="F1172" s="1" t="str">
        <f>"015387761"</f>
        <v>015387761</v>
      </c>
      <c r="G1172" s="1" t="s">
        <v>18</v>
      </c>
      <c r="H1172" s="1" t="s">
        <v>15</v>
      </c>
      <c r="I1172" s="1" t="str">
        <f>"4"</f>
        <v>4</v>
      </c>
      <c r="J1172" s="3">
        <v>111.26</v>
      </c>
      <c r="K1172" s="4">
        <v>46065</v>
      </c>
      <c r="L1172" s="4">
        <v>46067</v>
      </c>
      <c r="M1172" s="1" t="s">
        <v>4524</v>
      </c>
      <c r="N1172" s="1" t="s">
        <v>9851</v>
      </c>
    </row>
    <row r="1173" spans="1:14" s="1" customFormat="1" x14ac:dyDescent="0.35">
      <c r="A1173" s="1" t="s">
        <v>4492</v>
      </c>
      <c r="B1173" s="1" t="s">
        <v>861</v>
      </c>
      <c r="C1173" s="1" t="s">
        <v>9847</v>
      </c>
      <c r="D1173" s="1" t="s">
        <v>9862</v>
      </c>
      <c r="E1173" s="1" t="str">
        <f>"8415"</f>
        <v>8415</v>
      </c>
      <c r="F1173" s="1" t="str">
        <f>"015387001"</f>
        <v>015387001</v>
      </c>
      <c r="G1173" s="1" t="s">
        <v>18</v>
      </c>
      <c r="H1173" s="1" t="s">
        <v>15</v>
      </c>
      <c r="I1173" s="1" t="str">
        <f>"4"</f>
        <v>4</v>
      </c>
      <c r="J1173" s="3">
        <v>111.26</v>
      </c>
      <c r="K1173" s="4">
        <v>46065</v>
      </c>
      <c r="L1173" s="4">
        <v>46067</v>
      </c>
      <c r="M1173" s="1" t="s">
        <v>4524</v>
      </c>
      <c r="N1173" s="1" t="s">
        <v>9851</v>
      </c>
    </row>
    <row r="1174" spans="1:14" s="1" customFormat="1" x14ac:dyDescent="0.35">
      <c r="A1174" s="1" t="s">
        <v>4492</v>
      </c>
      <c r="B1174" s="1" t="s">
        <v>861</v>
      </c>
      <c r="C1174" s="1" t="s">
        <v>9847</v>
      </c>
      <c r="D1174" s="1" t="s">
        <v>9861</v>
      </c>
      <c r="E1174" s="1" t="str">
        <f>"8415"</f>
        <v>8415</v>
      </c>
      <c r="F1174" s="1" t="str">
        <f>"015066282"</f>
        <v>015066282</v>
      </c>
      <c r="G1174" s="1" t="s">
        <v>895</v>
      </c>
      <c r="H1174" s="1" t="s">
        <v>15</v>
      </c>
      <c r="I1174" s="1" t="str">
        <f>"4"</f>
        <v>4</v>
      </c>
      <c r="J1174" s="3">
        <v>158.56</v>
      </c>
      <c r="K1174" s="4">
        <v>46059</v>
      </c>
      <c r="L1174" s="4">
        <v>46095</v>
      </c>
      <c r="M1174" s="1" t="s">
        <v>4524</v>
      </c>
      <c r="N1174" s="1" t="s">
        <v>9860</v>
      </c>
    </row>
    <row r="1175" spans="1:14" s="1" customFormat="1" x14ac:dyDescent="0.35">
      <c r="A1175" s="1" t="s">
        <v>4492</v>
      </c>
      <c r="B1175" s="1" t="s">
        <v>861</v>
      </c>
      <c r="C1175" s="1" t="s">
        <v>9847</v>
      </c>
      <c r="D1175" s="1" t="s">
        <v>9859</v>
      </c>
      <c r="E1175" s="1" t="str">
        <f>"8465"</f>
        <v>8465</v>
      </c>
      <c r="F1175" s="1" t="str">
        <f>"015236276"</f>
        <v>015236276</v>
      </c>
      <c r="G1175" s="1" t="s">
        <v>1636</v>
      </c>
      <c r="H1175" s="1" t="s">
        <v>257</v>
      </c>
      <c r="I1175" s="1" t="str">
        <f>"40"</f>
        <v>40</v>
      </c>
      <c r="J1175" s="3">
        <v>255.8</v>
      </c>
      <c r="K1175" s="4">
        <v>46063</v>
      </c>
      <c r="L1175" s="4">
        <v>46091</v>
      </c>
      <c r="M1175" s="1" t="s">
        <v>4524</v>
      </c>
      <c r="N1175" s="1" t="s">
        <v>9858</v>
      </c>
    </row>
    <row r="1176" spans="1:14" s="1" customFormat="1" x14ac:dyDescent="0.35">
      <c r="A1176" s="1" t="s">
        <v>4492</v>
      </c>
      <c r="B1176" s="1" t="s">
        <v>861</v>
      </c>
      <c r="C1176" s="1" t="s">
        <v>9847</v>
      </c>
      <c r="D1176" s="1" t="s">
        <v>9857</v>
      </c>
      <c r="E1176" s="1" t="str">
        <f>"8415"</f>
        <v>8415</v>
      </c>
      <c r="F1176" s="1" t="str">
        <f>"015801358"</f>
        <v>015801358</v>
      </c>
      <c r="G1176" s="1" t="s">
        <v>761</v>
      </c>
      <c r="H1176" s="1" t="s">
        <v>15</v>
      </c>
      <c r="I1176" s="1" t="str">
        <f>"42"</f>
        <v>42</v>
      </c>
      <c r="J1176" s="3">
        <v>80.94</v>
      </c>
      <c r="K1176" s="4">
        <v>46063</v>
      </c>
      <c r="L1176" s="4">
        <v>46074</v>
      </c>
      <c r="M1176" s="1" t="s">
        <v>4524</v>
      </c>
      <c r="N1176" s="1" t="s">
        <v>9856</v>
      </c>
    </row>
    <row r="1177" spans="1:14" s="1" customFormat="1" x14ac:dyDescent="0.35">
      <c r="A1177" s="1" t="s">
        <v>4492</v>
      </c>
      <c r="B1177" s="1" t="s">
        <v>861</v>
      </c>
      <c r="C1177" s="1" t="s">
        <v>9847</v>
      </c>
      <c r="D1177" s="1" t="s">
        <v>9855</v>
      </c>
      <c r="E1177" s="1" t="str">
        <f>"8415"</f>
        <v>8415</v>
      </c>
      <c r="F1177" s="1" t="str">
        <f>"015387012"</f>
        <v>015387012</v>
      </c>
      <c r="G1177" s="1" t="s">
        <v>18</v>
      </c>
      <c r="H1177" s="1" t="s">
        <v>15</v>
      </c>
      <c r="I1177" s="1" t="str">
        <f>"10"</f>
        <v>10</v>
      </c>
      <c r="J1177" s="3">
        <v>111.26</v>
      </c>
      <c r="K1177" s="4">
        <v>46065</v>
      </c>
      <c r="L1177" s="4">
        <v>46102</v>
      </c>
      <c r="M1177" s="1" t="s">
        <v>4524</v>
      </c>
      <c r="N1177" s="1" t="s">
        <v>9851</v>
      </c>
    </row>
    <row r="1178" spans="1:14" s="1" customFormat="1" x14ac:dyDescent="0.35">
      <c r="A1178" s="1" t="s">
        <v>4492</v>
      </c>
      <c r="B1178" s="1" t="s">
        <v>861</v>
      </c>
      <c r="C1178" s="1" t="s">
        <v>9847</v>
      </c>
      <c r="D1178" s="1" t="s">
        <v>9854</v>
      </c>
      <c r="E1178" s="1" t="str">
        <f>"8415"</f>
        <v>8415</v>
      </c>
      <c r="F1178" s="1" t="str">
        <f>"015387761"</f>
        <v>015387761</v>
      </c>
      <c r="G1178" s="1" t="s">
        <v>18</v>
      </c>
      <c r="H1178" s="1" t="s">
        <v>15</v>
      </c>
      <c r="I1178" s="1" t="str">
        <f>"8"</f>
        <v>8</v>
      </c>
      <c r="J1178" s="3">
        <v>111.26</v>
      </c>
      <c r="K1178" s="4">
        <v>46065</v>
      </c>
      <c r="L1178" s="4">
        <v>46098</v>
      </c>
      <c r="M1178" s="1" t="s">
        <v>4524</v>
      </c>
      <c r="N1178" s="1" t="s">
        <v>9851</v>
      </c>
    </row>
    <row r="1179" spans="1:14" s="1" customFormat="1" x14ac:dyDescent="0.35">
      <c r="A1179" s="1" t="s">
        <v>4492</v>
      </c>
      <c r="B1179" s="1" t="s">
        <v>861</v>
      </c>
      <c r="C1179" s="1" t="s">
        <v>9847</v>
      </c>
      <c r="D1179" s="1" t="s">
        <v>9853</v>
      </c>
      <c r="E1179" s="1" t="str">
        <f>"8415"</f>
        <v>8415</v>
      </c>
      <c r="F1179" s="1" t="str">
        <f>"015387764"</f>
        <v>015387764</v>
      </c>
      <c r="G1179" s="1" t="s">
        <v>18</v>
      </c>
      <c r="H1179" s="1" t="s">
        <v>15</v>
      </c>
      <c r="I1179" s="1" t="str">
        <f>"5"</f>
        <v>5</v>
      </c>
      <c r="J1179" s="3">
        <v>111.26</v>
      </c>
      <c r="K1179" s="4">
        <v>46065</v>
      </c>
      <c r="L1179" s="4">
        <v>46102</v>
      </c>
      <c r="M1179" s="1" t="s">
        <v>4524</v>
      </c>
      <c r="N1179" s="1" t="s">
        <v>9851</v>
      </c>
    </row>
    <row r="1180" spans="1:14" s="1" customFormat="1" x14ac:dyDescent="0.35">
      <c r="A1180" s="1" t="s">
        <v>4492</v>
      </c>
      <c r="B1180" s="1" t="s">
        <v>861</v>
      </c>
      <c r="C1180" s="1" t="s">
        <v>9847</v>
      </c>
      <c r="D1180" s="1" t="s">
        <v>9852</v>
      </c>
      <c r="E1180" s="1" t="str">
        <f>"8415"</f>
        <v>8415</v>
      </c>
      <c r="F1180" s="1" t="str">
        <f>"015387769"</f>
        <v>015387769</v>
      </c>
      <c r="G1180" s="1" t="s">
        <v>18</v>
      </c>
      <c r="H1180" s="1" t="s">
        <v>15</v>
      </c>
      <c r="I1180" s="1" t="str">
        <f>"3"</f>
        <v>3</v>
      </c>
      <c r="J1180" s="3">
        <v>111.26</v>
      </c>
      <c r="K1180" s="4">
        <v>46065</v>
      </c>
      <c r="L1180" s="4">
        <v>46102</v>
      </c>
      <c r="M1180" s="1" t="s">
        <v>4524</v>
      </c>
      <c r="N1180" s="1" t="s">
        <v>9851</v>
      </c>
    </row>
    <row r="1181" spans="1:14" s="1" customFormat="1" x14ac:dyDescent="0.35">
      <c r="A1181" s="1" t="s">
        <v>4492</v>
      </c>
      <c r="B1181" s="1" t="s">
        <v>861</v>
      </c>
      <c r="C1181" s="1" t="s">
        <v>9847</v>
      </c>
      <c r="D1181" s="1" t="s">
        <v>9850</v>
      </c>
      <c r="E1181" s="1" t="str">
        <f>"8415"</f>
        <v>8415</v>
      </c>
      <c r="F1181" s="1" t="str">
        <f>"015269181"</f>
        <v>015269181</v>
      </c>
      <c r="G1181" s="1" t="s">
        <v>781</v>
      </c>
      <c r="H1181" s="1" t="s">
        <v>15</v>
      </c>
      <c r="I1181" s="1" t="str">
        <f>"2"</f>
        <v>2</v>
      </c>
      <c r="J1181" s="3">
        <v>171.72</v>
      </c>
      <c r="K1181" s="4">
        <v>46063</v>
      </c>
      <c r="L1181" s="4">
        <v>46102</v>
      </c>
      <c r="M1181" s="1" t="s">
        <v>4524</v>
      </c>
      <c r="N1181" s="1" t="s">
        <v>9849</v>
      </c>
    </row>
    <row r="1182" spans="1:14" s="1" customFormat="1" x14ac:dyDescent="0.35">
      <c r="A1182" s="1" t="s">
        <v>4492</v>
      </c>
      <c r="B1182" s="1" t="s">
        <v>861</v>
      </c>
      <c r="C1182" s="1" t="s">
        <v>9847</v>
      </c>
      <c r="D1182" s="1" t="s">
        <v>9848</v>
      </c>
      <c r="E1182" s="1" t="str">
        <f>"8415"</f>
        <v>8415</v>
      </c>
      <c r="F1182" s="1" t="str">
        <f>"015269182"</f>
        <v>015269182</v>
      </c>
      <c r="G1182" s="1" t="s">
        <v>781</v>
      </c>
      <c r="H1182" s="1" t="s">
        <v>15</v>
      </c>
      <c r="I1182" s="1" t="str">
        <f>"1"</f>
        <v>1</v>
      </c>
      <c r="J1182" s="3">
        <v>171.72</v>
      </c>
      <c r="K1182" s="4">
        <v>46063</v>
      </c>
      <c r="L1182" s="4">
        <v>46102</v>
      </c>
      <c r="M1182" s="1" t="s">
        <v>4524</v>
      </c>
      <c r="N1182" s="1" t="s">
        <v>9845</v>
      </c>
    </row>
    <row r="1183" spans="1:14" s="1" customFormat="1" x14ac:dyDescent="0.35">
      <c r="A1183" s="1" t="s">
        <v>4492</v>
      </c>
      <c r="B1183" s="1" t="s">
        <v>861</v>
      </c>
      <c r="C1183" s="1" t="s">
        <v>9847</v>
      </c>
      <c r="D1183" s="1" t="s">
        <v>9846</v>
      </c>
      <c r="E1183" s="1" t="str">
        <f>"8415"</f>
        <v>8415</v>
      </c>
      <c r="F1183" s="1" t="str">
        <f>"015269184"</f>
        <v>015269184</v>
      </c>
      <c r="G1183" s="1" t="s">
        <v>781</v>
      </c>
      <c r="H1183" s="1" t="s">
        <v>15</v>
      </c>
      <c r="I1183" s="1" t="str">
        <f>"1"</f>
        <v>1</v>
      </c>
      <c r="J1183" s="3">
        <v>171.72</v>
      </c>
      <c r="K1183" s="4">
        <v>46063</v>
      </c>
      <c r="L1183" s="4">
        <v>46102</v>
      </c>
      <c r="M1183" s="1" t="s">
        <v>4524</v>
      </c>
      <c r="N1183" s="1" t="s">
        <v>9845</v>
      </c>
    </row>
    <row r="1184" spans="1:14" s="1" customFormat="1" x14ac:dyDescent="0.35">
      <c r="A1184" s="1" t="s">
        <v>4492</v>
      </c>
      <c r="B1184" s="1" t="s">
        <v>4247</v>
      </c>
      <c r="C1184" s="1" t="s">
        <v>4248</v>
      </c>
      <c r="D1184" s="1" t="s">
        <v>9844</v>
      </c>
      <c r="E1184" s="1" t="str">
        <f>"2320"</f>
        <v>2320</v>
      </c>
      <c r="F1184" s="1" t="str">
        <f>"014823925"</f>
        <v>014823925</v>
      </c>
      <c r="G1184" s="1" t="s">
        <v>1093</v>
      </c>
      <c r="H1184" s="1" t="s">
        <v>15</v>
      </c>
      <c r="I1184" s="1" t="str">
        <f>"1"</f>
        <v>1</v>
      </c>
      <c r="J1184" s="3" t="str">
        <f>"39497"</f>
        <v>39497</v>
      </c>
      <c r="K1184" s="4">
        <v>46009</v>
      </c>
      <c r="L1184" s="4">
        <v>46026</v>
      </c>
      <c r="M1184" s="1" t="s">
        <v>9843</v>
      </c>
      <c r="N1184" s="1" t="s">
        <v>9842</v>
      </c>
    </row>
    <row r="1185" spans="1:14" s="1" customFormat="1" x14ac:dyDescent="0.35">
      <c r="A1185" s="1" t="s">
        <v>4492</v>
      </c>
      <c r="B1185" s="1" t="s">
        <v>4247</v>
      </c>
      <c r="C1185" s="1" t="s">
        <v>4248</v>
      </c>
      <c r="D1185" s="1" t="s">
        <v>9841</v>
      </c>
      <c r="E1185" s="1" t="str">
        <f>"3805"</f>
        <v>3805</v>
      </c>
      <c r="F1185" s="1" t="s">
        <v>1020</v>
      </c>
      <c r="G1185" s="1" t="s">
        <v>1021</v>
      </c>
      <c r="H1185" s="1" t="s">
        <v>15</v>
      </c>
      <c r="I1185" s="1" t="str">
        <f>"1"</f>
        <v>1</v>
      </c>
      <c r="J1185" s="3" t="str">
        <f>"20000"</f>
        <v>20000</v>
      </c>
      <c r="K1185" s="4">
        <v>46018</v>
      </c>
      <c r="L1185" s="4">
        <v>46028</v>
      </c>
      <c r="M1185" s="1" t="s">
        <v>9840</v>
      </c>
      <c r="N1185" s="1" t="s">
        <v>9839</v>
      </c>
    </row>
    <row r="1186" spans="1:14" s="1" customFormat="1" x14ac:dyDescent="0.35">
      <c r="A1186" s="1" t="s">
        <v>4492</v>
      </c>
      <c r="B1186" s="1" t="s">
        <v>4247</v>
      </c>
      <c r="C1186" s="1" t="s">
        <v>4248</v>
      </c>
      <c r="D1186" s="1" t="s">
        <v>9838</v>
      </c>
      <c r="E1186" s="1" t="str">
        <f>"3805"</f>
        <v>3805</v>
      </c>
      <c r="F1186" s="1" t="str">
        <f>"015023529"</f>
        <v>015023529</v>
      </c>
      <c r="G1186" s="1" t="s">
        <v>420</v>
      </c>
      <c r="H1186" s="1" t="s">
        <v>15</v>
      </c>
      <c r="I1186" s="1" t="str">
        <f>"2"</f>
        <v>2</v>
      </c>
      <c r="J1186" s="3">
        <v>16100.91</v>
      </c>
      <c r="K1186" s="4">
        <v>46028</v>
      </c>
      <c r="L1186" s="4">
        <v>46092</v>
      </c>
      <c r="M1186" s="1" t="s">
        <v>9837</v>
      </c>
      <c r="N1186" s="1" t="s">
        <v>9836</v>
      </c>
    </row>
    <row r="1187" spans="1:14" s="1" customFormat="1" x14ac:dyDescent="0.35">
      <c r="A1187" s="1" t="s">
        <v>4492</v>
      </c>
      <c r="B1187" s="1" t="s">
        <v>4247</v>
      </c>
      <c r="C1187" s="1" t="s">
        <v>4248</v>
      </c>
      <c r="D1187" s="1" t="s">
        <v>9835</v>
      </c>
      <c r="E1187" s="1" t="str">
        <f>"2320"</f>
        <v>2320</v>
      </c>
      <c r="F1187" s="1" t="s">
        <v>100</v>
      </c>
      <c r="G1187" s="1" t="s">
        <v>101</v>
      </c>
      <c r="H1187" s="1" t="s">
        <v>15</v>
      </c>
      <c r="I1187" s="1" t="str">
        <f>"1"</f>
        <v>1</v>
      </c>
      <c r="J1187" s="3" t="str">
        <f>"81925"</f>
        <v>81925</v>
      </c>
      <c r="K1187" s="4">
        <v>46031</v>
      </c>
      <c r="L1187" s="4">
        <v>46092</v>
      </c>
      <c r="M1187" s="1" t="s">
        <v>9834</v>
      </c>
      <c r="N1187" s="1" t="s">
        <v>9824</v>
      </c>
    </row>
    <row r="1188" spans="1:14" s="1" customFormat="1" x14ac:dyDescent="0.35">
      <c r="A1188" s="1" t="s">
        <v>4492</v>
      </c>
      <c r="B1188" s="1" t="s">
        <v>4247</v>
      </c>
      <c r="C1188" s="1" t="s">
        <v>4248</v>
      </c>
      <c r="D1188" s="1" t="s">
        <v>9833</v>
      </c>
      <c r="E1188" s="1" t="str">
        <f>"2320"</f>
        <v>2320</v>
      </c>
      <c r="F1188" s="1" t="str">
        <f>"014353084"</f>
        <v>014353084</v>
      </c>
      <c r="G1188" s="1" t="s">
        <v>1093</v>
      </c>
      <c r="H1188" s="1" t="s">
        <v>15</v>
      </c>
      <c r="I1188" s="1" t="str">
        <f>"1"</f>
        <v>1</v>
      </c>
      <c r="J1188" s="3">
        <v>84222.39</v>
      </c>
      <c r="K1188" s="4">
        <v>46025</v>
      </c>
      <c r="L1188" s="4">
        <v>46028</v>
      </c>
      <c r="M1188" s="1" t="s">
        <v>9832</v>
      </c>
      <c r="N1188" s="1" t="s">
        <v>9831</v>
      </c>
    </row>
    <row r="1189" spans="1:14" s="1" customFormat="1" x14ac:dyDescent="0.35">
      <c r="A1189" s="1" t="s">
        <v>4492</v>
      </c>
      <c r="B1189" s="1" t="s">
        <v>4247</v>
      </c>
      <c r="C1189" s="1" t="s">
        <v>4248</v>
      </c>
      <c r="D1189" s="1" t="s">
        <v>9833</v>
      </c>
      <c r="E1189" s="1" t="str">
        <f>"2320"</f>
        <v>2320</v>
      </c>
      <c r="F1189" s="1" t="str">
        <f>"014353084"</f>
        <v>014353084</v>
      </c>
      <c r="G1189" s="1" t="s">
        <v>1093</v>
      </c>
      <c r="H1189" s="1" t="s">
        <v>15</v>
      </c>
      <c r="I1189" s="1" t="str">
        <f>"1"</f>
        <v>1</v>
      </c>
      <c r="J1189" s="3">
        <v>84222.39</v>
      </c>
      <c r="K1189" s="4">
        <v>46025</v>
      </c>
      <c r="L1189" s="4">
        <v>46028</v>
      </c>
      <c r="M1189" s="1" t="s">
        <v>9832</v>
      </c>
      <c r="N1189" s="1" t="s">
        <v>9831</v>
      </c>
    </row>
    <row r="1190" spans="1:14" s="1" customFormat="1" x14ac:dyDescent="0.35">
      <c r="A1190" s="1" t="s">
        <v>4492</v>
      </c>
      <c r="B1190" s="1" t="s">
        <v>4247</v>
      </c>
      <c r="C1190" s="1" t="s">
        <v>4248</v>
      </c>
      <c r="D1190" s="1" t="s">
        <v>9830</v>
      </c>
      <c r="E1190" s="1" t="str">
        <f>"3805"</f>
        <v>3805</v>
      </c>
      <c r="F1190" s="1" t="s">
        <v>1020</v>
      </c>
      <c r="G1190" s="1" t="s">
        <v>1021</v>
      </c>
      <c r="H1190" s="1" t="s">
        <v>15</v>
      </c>
      <c r="I1190" s="1" t="str">
        <f>"1"</f>
        <v>1</v>
      </c>
      <c r="J1190" s="3">
        <v>22983.5</v>
      </c>
      <c r="K1190" s="4">
        <v>46028</v>
      </c>
      <c r="L1190" s="4">
        <v>46042</v>
      </c>
      <c r="M1190" s="1" t="s">
        <v>9829</v>
      </c>
      <c r="N1190" s="1" t="s">
        <v>9828</v>
      </c>
    </row>
    <row r="1191" spans="1:14" s="1" customFormat="1" x14ac:dyDescent="0.35">
      <c r="A1191" s="1" t="s">
        <v>4492</v>
      </c>
      <c r="B1191" s="1" t="s">
        <v>4247</v>
      </c>
      <c r="C1191" s="1" t="s">
        <v>4248</v>
      </c>
      <c r="D1191" s="1" t="s">
        <v>9827</v>
      </c>
      <c r="E1191" s="1" t="str">
        <f>"2330"</f>
        <v>2330</v>
      </c>
      <c r="F1191" s="1" t="s">
        <v>104</v>
      </c>
      <c r="G1191" s="1" t="s">
        <v>105</v>
      </c>
      <c r="H1191" s="1" t="s">
        <v>15</v>
      </c>
      <c r="I1191" s="1" t="str">
        <f>"1"</f>
        <v>1</v>
      </c>
      <c r="J1191" s="3" t="str">
        <f>"71943"</f>
        <v>71943</v>
      </c>
      <c r="K1191" s="4">
        <v>46029</v>
      </c>
      <c r="L1191" s="4">
        <v>46029</v>
      </c>
      <c r="M1191" s="1" t="s">
        <v>4524</v>
      </c>
      <c r="N1191" s="1" t="s">
        <v>4250</v>
      </c>
    </row>
    <row r="1192" spans="1:14" s="1" customFormat="1" x14ac:dyDescent="0.35">
      <c r="A1192" s="1" t="s">
        <v>4492</v>
      </c>
      <c r="B1192" s="1" t="s">
        <v>4247</v>
      </c>
      <c r="C1192" s="1" t="s">
        <v>4248</v>
      </c>
      <c r="D1192" s="1" t="s">
        <v>9826</v>
      </c>
      <c r="E1192" s="1" t="str">
        <f>"2320"</f>
        <v>2320</v>
      </c>
      <c r="F1192" s="1" t="str">
        <f>"013455182"</f>
        <v>013455182</v>
      </c>
      <c r="G1192" s="1" t="s">
        <v>394</v>
      </c>
      <c r="H1192" s="1" t="s">
        <v>15</v>
      </c>
      <c r="I1192" s="1" t="str">
        <f>"1"</f>
        <v>1</v>
      </c>
      <c r="J1192" s="3">
        <v>49520.89</v>
      </c>
      <c r="K1192" s="4">
        <v>46031</v>
      </c>
      <c r="L1192" s="4">
        <v>46032</v>
      </c>
      <c r="M1192" s="1" t="s">
        <v>9825</v>
      </c>
      <c r="N1192" s="1" t="s">
        <v>9824</v>
      </c>
    </row>
    <row r="1193" spans="1:14" s="1" customFormat="1" x14ac:dyDescent="0.35">
      <c r="A1193" s="1" t="s">
        <v>4492</v>
      </c>
      <c r="B1193" s="1" t="s">
        <v>4247</v>
      </c>
      <c r="C1193" s="1" t="s">
        <v>4248</v>
      </c>
      <c r="D1193" s="1" t="s">
        <v>9823</v>
      </c>
      <c r="E1193" s="1" t="str">
        <f>"2320"</f>
        <v>2320</v>
      </c>
      <c r="F1193" s="1" t="str">
        <f>"009354448"</f>
        <v>009354448</v>
      </c>
      <c r="G1193" s="1" t="s">
        <v>394</v>
      </c>
      <c r="H1193" s="1" t="s">
        <v>15</v>
      </c>
      <c r="I1193" s="1" t="str">
        <f>"1"</f>
        <v>1</v>
      </c>
      <c r="J1193" s="3" t="str">
        <f>"116776"</f>
        <v>116776</v>
      </c>
      <c r="K1193" s="4">
        <v>46032</v>
      </c>
      <c r="L1193" s="4">
        <v>46046</v>
      </c>
      <c r="M1193" s="1" t="s">
        <v>9822</v>
      </c>
      <c r="N1193" s="1" t="s">
        <v>9821</v>
      </c>
    </row>
    <row r="1194" spans="1:14" s="1" customFormat="1" x14ac:dyDescent="0.35">
      <c r="A1194" s="1" t="s">
        <v>4492</v>
      </c>
      <c r="B1194" s="1" t="s">
        <v>4247</v>
      </c>
      <c r="C1194" s="1" t="s">
        <v>4248</v>
      </c>
      <c r="D1194" s="1" t="s">
        <v>9820</v>
      </c>
      <c r="E1194" s="1" t="str">
        <f>"2320"</f>
        <v>2320</v>
      </c>
      <c r="F1194" s="1" t="str">
        <f>"015016635"</f>
        <v>015016635</v>
      </c>
      <c r="G1194" s="1" t="s">
        <v>1765</v>
      </c>
      <c r="H1194" s="1" t="s">
        <v>15</v>
      </c>
      <c r="I1194" s="1" t="str">
        <f>"1"</f>
        <v>1</v>
      </c>
      <c r="J1194" s="3" t="str">
        <f>"45602"</f>
        <v>45602</v>
      </c>
      <c r="K1194" s="4">
        <v>46032</v>
      </c>
      <c r="L1194" s="4">
        <v>46035</v>
      </c>
      <c r="M1194" s="1" t="s">
        <v>9819</v>
      </c>
      <c r="N1194" s="1" t="s">
        <v>9818</v>
      </c>
    </row>
    <row r="1195" spans="1:14" s="1" customFormat="1" x14ac:dyDescent="0.35">
      <c r="A1195" s="1" t="s">
        <v>4492</v>
      </c>
      <c r="B1195" s="1" t="s">
        <v>4247</v>
      </c>
      <c r="C1195" s="1" t="s">
        <v>4248</v>
      </c>
      <c r="D1195" s="1" t="s">
        <v>9817</v>
      </c>
      <c r="E1195" s="1" t="str">
        <f>"3805"</f>
        <v>3805</v>
      </c>
      <c r="F1195" s="1" t="s">
        <v>1020</v>
      </c>
      <c r="G1195" s="1" t="s">
        <v>1021</v>
      </c>
      <c r="H1195" s="1" t="s">
        <v>15</v>
      </c>
      <c r="I1195" s="1" t="str">
        <f>"1"</f>
        <v>1</v>
      </c>
      <c r="J1195" s="3" t="str">
        <f>"18000"</f>
        <v>18000</v>
      </c>
      <c r="K1195" s="4">
        <v>46049</v>
      </c>
      <c r="L1195" s="4">
        <v>46059</v>
      </c>
      <c r="M1195" s="1" t="s">
        <v>9816</v>
      </c>
      <c r="N1195" s="1" t="s">
        <v>9815</v>
      </c>
    </row>
    <row r="1196" spans="1:14" s="1" customFormat="1" x14ac:dyDescent="0.35">
      <c r="A1196" s="1" t="s">
        <v>4492</v>
      </c>
      <c r="B1196" s="1" t="s">
        <v>3268</v>
      </c>
      <c r="C1196" s="1" t="s">
        <v>3297</v>
      </c>
      <c r="D1196" s="1" t="s">
        <v>9814</v>
      </c>
      <c r="E1196" s="1" t="str">
        <f>"4240"</f>
        <v>4240</v>
      </c>
      <c r="F1196" s="1" t="str">
        <f>"016786131"</f>
        <v>016786131</v>
      </c>
      <c r="G1196" s="1" t="s">
        <v>1354</v>
      </c>
      <c r="H1196" s="1" t="s">
        <v>15</v>
      </c>
      <c r="I1196" s="1" t="str">
        <f>"10"</f>
        <v>10</v>
      </c>
      <c r="J1196" s="3">
        <v>79.040000000000006</v>
      </c>
      <c r="K1196" s="4">
        <v>46080</v>
      </c>
      <c r="L1196" s="4">
        <v>46082</v>
      </c>
      <c r="N1196" s="1" t="s">
        <v>9813</v>
      </c>
    </row>
    <row r="1197" spans="1:14" s="1" customFormat="1" x14ac:dyDescent="0.35">
      <c r="A1197" s="1" t="s">
        <v>4492</v>
      </c>
      <c r="B1197" s="1" t="s">
        <v>3268</v>
      </c>
      <c r="C1197" s="1" t="s">
        <v>3297</v>
      </c>
      <c r="D1197" s="1" t="s">
        <v>9812</v>
      </c>
      <c r="E1197" s="1" t="str">
        <f>"8415"</f>
        <v>8415</v>
      </c>
      <c r="F1197" s="1" t="str">
        <f>"015801362"</f>
        <v>015801362</v>
      </c>
      <c r="G1197" s="1" t="s">
        <v>761</v>
      </c>
      <c r="H1197" s="1" t="s">
        <v>15</v>
      </c>
      <c r="I1197" s="1" t="str">
        <f>"6"</f>
        <v>6</v>
      </c>
      <c r="J1197" s="3">
        <v>80.94</v>
      </c>
      <c r="K1197" s="4">
        <v>46082</v>
      </c>
      <c r="L1197" s="4">
        <v>46087</v>
      </c>
      <c r="M1197" s="1" t="s">
        <v>9811</v>
      </c>
      <c r="N1197" s="1" t="s">
        <v>9808</v>
      </c>
    </row>
    <row r="1198" spans="1:14" s="1" customFormat="1" x14ac:dyDescent="0.35">
      <c r="A1198" s="1" t="s">
        <v>4492</v>
      </c>
      <c r="B1198" s="1" t="s">
        <v>3268</v>
      </c>
      <c r="C1198" s="1" t="s">
        <v>3297</v>
      </c>
      <c r="D1198" s="1" t="s">
        <v>9810</v>
      </c>
      <c r="E1198" s="1" t="str">
        <f>"8415"</f>
        <v>8415</v>
      </c>
      <c r="F1198" s="1" t="str">
        <f>"015801355"</f>
        <v>015801355</v>
      </c>
      <c r="G1198" s="1" t="s">
        <v>761</v>
      </c>
      <c r="H1198" s="1" t="s">
        <v>15</v>
      </c>
      <c r="I1198" s="1" t="str">
        <f>"5"</f>
        <v>5</v>
      </c>
      <c r="J1198" s="3">
        <v>80.94</v>
      </c>
      <c r="K1198" s="4">
        <v>46082</v>
      </c>
      <c r="L1198" s="4">
        <v>46087</v>
      </c>
      <c r="M1198" s="1" t="s">
        <v>9809</v>
      </c>
      <c r="N1198" s="1" t="s">
        <v>9808</v>
      </c>
    </row>
    <row r="1199" spans="1:14" s="1" customFormat="1" x14ac:dyDescent="0.35">
      <c r="A1199" s="1" t="s">
        <v>4492</v>
      </c>
      <c r="B1199" s="1" t="s">
        <v>3268</v>
      </c>
      <c r="C1199" s="1" t="s">
        <v>3297</v>
      </c>
      <c r="D1199" s="1" t="s">
        <v>9807</v>
      </c>
      <c r="E1199" s="1" t="str">
        <f>"4240"</f>
        <v>4240</v>
      </c>
      <c r="F1199" s="1" t="str">
        <f>"015835742"</f>
        <v>015835742</v>
      </c>
      <c r="G1199" s="1" t="s">
        <v>1404</v>
      </c>
      <c r="H1199" s="1" t="s">
        <v>15</v>
      </c>
      <c r="I1199" s="1" t="str">
        <f>"25"</f>
        <v>25</v>
      </c>
      <c r="J1199" s="3">
        <v>63.41</v>
      </c>
      <c r="K1199" s="4">
        <v>46080</v>
      </c>
      <c r="L1199" s="4">
        <v>46087</v>
      </c>
      <c r="M1199" s="1" t="s">
        <v>9806</v>
      </c>
      <c r="N1199" s="1" t="s">
        <v>9805</v>
      </c>
    </row>
    <row r="1200" spans="1:14" s="1" customFormat="1" x14ac:dyDescent="0.35">
      <c r="A1200" s="1" t="s">
        <v>4492</v>
      </c>
      <c r="B1200" s="1" t="s">
        <v>3268</v>
      </c>
      <c r="C1200" s="1" t="s">
        <v>3297</v>
      </c>
      <c r="D1200" s="1" t="s">
        <v>9804</v>
      </c>
      <c r="E1200" s="1" t="str">
        <f>"5410"</f>
        <v>5410</v>
      </c>
      <c r="F1200" s="1" t="str">
        <f>"014518080"</f>
        <v>014518080</v>
      </c>
      <c r="G1200" s="1" t="s">
        <v>1892</v>
      </c>
      <c r="H1200" s="1" t="s">
        <v>15</v>
      </c>
      <c r="I1200" s="1" t="str">
        <f>"1"</f>
        <v>1</v>
      </c>
      <c r="J1200" s="3">
        <v>112715.04</v>
      </c>
      <c r="K1200" s="4">
        <v>46080</v>
      </c>
      <c r="L1200" s="4">
        <v>46088</v>
      </c>
      <c r="M1200" s="1" t="s">
        <v>9803</v>
      </c>
      <c r="N1200" s="1" t="s">
        <v>9802</v>
      </c>
    </row>
    <row r="1201" spans="1:14" s="1" customFormat="1" x14ac:dyDescent="0.35">
      <c r="A1201" s="1" t="s">
        <v>4492</v>
      </c>
      <c r="B1201" s="1" t="s">
        <v>3268</v>
      </c>
      <c r="C1201" s="1" t="s">
        <v>3297</v>
      </c>
      <c r="D1201" s="1" t="s">
        <v>9801</v>
      </c>
      <c r="E1201" s="1" t="str">
        <f>"4240"</f>
        <v>4240</v>
      </c>
      <c r="F1201" s="1" t="str">
        <f>"016308327"</f>
        <v>016308327</v>
      </c>
      <c r="G1201" s="1" t="s">
        <v>1404</v>
      </c>
      <c r="H1201" s="1" t="s">
        <v>15</v>
      </c>
      <c r="I1201" s="1" t="str">
        <f>"25"</f>
        <v>25</v>
      </c>
      <c r="J1201" s="3">
        <v>48.01</v>
      </c>
      <c r="K1201" s="4">
        <v>46080</v>
      </c>
      <c r="L1201" s="4">
        <v>46087</v>
      </c>
      <c r="M1201" s="1" t="s">
        <v>9800</v>
      </c>
      <c r="N1201" s="1" t="s">
        <v>9799</v>
      </c>
    </row>
    <row r="1202" spans="1:14" s="1" customFormat="1" x14ac:dyDescent="0.35">
      <c r="A1202" s="1" t="s">
        <v>4492</v>
      </c>
      <c r="B1202" s="1" t="s">
        <v>1176</v>
      </c>
      <c r="C1202" s="1" t="s">
        <v>9798</v>
      </c>
      <c r="D1202" s="1" t="s">
        <v>9797</v>
      </c>
      <c r="E1202" s="1" t="str">
        <f>"7021"</f>
        <v>7021</v>
      </c>
      <c r="F1202" s="1" t="s">
        <v>1173</v>
      </c>
      <c r="G1202" s="1" t="s">
        <v>1174</v>
      </c>
      <c r="H1202" s="1" t="s">
        <v>15</v>
      </c>
      <c r="I1202" s="1" t="str">
        <f>"4"</f>
        <v>4</v>
      </c>
      <c r="J1202" s="3">
        <v>2514.66</v>
      </c>
      <c r="K1202" s="4">
        <v>46080</v>
      </c>
      <c r="L1202" s="4">
        <v>46103</v>
      </c>
      <c r="M1202" s="1" t="s">
        <v>9796</v>
      </c>
      <c r="N1202" s="1" t="s">
        <v>9795</v>
      </c>
    </row>
    <row r="1203" spans="1:14" s="1" customFormat="1" x14ac:dyDescent="0.35">
      <c r="A1203" s="1" t="s">
        <v>4492</v>
      </c>
      <c r="B1203" s="1" t="s">
        <v>9220</v>
      </c>
      <c r="C1203" s="1" t="s">
        <v>9794</v>
      </c>
      <c r="D1203" s="1" t="s">
        <v>9793</v>
      </c>
      <c r="E1203" s="1" t="str">
        <f>"5855"</f>
        <v>5855</v>
      </c>
      <c r="F1203" s="1" t="str">
        <f>"015345931"</f>
        <v>015345931</v>
      </c>
      <c r="G1203" s="1" t="s">
        <v>742</v>
      </c>
      <c r="H1203" s="1" t="s">
        <v>15</v>
      </c>
      <c r="I1203" s="1" t="str">
        <f>"1"</f>
        <v>1</v>
      </c>
      <c r="J1203" s="3" t="str">
        <f>"970"</f>
        <v>970</v>
      </c>
      <c r="K1203" s="4">
        <v>46044</v>
      </c>
      <c r="L1203" s="4">
        <v>46047</v>
      </c>
      <c r="M1203" s="1" t="s">
        <v>4524</v>
      </c>
      <c r="N1203" s="1" t="s">
        <v>9792</v>
      </c>
    </row>
    <row r="1204" spans="1:14" s="1" customFormat="1" x14ac:dyDescent="0.35">
      <c r="A1204" s="1" t="s">
        <v>4492</v>
      </c>
      <c r="B1204" s="1" t="s">
        <v>2196</v>
      </c>
      <c r="C1204" s="1" t="s">
        <v>9785</v>
      </c>
      <c r="D1204" s="1" t="s">
        <v>9791</v>
      </c>
      <c r="E1204" s="1" t="str">
        <f>"5855"</f>
        <v>5855</v>
      </c>
      <c r="F1204" s="1" t="str">
        <f>"015345931"</f>
        <v>015345931</v>
      </c>
      <c r="G1204" s="1" t="s">
        <v>742</v>
      </c>
      <c r="H1204" s="1" t="s">
        <v>15</v>
      </c>
      <c r="I1204" s="1" t="str">
        <f>"18"</f>
        <v>18</v>
      </c>
      <c r="J1204" s="3" t="str">
        <f>"970"</f>
        <v>970</v>
      </c>
      <c r="K1204" s="4">
        <v>46083</v>
      </c>
      <c r="L1204" s="4">
        <v>46087</v>
      </c>
      <c r="M1204" s="1" t="s">
        <v>4524</v>
      </c>
      <c r="N1204" s="1" t="s">
        <v>9790</v>
      </c>
    </row>
    <row r="1205" spans="1:14" s="1" customFormat="1" x14ac:dyDescent="0.35">
      <c r="A1205" s="1" t="s">
        <v>4492</v>
      </c>
      <c r="B1205" s="1" t="s">
        <v>2196</v>
      </c>
      <c r="C1205" s="1" t="s">
        <v>9785</v>
      </c>
      <c r="D1205" s="1" t="s">
        <v>9789</v>
      </c>
      <c r="E1205" s="1" t="str">
        <f>"1240"</f>
        <v>1240</v>
      </c>
      <c r="F1205" s="1" t="s">
        <v>1364</v>
      </c>
      <c r="G1205" s="1" t="s">
        <v>1365</v>
      </c>
      <c r="H1205" s="1" t="s">
        <v>15</v>
      </c>
      <c r="I1205" s="1" t="str">
        <f>"2"</f>
        <v>2</v>
      </c>
      <c r="J1205" s="3" t="str">
        <f>"150"</f>
        <v>150</v>
      </c>
      <c r="K1205" s="4">
        <v>46084</v>
      </c>
      <c r="L1205" s="4">
        <v>46087</v>
      </c>
      <c r="M1205" s="1" t="s">
        <v>4524</v>
      </c>
      <c r="N1205" s="1" t="s">
        <v>9788</v>
      </c>
    </row>
    <row r="1206" spans="1:14" s="1" customFormat="1" x14ac:dyDescent="0.35">
      <c r="A1206" s="1" t="s">
        <v>4492</v>
      </c>
      <c r="B1206" s="1" t="s">
        <v>2196</v>
      </c>
      <c r="C1206" s="1" t="s">
        <v>9785</v>
      </c>
      <c r="D1206" s="1" t="s">
        <v>9787</v>
      </c>
      <c r="E1206" s="1" t="str">
        <f>"5855"</f>
        <v>5855</v>
      </c>
      <c r="F1206" s="1" t="str">
        <f>"016002918"</f>
        <v>016002918</v>
      </c>
      <c r="G1206" s="1" t="s">
        <v>5814</v>
      </c>
      <c r="H1206" s="1" t="s">
        <v>15</v>
      </c>
      <c r="I1206" s="1" t="str">
        <f>"1"</f>
        <v>1</v>
      </c>
      <c r="J1206" s="3" t="str">
        <f>"27000"</f>
        <v>27000</v>
      </c>
      <c r="K1206" s="4">
        <v>46084</v>
      </c>
      <c r="L1206" s="4">
        <v>46087</v>
      </c>
      <c r="M1206" s="1" t="s">
        <v>4524</v>
      </c>
      <c r="N1206" s="1" t="s">
        <v>9786</v>
      </c>
    </row>
    <row r="1207" spans="1:14" s="1" customFormat="1" x14ac:dyDescent="0.35">
      <c r="A1207" s="1" t="s">
        <v>4492</v>
      </c>
      <c r="B1207" s="1" t="s">
        <v>2196</v>
      </c>
      <c r="C1207" s="1" t="s">
        <v>9785</v>
      </c>
      <c r="D1207" s="1" t="s">
        <v>9784</v>
      </c>
      <c r="E1207" s="1" t="str">
        <f>"2360"</f>
        <v>2360</v>
      </c>
      <c r="F1207" s="1" t="str">
        <f>"016631082"</f>
        <v>016631082</v>
      </c>
      <c r="G1207" s="1" t="s">
        <v>1275</v>
      </c>
      <c r="H1207" s="1" t="s">
        <v>15</v>
      </c>
      <c r="I1207" s="1" t="str">
        <f>"1"</f>
        <v>1</v>
      </c>
      <c r="J1207" s="3" t="str">
        <f>"77060"</f>
        <v>77060</v>
      </c>
      <c r="K1207" s="4">
        <v>46084</v>
      </c>
      <c r="L1207" s="4">
        <v>46086</v>
      </c>
      <c r="M1207" s="1" t="s">
        <v>4524</v>
      </c>
      <c r="N1207" s="1" t="s">
        <v>9783</v>
      </c>
    </row>
    <row r="1208" spans="1:14" s="1" customFormat="1" x14ac:dyDescent="0.35">
      <c r="A1208" s="1" t="s">
        <v>4492</v>
      </c>
      <c r="B1208" s="1" t="s">
        <v>4456</v>
      </c>
      <c r="C1208" s="1" t="s">
        <v>4474</v>
      </c>
      <c r="D1208" s="1" t="s">
        <v>9782</v>
      </c>
      <c r="E1208" s="1" t="str">
        <f>"5855"</f>
        <v>5855</v>
      </c>
      <c r="F1208" s="1" t="str">
        <f>"015777174"</f>
        <v>015777174</v>
      </c>
      <c r="G1208" s="1" t="s">
        <v>952</v>
      </c>
      <c r="H1208" s="1" t="s">
        <v>15</v>
      </c>
      <c r="I1208" s="1" t="str">
        <f>"25"</f>
        <v>25</v>
      </c>
      <c r="J1208" s="3" t="str">
        <f>"1791"</f>
        <v>1791</v>
      </c>
      <c r="K1208" s="4">
        <v>46021</v>
      </c>
      <c r="L1208" s="4">
        <v>46033</v>
      </c>
      <c r="M1208" s="1" t="s">
        <v>4524</v>
      </c>
      <c r="N1208" s="1" t="s">
        <v>9781</v>
      </c>
    </row>
    <row r="1209" spans="1:14" s="1" customFormat="1" x14ac:dyDescent="0.35">
      <c r="A1209" s="1" t="s">
        <v>4492</v>
      </c>
      <c r="B1209" s="1" t="s">
        <v>1791</v>
      </c>
      <c r="C1209" s="1" t="s">
        <v>9775</v>
      </c>
      <c r="D1209" s="1" t="s">
        <v>9780</v>
      </c>
      <c r="E1209" s="1" t="str">
        <f>"6760"</f>
        <v>6760</v>
      </c>
      <c r="F1209" s="1" t="str">
        <f>"015800482"</f>
        <v>015800482</v>
      </c>
      <c r="G1209" s="1" t="s">
        <v>2042</v>
      </c>
      <c r="H1209" s="1" t="s">
        <v>15</v>
      </c>
      <c r="I1209" s="1" t="str">
        <f>"1"</f>
        <v>1</v>
      </c>
      <c r="J1209" s="3">
        <v>2416.13</v>
      </c>
      <c r="K1209" s="4">
        <v>46044</v>
      </c>
      <c r="L1209" s="4">
        <v>46046</v>
      </c>
      <c r="M1209" s="1" t="s">
        <v>4524</v>
      </c>
      <c r="N1209" s="1" t="s">
        <v>9779</v>
      </c>
    </row>
    <row r="1210" spans="1:14" s="1" customFormat="1" x14ac:dyDescent="0.35">
      <c r="A1210" s="1" t="s">
        <v>4492</v>
      </c>
      <c r="B1210" s="1" t="s">
        <v>1791</v>
      </c>
      <c r="C1210" s="1" t="s">
        <v>9775</v>
      </c>
      <c r="D1210" s="1" t="s">
        <v>9778</v>
      </c>
      <c r="E1210" s="1" t="str">
        <f>"5855"</f>
        <v>5855</v>
      </c>
      <c r="F1210" s="1" t="str">
        <f>"015485687"</f>
        <v>015485687</v>
      </c>
      <c r="G1210" s="1" t="s">
        <v>798</v>
      </c>
      <c r="H1210" s="1" t="s">
        <v>15</v>
      </c>
      <c r="I1210" s="1" t="str">
        <f>"15"</f>
        <v>15</v>
      </c>
      <c r="J1210" s="3" t="str">
        <f>"10402"</f>
        <v>10402</v>
      </c>
      <c r="K1210" s="4">
        <v>46044</v>
      </c>
      <c r="L1210" s="4">
        <v>46055</v>
      </c>
      <c r="M1210" s="1" t="s">
        <v>9777</v>
      </c>
      <c r="N1210" s="1" t="s">
        <v>9776</v>
      </c>
    </row>
    <row r="1211" spans="1:14" s="1" customFormat="1" x14ac:dyDescent="0.35">
      <c r="A1211" s="1" t="s">
        <v>4492</v>
      </c>
      <c r="B1211" s="1" t="s">
        <v>1791</v>
      </c>
      <c r="C1211" s="1" t="s">
        <v>9775</v>
      </c>
      <c r="D1211" s="1" t="s">
        <v>9774</v>
      </c>
      <c r="E1211" s="1" t="str">
        <f>"5855"</f>
        <v>5855</v>
      </c>
      <c r="F1211" s="1" t="str">
        <f>"015847217"</f>
        <v>015847217</v>
      </c>
      <c r="G1211" s="1" t="s">
        <v>614</v>
      </c>
      <c r="H1211" s="1" t="s">
        <v>15</v>
      </c>
      <c r="I1211" s="1" t="str">
        <f>"5"</f>
        <v>5</v>
      </c>
      <c r="J1211" s="3" t="str">
        <f>"34084"</f>
        <v>34084</v>
      </c>
      <c r="K1211" s="4">
        <v>46100</v>
      </c>
      <c r="L1211" s="4">
        <v>46105</v>
      </c>
      <c r="M1211" s="1" t="s">
        <v>4524</v>
      </c>
      <c r="N1211" s="1" t="s">
        <v>9773</v>
      </c>
    </row>
    <row r="1212" spans="1:14" s="1" customFormat="1" x14ac:dyDescent="0.35">
      <c r="A1212" s="1" t="s">
        <v>4492</v>
      </c>
      <c r="B1212" s="1" t="s">
        <v>1176</v>
      </c>
      <c r="C1212" s="1" t="s">
        <v>9770</v>
      </c>
      <c r="D1212" s="1" t="s">
        <v>9772</v>
      </c>
      <c r="E1212" s="1" t="str">
        <f>"5855"</f>
        <v>5855</v>
      </c>
      <c r="F1212" s="1" t="str">
        <f>"016800712"</f>
        <v>016800712</v>
      </c>
      <c r="G1212" s="1" t="s">
        <v>5381</v>
      </c>
      <c r="H1212" s="1" t="s">
        <v>15</v>
      </c>
      <c r="I1212" s="1" t="str">
        <f>"41"</f>
        <v>41</v>
      </c>
      <c r="J1212" s="3" t="str">
        <f>"3000"</f>
        <v>3000</v>
      </c>
      <c r="K1212" s="4">
        <v>46033</v>
      </c>
      <c r="L1212" s="4">
        <v>46047</v>
      </c>
      <c r="M1212" s="1" t="s">
        <v>4524</v>
      </c>
      <c r="N1212" s="1" t="s">
        <v>9768</v>
      </c>
    </row>
    <row r="1213" spans="1:14" s="1" customFormat="1" x14ac:dyDescent="0.35">
      <c r="A1213" s="1" t="s">
        <v>4492</v>
      </c>
      <c r="B1213" s="1" t="s">
        <v>1176</v>
      </c>
      <c r="C1213" s="1" t="s">
        <v>9770</v>
      </c>
      <c r="D1213" s="1" t="s">
        <v>9771</v>
      </c>
      <c r="E1213" s="1" t="str">
        <f>"5855"</f>
        <v>5855</v>
      </c>
      <c r="F1213" s="1" t="str">
        <f>"016800712"</f>
        <v>016800712</v>
      </c>
      <c r="G1213" s="1" t="s">
        <v>5381</v>
      </c>
      <c r="H1213" s="1" t="s">
        <v>15</v>
      </c>
      <c r="I1213" s="1" t="str">
        <f>"33"</f>
        <v>33</v>
      </c>
      <c r="J1213" s="3" t="str">
        <f>"3000"</f>
        <v>3000</v>
      </c>
      <c r="K1213" s="4">
        <v>46033</v>
      </c>
      <c r="L1213" s="4">
        <v>46047</v>
      </c>
      <c r="M1213" s="1" t="s">
        <v>4524</v>
      </c>
      <c r="N1213" s="1" t="s">
        <v>9768</v>
      </c>
    </row>
    <row r="1214" spans="1:14" s="1" customFormat="1" x14ac:dyDescent="0.35">
      <c r="A1214" s="1" t="s">
        <v>4492</v>
      </c>
      <c r="B1214" s="1" t="s">
        <v>1176</v>
      </c>
      <c r="C1214" s="1" t="s">
        <v>9770</v>
      </c>
      <c r="D1214" s="1" t="s">
        <v>9769</v>
      </c>
      <c r="E1214" s="1" t="str">
        <f>"1240"</f>
        <v>1240</v>
      </c>
      <c r="F1214" s="1" t="str">
        <f>"016196561"</f>
        <v>016196561</v>
      </c>
      <c r="G1214" s="1" t="s">
        <v>5824</v>
      </c>
      <c r="H1214" s="1" t="s">
        <v>15</v>
      </c>
      <c r="I1214" s="1" t="str">
        <f>"1"</f>
        <v>1</v>
      </c>
      <c r="J1214" s="3" t="str">
        <f>"2469"</f>
        <v>2469</v>
      </c>
      <c r="K1214" s="4">
        <v>46033</v>
      </c>
      <c r="L1214" s="4">
        <v>46035</v>
      </c>
      <c r="M1214" s="1" t="s">
        <v>4524</v>
      </c>
      <c r="N1214" s="1" t="s">
        <v>9768</v>
      </c>
    </row>
    <row r="1215" spans="1:14" s="1" customFormat="1" x14ac:dyDescent="0.35">
      <c r="A1215" s="1" t="s">
        <v>4492</v>
      </c>
      <c r="B1215" s="1" t="s">
        <v>2368</v>
      </c>
      <c r="C1215" s="1" t="s">
        <v>9767</v>
      </c>
      <c r="D1215" s="1" t="s">
        <v>9766</v>
      </c>
      <c r="E1215" s="1" t="str">
        <f>"6650"</f>
        <v>6650</v>
      </c>
      <c r="F1215" s="1" t="s">
        <v>6377</v>
      </c>
      <c r="G1215" s="1" t="s">
        <v>6376</v>
      </c>
      <c r="H1215" s="1" t="s">
        <v>15</v>
      </c>
      <c r="I1215" s="1" t="str">
        <f>"1"</f>
        <v>1</v>
      </c>
      <c r="J1215" s="3" t="str">
        <f>"500"</f>
        <v>500</v>
      </c>
      <c r="K1215" s="4">
        <v>46104</v>
      </c>
      <c r="L1215" s="4">
        <v>46105</v>
      </c>
      <c r="M1215" s="1" t="s">
        <v>4524</v>
      </c>
      <c r="N1215" s="1" t="s">
        <v>9765</v>
      </c>
    </row>
    <row r="1216" spans="1:14" s="1" customFormat="1" x14ac:dyDescent="0.35">
      <c r="A1216" s="1" t="s">
        <v>4492</v>
      </c>
      <c r="B1216" s="1" t="s">
        <v>2368</v>
      </c>
      <c r="C1216" s="1" t="s">
        <v>2420</v>
      </c>
      <c r="D1216" s="1" t="s">
        <v>9764</v>
      </c>
      <c r="E1216" s="1" t="str">
        <f>"8415"</f>
        <v>8415</v>
      </c>
      <c r="F1216" s="1" t="str">
        <f>"015272767"</f>
        <v>015272767</v>
      </c>
      <c r="G1216" s="1" t="s">
        <v>1983</v>
      </c>
      <c r="H1216" s="1" t="s">
        <v>47</v>
      </c>
      <c r="I1216" s="1" t="str">
        <f>"1"</f>
        <v>1</v>
      </c>
      <c r="J1216" s="3">
        <v>41.07</v>
      </c>
      <c r="K1216" s="4">
        <v>46008</v>
      </c>
      <c r="L1216" s="4">
        <v>46046</v>
      </c>
      <c r="M1216" s="1" t="s">
        <v>4524</v>
      </c>
      <c r="N1216" s="1" t="s">
        <v>9763</v>
      </c>
    </row>
    <row r="1217" spans="1:14" s="1" customFormat="1" x14ac:dyDescent="0.35">
      <c r="A1217" s="1" t="s">
        <v>4492</v>
      </c>
      <c r="B1217" s="1" t="s">
        <v>2368</v>
      </c>
      <c r="C1217" s="1" t="s">
        <v>2420</v>
      </c>
      <c r="D1217" s="1" t="s">
        <v>9762</v>
      </c>
      <c r="E1217" s="1" t="str">
        <f>"8465"</f>
        <v>8465</v>
      </c>
      <c r="F1217" s="1" t="str">
        <f>"016416353"</f>
        <v>016416353</v>
      </c>
      <c r="G1217" s="1" t="s">
        <v>2518</v>
      </c>
      <c r="H1217" s="1" t="s">
        <v>257</v>
      </c>
      <c r="I1217" s="1" t="str">
        <f>"1"</f>
        <v>1</v>
      </c>
      <c r="J1217" s="3">
        <v>236.32</v>
      </c>
      <c r="K1217" s="4">
        <v>46008</v>
      </c>
      <c r="L1217" s="4">
        <v>46046</v>
      </c>
      <c r="M1217" s="1" t="s">
        <v>4524</v>
      </c>
      <c r="N1217" s="1" t="s">
        <v>9761</v>
      </c>
    </row>
    <row r="1218" spans="1:14" s="1" customFormat="1" x14ac:dyDescent="0.35">
      <c r="A1218" s="1" t="s">
        <v>4492</v>
      </c>
      <c r="B1218" s="1" t="s">
        <v>2368</v>
      </c>
      <c r="C1218" s="1" t="s">
        <v>2420</v>
      </c>
      <c r="D1218" s="1" t="s">
        <v>9760</v>
      </c>
      <c r="E1218" s="1" t="str">
        <f>"8415"</f>
        <v>8415</v>
      </c>
      <c r="F1218" s="1" t="str">
        <f>"014618337"</f>
        <v>014618337</v>
      </c>
      <c r="G1218" s="1" t="s">
        <v>822</v>
      </c>
      <c r="H1218" s="1" t="s">
        <v>15</v>
      </c>
      <c r="I1218" s="1" t="str">
        <f>"2"</f>
        <v>2</v>
      </c>
      <c r="J1218" s="3">
        <v>58.54</v>
      </c>
      <c r="K1218" s="4">
        <v>46008</v>
      </c>
      <c r="L1218" s="4">
        <v>46046</v>
      </c>
      <c r="M1218" s="1" t="s">
        <v>4524</v>
      </c>
      <c r="N1218" s="1" t="s">
        <v>9759</v>
      </c>
    </row>
    <row r="1219" spans="1:14" s="1" customFormat="1" x14ac:dyDescent="0.35">
      <c r="A1219" s="1" t="s">
        <v>4492</v>
      </c>
      <c r="B1219" s="1" t="s">
        <v>2368</v>
      </c>
      <c r="C1219" s="1" t="s">
        <v>2420</v>
      </c>
      <c r="D1219" s="1" t="s">
        <v>9758</v>
      </c>
      <c r="E1219" s="1" t="str">
        <f>"5855"</f>
        <v>5855</v>
      </c>
      <c r="F1219" s="1" t="str">
        <f>"015345931"</f>
        <v>015345931</v>
      </c>
      <c r="G1219" s="1" t="s">
        <v>742</v>
      </c>
      <c r="H1219" s="1" t="s">
        <v>15</v>
      </c>
      <c r="I1219" s="1" t="str">
        <f>"1"</f>
        <v>1</v>
      </c>
      <c r="J1219" s="3" t="str">
        <f>"970"</f>
        <v>970</v>
      </c>
      <c r="K1219" s="4">
        <v>46027</v>
      </c>
      <c r="L1219" s="4">
        <v>46040</v>
      </c>
      <c r="M1219" s="1" t="s">
        <v>4524</v>
      </c>
      <c r="N1219" s="1" t="s">
        <v>9757</v>
      </c>
    </row>
    <row r="1220" spans="1:14" s="1" customFormat="1" x14ac:dyDescent="0.35">
      <c r="A1220" s="1" t="s">
        <v>4492</v>
      </c>
      <c r="B1220" s="1" t="s">
        <v>2368</v>
      </c>
      <c r="C1220" s="1" t="s">
        <v>2420</v>
      </c>
      <c r="D1220" s="1" t="s">
        <v>9756</v>
      </c>
      <c r="E1220" s="1" t="str">
        <f>"8415"</f>
        <v>8415</v>
      </c>
      <c r="F1220" s="1" t="s">
        <v>2375</v>
      </c>
      <c r="G1220" s="1" t="s">
        <v>2376</v>
      </c>
      <c r="H1220" s="1" t="s">
        <v>15</v>
      </c>
      <c r="I1220" s="1" t="str">
        <f>"1"</f>
        <v>1</v>
      </c>
      <c r="J1220" s="3">
        <v>166.71</v>
      </c>
      <c r="K1220" s="4">
        <v>46027</v>
      </c>
      <c r="L1220" s="4">
        <v>46037</v>
      </c>
      <c r="M1220" s="1" t="s">
        <v>4524</v>
      </c>
      <c r="N1220" s="1" t="s">
        <v>9755</v>
      </c>
    </row>
    <row r="1221" spans="1:14" s="1" customFormat="1" x14ac:dyDescent="0.35">
      <c r="A1221" s="1" t="s">
        <v>4492</v>
      </c>
      <c r="B1221" s="1" t="s">
        <v>2368</v>
      </c>
      <c r="C1221" s="1" t="s">
        <v>2420</v>
      </c>
      <c r="D1221" s="1" t="s">
        <v>9754</v>
      </c>
      <c r="E1221" s="1" t="str">
        <f>"1240"</f>
        <v>1240</v>
      </c>
      <c r="F1221" s="1" t="str">
        <f>"016642786"</f>
        <v>016642786</v>
      </c>
      <c r="G1221" s="1" t="s">
        <v>4579</v>
      </c>
      <c r="H1221" s="1" t="s">
        <v>15</v>
      </c>
      <c r="I1221" s="1" t="str">
        <f>"3"</f>
        <v>3</v>
      </c>
      <c r="J1221" s="3">
        <v>7156.33</v>
      </c>
      <c r="K1221" s="4">
        <v>46027</v>
      </c>
      <c r="L1221" s="4">
        <v>46036</v>
      </c>
      <c r="M1221" s="1" t="s">
        <v>4524</v>
      </c>
      <c r="N1221" s="1" t="s">
        <v>9753</v>
      </c>
    </row>
    <row r="1222" spans="1:14" s="1" customFormat="1" x14ac:dyDescent="0.35">
      <c r="A1222" s="1" t="s">
        <v>4492</v>
      </c>
      <c r="B1222" s="1" t="s">
        <v>2368</v>
      </c>
      <c r="C1222" s="1" t="s">
        <v>2420</v>
      </c>
      <c r="D1222" s="1" t="s">
        <v>9752</v>
      </c>
      <c r="E1222" s="1" t="str">
        <f>"5855"</f>
        <v>5855</v>
      </c>
      <c r="F1222" s="1" t="s">
        <v>985</v>
      </c>
      <c r="G1222" s="1" t="s">
        <v>986</v>
      </c>
      <c r="H1222" s="1" t="s">
        <v>15</v>
      </c>
      <c r="I1222" s="1" t="str">
        <f>"1"</f>
        <v>1</v>
      </c>
      <c r="J1222" s="3">
        <v>1012.7</v>
      </c>
      <c r="K1222" s="4">
        <v>46027</v>
      </c>
      <c r="L1222" s="4">
        <v>46040</v>
      </c>
      <c r="M1222" s="1" t="s">
        <v>4524</v>
      </c>
      <c r="N1222" s="1" t="s">
        <v>9750</v>
      </c>
    </row>
    <row r="1223" spans="1:14" s="1" customFormat="1" x14ac:dyDescent="0.35">
      <c r="A1223" s="1" t="s">
        <v>4492</v>
      </c>
      <c r="B1223" s="1" t="s">
        <v>2368</v>
      </c>
      <c r="C1223" s="1" t="s">
        <v>2420</v>
      </c>
      <c r="D1223" s="1" t="s">
        <v>9751</v>
      </c>
      <c r="E1223" s="1" t="str">
        <f>"5855"</f>
        <v>5855</v>
      </c>
      <c r="F1223" s="1" t="s">
        <v>985</v>
      </c>
      <c r="G1223" s="1" t="s">
        <v>986</v>
      </c>
      <c r="H1223" s="1" t="s">
        <v>15</v>
      </c>
      <c r="I1223" s="1" t="str">
        <f>"1"</f>
        <v>1</v>
      </c>
      <c r="J1223" s="3">
        <v>1012.7</v>
      </c>
      <c r="K1223" s="4">
        <v>46027</v>
      </c>
      <c r="L1223" s="4">
        <v>46040</v>
      </c>
      <c r="M1223" s="1" t="s">
        <v>4524</v>
      </c>
      <c r="N1223" s="1" t="s">
        <v>9750</v>
      </c>
    </row>
    <row r="1224" spans="1:14" s="1" customFormat="1" x14ac:dyDescent="0.35">
      <c r="A1224" s="1" t="s">
        <v>4492</v>
      </c>
      <c r="B1224" s="1" t="s">
        <v>2368</v>
      </c>
      <c r="C1224" s="1" t="s">
        <v>2420</v>
      </c>
      <c r="D1224" s="1" t="s">
        <v>9749</v>
      </c>
      <c r="E1224" s="1" t="str">
        <f>"8415"</f>
        <v>8415</v>
      </c>
      <c r="F1224" s="1" t="s">
        <v>2375</v>
      </c>
      <c r="G1224" s="1" t="s">
        <v>2376</v>
      </c>
      <c r="H1224" s="1" t="s">
        <v>15</v>
      </c>
      <c r="I1224" s="1" t="str">
        <f>"1"</f>
        <v>1</v>
      </c>
      <c r="J1224" s="3">
        <v>166.71</v>
      </c>
      <c r="K1224" s="4">
        <v>46027</v>
      </c>
      <c r="L1224" s="4">
        <v>46044</v>
      </c>
      <c r="M1224" s="1" t="s">
        <v>4524</v>
      </c>
      <c r="N1224" s="1" t="s">
        <v>9748</v>
      </c>
    </row>
    <row r="1225" spans="1:14" s="1" customFormat="1" x14ac:dyDescent="0.35">
      <c r="A1225" s="1" t="s">
        <v>4492</v>
      </c>
      <c r="B1225" s="1" t="s">
        <v>2368</v>
      </c>
      <c r="C1225" s="1" t="s">
        <v>2420</v>
      </c>
      <c r="D1225" s="1" t="s">
        <v>9747</v>
      </c>
      <c r="E1225" s="1" t="str">
        <f>"5855"</f>
        <v>5855</v>
      </c>
      <c r="F1225" s="1" t="str">
        <f>"015026414"</f>
        <v>015026414</v>
      </c>
      <c r="G1225" s="1" t="s">
        <v>952</v>
      </c>
      <c r="H1225" s="1" t="s">
        <v>15</v>
      </c>
      <c r="I1225" s="1" t="str">
        <f>"6"</f>
        <v>6</v>
      </c>
      <c r="J1225" s="3">
        <v>8857.7999999999993</v>
      </c>
      <c r="K1225" s="4">
        <v>46049</v>
      </c>
      <c r="L1225" s="4">
        <v>46055</v>
      </c>
      <c r="M1225" s="1" t="s">
        <v>4524</v>
      </c>
      <c r="N1225" s="1" t="s">
        <v>9746</v>
      </c>
    </row>
    <row r="1226" spans="1:14" s="1" customFormat="1" x14ac:dyDescent="0.35">
      <c r="A1226" s="1" t="s">
        <v>4492</v>
      </c>
      <c r="B1226" s="1" t="s">
        <v>2368</v>
      </c>
      <c r="C1226" s="1" t="s">
        <v>2420</v>
      </c>
      <c r="D1226" s="1" t="s">
        <v>9745</v>
      </c>
      <c r="E1226" s="1" t="str">
        <f>"5855"</f>
        <v>5855</v>
      </c>
      <c r="F1226" s="1" t="str">
        <f>"015026414"</f>
        <v>015026414</v>
      </c>
      <c r="G1226" s="1" t="s">
        <v>952</v>
      </c>
      <c r="H1226" s="1" t="s">
        <v>15</v>
      </c>
      <c r="I1226" s="1" t="str">
        <f>"7"</f>
        <v>7</v>
      </c>
      <c r="J1226" s="3">
        <v>8857.7999999999993</v>
      </c>
      <c r="K1226" s="4">
        <v>46049</v>
      </c>
      <c r="L1226" s="4">
        <v>46055</v>
      </c>
      <c r="M1226" s="1" t="s">
        <v>4524</v>
      </c>
      <c r="N1226" s="1" t="s">
        <v>9744</v>
      </c>
    </row>
    <row r="1227" spans="1:14" s="1" customFormat="1" x14ac:dyDescent="0.35">
      <c r="A1227" s="1" t="s">
        <v>4492</v>
      </c>
      <c r="B1227" s="1" t="s">
        <v>2368</v>
      </c>
      <c r="C1227" s="1" t="s">
        <v>2420</v>
      </c>
      <c r="D1227" s="1" t="s">
        <v>9743</v>
      </c>
      <c r="E1227" s="1" t="str">
        <f>"8465"</f>
        <v>8465</v>
      </c>
      <c r="F1227" s="1" t="str">
        <f>"016207978"</f>
        <v>016207978</v>
      </c>
      <c r="G1227" s="1" t="s">
        <v>7637</v>
      </c>
      <c r="H1227" s="1" t="s">
        <v>168</v>
      </c>
      <c r="I1227" s="1" t="str">
        <f>"1"</f>
        <v>1</v>
      </c>
      <c r="J1227" s="3">
        <v>983.95</v>
      </c>
      <c r="K1227" s="4">
        <v>46049</v>
      </c>
      <c r="L1227" s="4">
        <v>46051</v>
      </c>
      <c r="M1227" s="1" t="s">
        <v>4524</v>
      </c>
      <c r="N1227" s="1" t="s">
        <v>9742</v>
      </c>
    </row>
    <row r="1228" spans="1:14" s="1" customFormat="1" x14ac:dyDescent="0.35">
      <c r="A1228" s="1" t="s">
        <v>4492</v>
      </c>
      <c r="B1228" s="1" t="s">
        <v>2368</v>
      </c>
      <c r="C1228" s="1" t="s">
        <v>2420</v>
      </c>
      <c r="D1228" s="1" t="s">
        <v>9741</v>
      </c>
      <c r="E1228" s="1" t="str">
        <f>"5855"</f>
        <v>5855</v>
      </c>
      <c r="F1228" s="1" t="str">
        <f>"015937377"</f>
        <v>015937377</v>
      </c>
      <c r="G1228" s="1" t="s">
        <v>1357</v>
      </c>
      <c r="H1228" s="1" t="s">
        <v>15</v>
      </c>
      <c r="I1228" s="1" t="str">
        <f>"20"</f>
        <v>20</v>
      </c>
      <c r="J1228" s="3">
        <v>82.8</v>
      </c>
      <c r="K1228" s="4">
        <v>46058</v>
      </c>
      <c r="L1228" s="4">
        <v>46064</v>
      </c>
      <c r="M1228" s="1" t="s">
        <v>4524</v>
      </c>
      <c r="N1228" s="1" t="s">
        <v>9740</v>
      </c>
    </row>
    <row r="1229" spans="1:14" s="1" customFormat="1" x14ac:dyDescent="0.35">
      <c r="A1229" s="1" t="s">
        <v>4492</v>
      </c>
      <c r="B1229" s="1" t="s">
        <v>2368</v>
      </c>
      <c r="C1229" s="1" t="s">
        <v>2420</v>
      </c>
      <c r="D1229" s="1" t="s">
        <v>9739</v>
      </c>
      <c r="E1229" s="1" t="str">
        <f>"8415"</f>
        <v>8415</v>
      </c>
      <c r="F1229" s="1" t="s">
        <v>1944</v>
      </c>
      <c r="G1229" s="1" t="s">
        <v>1945</v>
      </c>
      <c r="H1229" s="1" t="s">
        <v>15</v>
      </c>
      <c r="I1229" s="1" t="str">
        <f>"17"</f>
        <v>17</v>
      </c>
      <c r="J1229" s="3">
        <v>51.4</v>
      </c>
      <c r="K1229" s="4">
        <v>46058</v>
      </c>
      <c r="L1229" s="4">
        <v>46060</v>
      </c>
      <c r="M1229" s="1" t="s">
        <v>4524</v>
      </c>
      <c r="N1229" s="1" t="s">
        <v>9738</v>
      </c>
    </row>
    <row r="1230" spans="1:14" s="1" customFormat="1" x14ac:dyDescent="0.35">
      <c r="A1230" s="1" t="s">
        <v>4492</v>
      </c>
      <c r="B1230" s="1" t="s">
        <v>2368</v>
      </c>
      <c r="C1230" s="1" t="s">
        <v>2420</v>
      </c>
      <c r="D1230" s="1" t="s">
        <v>9737</v>
      </c>
      <c r="E1230" s="1" t="str">
        <f>"8465"</f>
        <v>8465</v>
      </c>
      <c r="F1230" s="1" t="str">
        <f>"015642673"</f>
        <v>015642673</v>
      </c>
      <c r="G1230" s="1" t="s">
        <v>1354</v>
      </c>
      <c r="H1230" s="1" t="s">
        <v>168</v>
      </c>
      <c r="I1230" s="1" t="str">
        <f>"25"</f>
        <v>25</v>
      </c>
      <c r="J1230" s="3" t="str">
        <f>"185"</f>
        <v>185</v>
      </c>
      <c r="K1230" s="4">
        <v>46078</v>
      </c>
      <c r="L1230" s="4">
        <v>46088</v>
      </c>
      <c r="M1230" s="1" t="s">
        <v>4524</v>
      </c>
      <c r="N1230" s="1" t="s">
        <v>9736</v>
      </c>
    </row>
    <row r="1231" spans="1:14" s="1" customFormat="1" x14ac:dyDescent="0.35">
      <c r="A1231" s="1" t="s">
        <v>4492</v>
      </c>
      <c r="B1231" s="1" t="s">
        <v>2368</v>
      </c>
      <c r="C1231" s="1" t="s">
        <v>2420</v>
      </c>
      <c r="D1231" s="1" t="s">
        <v>9735</v>
      </c>
      <c r="E1231" s="1" t="str">
        <f>"1240"</f>
        <v>1240</v>
      </c>
      <c r="F1231" s="1" t="str">
        <f>"015403690"</f>
        <v>015403690</v>
      </c>
      <c r="G1231" s="1" t="s">
        <v>71</v>
      </c>
      <c r="H1231" s="1" t="s">
        <v>15</v>
      </c>
      <c r="I1231" s="1" t="str">
        <f>"3"</f>
        <v>3</v>
      </c>
      <c r="J1231" s="3" t="str">
        <f>"340"</f>
        <v>340</v>
      </c>
      <c r="K1231" s="4">
        <v>46072</v>
      </c>
      <c r="L1231" s="4">
        <v>46087</v>
      </c>
      <c r="M1231" s="1" t="s">
        <v>9734</v>
      </c>
      <c r="N1231" s="1" t="s">
        <v>9733</v>
      </c>
    </row>
    <row r="1232" spans="1:14" s="1" customFormat="1" x14ac:dyDescent="0.35">
      <c r="A1232" s="1" t="s">
        <v>4492</v>
      </c>
      <c r="B1232" s="1" t="s">
        <v>8264</v>
      </c>
      <c r="C1232" s="1" t="s">
        <v>9724</v>
      </c>
      <c r="D1232" s="1" t="s">
        <v>9732</v>
      </c>
      <c r="E1232" s="1" t="str">
        <f>"5855"</f>
        <v>5855</v>
      </c>
      <c r="F1232" s="1" t="str">
        <f>"014502333"</f>
        <v>014502333</v>
      </c>
      <c r="G1232" s="1" t="s">
        <v>6614</v>
      </c>
      <c r="H1232" s="1" t="s">
        <v>15</v>
      </c>
      <c r="I1232" s="1" t="str">
        <f>"1"</f>
        <v>1</v>
      </c>
      <c r="J1232" s="3">
        <v>10295.540000000001</v>
      </c>
      <c r="K1232" s="4">
        <v>46031</v>
      </c>
      <c r="L1232" s="4">
        <v>46039</v>
      </c>
      <c r="M1232" s="1" t="s">
        <v>4524</v>
      </c>
      <c r="N1232" s="1" t="s">
        <v>9729</v>
      </c>
    </row>
    <row r="1233" spans="1:14" s="1" customFormat="1" x14ac:dyDescent="0.35">
      <c r="A1233" s="1" t="s">
        <v>4492</v>
      </c>
      <c r="B1233" s="1" t="s">
        <v>8264</v>
      </c>
      <c r="C1233" s="1" t="s">
        <v>9724</v>
      </c>
      <c r="D1233" s="1" t="s">
        <v>9731</v>
      </c>
      <c r="E1233" s="1" t="str">
        <f>"5855"</f>
        <v>5855</v>
      </c>
      <c r="F1233" s="1" t="str">
        <f>"014502333"</f>
        <v>014502333</v>
      </c>
      <c r="G1233" s="1" t="s">
        <v>6614</v>
      </c>
      <c r="H1233" s="1" t="s">
        <v>15</v>
      </c>
      <c r="I1233" s="1" t="str">
        <f>"1"</f>
        <v>1</v>
      </c>
      <c r="J1233" s="3">
        <v>10295.540000000001</v>
      </c>
      <c r="K1233" s="4">
        <v>46031</v>
      </c>
      <c r="L1233" s="4">
        <v>46039</v>
      </c>
      <c r="M1233" s="1" t="s">
        <v>4524</v>
      </c>
      <c r="N1233" s="1" t="s">
        <v>9729</v>
      </c>
    </row>
    <row r="1234" spans="1:14" s="1" customFormat="1" x14ac:dyDescent="0.35">
      <c r="A1234" s="1" t="s">
        <v>4492</v>
      </c>
      <c r="B1234" s="1" t="s">
        <v>8264</v>
      </c>
      <c r="C1234" s="1" t="s">
        <v>9724</v>
      </c>
      <c r="D1234" s="1" t="s">
        <v>9730</v>
      </c>
      <c r="E1234" s="1" t="str">
        <f>"5855"</f>
        <v>5855</v>
      </c>
      <c r="F1234" s="1" t="str">
        <f>"014502333"</f>
        <v>014502333</v>
      </c>
      <c r="G1234" s="1" t="s">
        <v>6614</v>
      </c>
      <c r="H1234" s="1" t="s">
        <v>15</v>
      </c>
      <c r="I1234" s="1" t="str">
        <f>"1"</f>
        <v>1</v>
      </c>
      <c r="J1234" s="3">
        <v>10295.540000000001</v>
      </c>
      <c r="K1234" s="4">
        <v>46031</v>
      </c>
      <c r="L1234" s="4">
        <v>46039</v>
      </c>
      <c r="M1234" s="1" t="s">
        <v>4524</v>
      </c>
      <c r="N1234" s="1" t="s">
        <v>9729</v>
      </c>
    </row>
    <row r="1235" spans="1:14" s="1" customFormat="1" x14ac:dyDescent="0.35">
      <c r="A1235" s="1" t="s">
        <v>4492</v>
      </c>
      <c r="B1235" s="1" t="s">
        <v>8264</v>
      </c>
      <c r="C1235" s="1" t="s">
        <v>9724</v>
      </c>
      <c r="D1235" s="1" t="s">
        <v>9728</v>
      </c>
      <c r="E1235" s="1" t="str">
        <f>"5855"</f>
        <v>5855</v>
      </c>
      <c r="F1235" s="1" t="str">
        <f>"015224055"</f>
        <v>015224055</v>
      </c>
      <c r="G1235" s="1" t="s">
        <v>4264</v>
      </c>
      <c r="H1235" s="1" t="s">
        <v>15</v>
      </c>
      <c r="I1235" s="1" t="str">
        <f>"50"</f>
        <v>50</v>
      </c>
      <c r="J1235" s="3">
        <v>3719.47</v>
      </c>
      <c r="K1235" s="4">
        <v>46031</v>
      </c>
      <c r="L1235" s="4">
        <v>46040</v>
      </c>
      <c r="M1235" s="1" t="s">
        <v>4524</v>
      </c>
      <c r="N1235" s="1" t="s">
        <v>9727</v>
      </c>
    </row>
    <row r="1236" spans="1:14" s="1" customFormat="1" x14ac:dyDescent="0.35">
      <c r="A1236" s="1" t="s">
        <v>4492</v>
      </c>
      <c r="B1236" s="1" t="s">
        <v>8264</v>
      </c>
      <c r="C1236" s="1" t="s">
        <v>9724</v>
      </c>
      <c r="D1236" s="1" t="s">
        <v>9726</v>
      </c>
      <c r="E1236" s="1" t="str">
        <f>"5855"</f>
        <v>5855</v>
      </c>
      <c r="F1236" s="1" t="str">
        <f>"016800712"</f>
        <v>016800712</v>
      </c>
      <c r="G1236" s="1" t="s">
        <v>5381</v>
      </c>
      <c r="H1236" s="1" t="s">
        <v>15</v>
      </c>
      <c r="I1236" s="1" t="str">
        <f>"20"</f>
        <v>20</v>
      </c>
      <c r="J1236" s="3" t="str">
        <f>"3000"</f>
        <v>3000</v>
      </c>
      <c r="K1236" s="4">
        <v>46034</v>
      </c>
      <c r="L1236" s="4">
        <v>46047</v>
      </c>
      <c r="M1236" s="1" t="s">
        <v>4524</v>
      </c>
      <c r="N1236" s="1" t="s">
        <v>9725</v>
      </c>
    </row>
    <row r="1237" spans="1:14" s="1" customFormat="1" x14ac:dyDescent="0.35">
      <c r="A1237" s="1" t="s">
        <v>4492</v>
      </c>
      <c r="B1237" s="1" t="s">
        <v>8264</v>
      </c>
      <c r="C1237" s="1" t="s">
        <v>9724</v>
      </c>
      <c r="D1237" s="1" t="s">
        <v>9723</v>
      </c>
      <c r="E1237" s="1" t="str">
        <f>"5855"</f>
        <v>5855</v>
      </c>
      <c r="F1237" s="1" t="str">
        <f>"015485687"</f>
        <v>015485687</v>
      </c>
      <c r="G1237" s="1" t="s">
        <v>798</v>
      </c>
      <c r="H1237" s="1" t="s">
        <v>15</v>
      </c>
      <c r="I1237" s="1" t="str">
        <f>"20"</f>
        <v>20</v>
      </c>
      <c r="J1237" s="3" t="str">
        <f>"10402"</f>
        <v>10402</v>
      </c>
      <c r="K1237" s="4">
        <v>46081</v>
      </c>
      <c r="L1237" s="4">
        <v>46088</v>
      </c>
      <c r="M1237" s="1" t="s">
        <v>4524</v>
      </c>
      <c r="N1237" s="1" t="s">
        <v>9722</v>
      </c>
    </row>
    <row r="1238" spans="1:14" s="1" customFormat="1" x14ac:dyDescent="0.35">
      <c r="A1238" s="1" t="s">
        <v>4492</v>
      </c>
      <c r="B1238" s="1" t="s">
        <v>319</v>
      </c>
      <c r="C1238" s="1" t="s">
        <v>9716</v>
      </c>
      <c r="D1238" s="1" t="s">
        <v>9721</v>
      </c>
      <c r="E1238" s="1" t="str">
        <f>"5855"</f>
        <v>5855</v>
      </c>
      <c r="F1238" s="1" t="str">
        <f>"015777174"</f>
        <v>015777174</v>
      </c>
      <c r="G1238" s="1" t="s">
        <v>952</v>
      </c>
      <c r="H1238" s="1" t="s">
        <v>15</v>
      </c>
      <c r="I1238" s="1" t="str">
        <f>"87"</f>
        <v>87</v>
      </c>
      <c r="J1238" s="3" t="str">
        <f>"1040"</f>
        <v>1040</v>
      </c>
      <c r="K1238" s="4">
        <v>45488</v>
      </c>
      <c r="L1238" s="4">
        <v>46029</v>
      </c>
      <c r="M1238" s="1" t="s">
        <v>9720</v>
      </c>
      <c r="N1238" s="1" t="s">
        <v>9719</v>
      </c>
    </row>
    <row r="1239" spans="1:14" s="1" customFormat="1" x14ac:dyDescent="0.35">
      <c r="A1239" s="1" t="s">
        <v>4492</v>
      </c>
      <c r="B1239" s="1" t="s">
        <v>319</v>
      </c>
      <c r="C1239" s="1" t="s">
        <v>9716</v>
      </c>
      <c r="D1239" s="1" t="s">
        <v>9718</v>
      </c>
      <c r="E1239" s="1" t="str">
        <f>"5855"</f>
        <v>5855</v>
      </c>
      <c r="F1239" s="1" t="str">
        <f>"015137561"</f>
        <v>015137561</v>
      </c>
      <c r="G1239" s="1" t="s">
        <v>4264</v>
      </c>
      <c r="H1239" s="1" t="s">
        <v>15</v>
      </c>
      <c r="I1239" s="1" t="str">
        <f>"1"</f>
        <v>1</v>
      </c>
      <c r="J1239" s="3">
        <v>3309.75</v>
      </c>
      <c r="K1239" s="4">
        <v>46058</v>
      </c>
      <c r="L1239" s="4">
        <v>46067</v>
      </c>
      <c r="M1239" s="1" t="s">
        <v>4524</v>
      </c>
      <c r="N1239" s="1" t="s">
        <v>9714</v>
      </c>
    </row>
    <row r="1240" spans="1:14" s="1" customFormat="1" x14ac:dyDescent="0.35">
      <c r="A1240" s="1" t="s">
        <v>4492</v>
      </c>
      <c r="B1240" s="1" t="s">
        <v>319</v>
      </c>
      <c r="C1240" s="1" t="s">
        <v>9716</v>
      </c>
      <c r="D1240" s="1" t="s">
        <v>9717</v>
      </c>
      <c r="E1240" s="1" t="str">
        <f>"5855"</f>
        <v>5855</v>
      </c>
      <c r="F1240" s="1" t="str">
        <f>"015137561"</f>
        <v>015137561</v>
      </c>
      <c r="G1240" s="1" t="s">
        <v>4264</v>
      </c>
      <c r="H1240" s="1" t="s">
        <v>15</v>
      </c>
      <c r="I1240" s="1" t="str">
        <f>"1"</f>
        <v>1</v>
      </c>
      <c r="J1240" s="3">
        <v>3309.75</v>
      </c>
      <c r="K1240" s="4">
        <v>46058</v>
      </c>
      <c r="L1240" s="4">
        <v>46067</v>
      </c>
      <c r="M1240" s="1" t="s">
        <v>4524</v>
      </c>
      <c r="N1240" s="1" t="s">
        <v>9714</v>
      </c>
    </row>
    <row r="1241" spans="1:14" s="1" customFormat="1" x14ac:dyDescent="0.35">
      <c r="A1241" s="1" t="s">
        <v>4492</v>
      </c>
      <c r="B1241" s="1" t="s">
        <v>319</v>
      </c>
      <c r="C1241" s="1" t="s">
        <v>9716</v>
      </c>
      <c r="D1241" s="1" t="s">
        <v>9715</v>
      </c>
      <c r="E1241" s="1" t="str">
        <f>"5855"</f>
        <v>5855</v>
      </c>
      <c r="F1241" s="1" t="str">
        <f>"015137561"</f>
        <v>015137561</v>
      </c>
      <c r="G1241" s="1" t="s">
        <v>4264</v>
      </c>
      <c r="H1241" s="1" t="s">
        <v>15</v>
      </c>
      <c r="I1241" s="1" t="str">
        <f>"1"</f>
        <v>1</v>
      </c>
      <c r="J1241" s="3">
        <v>3309.75</v>
      </c>
      <c r="K1241" s="4">
        <v>46058</v>
      </c>
      <c r="L1241" s="4">
        <v>46067</v>
      </c>
      <c r="M1241" s="1" t="s">
        <v>4524</v>
      </c>
      <c r="N1241" s="1" t="s">
        <v>9714</v>
      </c>
    </row>
    <row r="1242" spans="1:14" s="1" customFormat="1" x14ac:dyDescent="0.35">
      <c r="A1242" s="1" t="s">
        <v>4492</v>
      </c>
      <c r="B1242" s="1" t="s">
        <v>1989</v>
      </c>
      <c r="C1242" s="1" t="s">
        <v>2010</v>
      </c>
      <c r="D1242" s="1" t="s">
        <v>9713</v>
      </c>
      <c r="E1242" s="1" t="str">
        <f>"5855"</f>
        <v>5855</v>
      </c>
      <c r="F1242" s="1" t="str">
        <f>"015053103"</f>
        <v>015053103</v>
      </c>
      <c r="G1242" s="1" t="s">
        <v>952</v>
      </c>
      <c r="H1242" s="1" t="s">
        <v>15</v>
      </c>
      <c r="I1242" s="1" t="str">
        <f>"9"</f>
        <v>9</v>
      </c>
      <c r="J1242" s="3" t="str">
        <f>"6138"</f>
        <v>6138</v>
      </c>
      <c r="K1242" s="4">
        <v>46049</v>
      </c>
      <c r="L1242" s="4">
        <v>46055</v>
      </c>
      <c r="M1242" s="1" t="s">
        <v>4524</v>
      </c>
      <c r="N1242" s="1" t="s">
        <v>9711</v>
      </c>
    </row>
    <row r="1243" spans="1:14" s="1" customFormat="1" x14ac:dyDescent="0.35">
      <c r="A1243" s="1" t="s">
        <v>4492</v>
      </c>
      <c r="B1243" s="1" t="s">
        <v>1989</v>
      </c>
      <c r="C1243" s="1" t="s">
        <v>2010</v>
      </c>
      <c r="D1243" s="1" t="s">
        <v>9712</v>
      </c>
      <c r="E1243" s="1" t="str">
        <f>"5855"</f>
        <v>5855</v>
      </c>
      <c r="F1243" s="1" t="str">
        <f>"015053103"</f>
        <v>015053103</v>
      </c>
      <c r="G1243" s="1" t="s">
        <v>952</v>
      </c>
      <c r="H1243" s="1" t="s">
        <v>15</v>
      </c>
      <c r="I1243" s="1" t="str">
        <f>"10"</f>
        <v>10</v>
      </c>
      <c r="J1243" s="3" t="str">
        <f>"6138"</f>
        <v>6138</v>
      </c>
      <c r="K1243" s="4">
        <v>46049</v>
      </c>
      <c r="L1243" s="4">
        <v>46051</v>
      </c>
      <c r="M1243" s="1" t="s">
        <v>4524</v>
      </c>
      <c r="N1243" s="1" t="s">
        <v>9711</v>
      </c>
    </row>
    <row r="1244" spans="1:14" s="1" customFormat="1" x14ac:dyDescent="0.35">
      <c r="A1244" s="1" t="s">
        <v>4492</v>
      </c>
      <c r="B1244" s="1" t="s">
        <v>1989</v>
      </c>
      <c r="C1244" s="1" t="s">
        <v>2010</v>
      </c>
      <c r="D1244" s="1" t="s">
        <v>9710</v>
      </c>
      <c r="E1244" s="1" t="str">
        <f>"5855"</f>
        <v>5855</v>
      </c>
      <c r="F1244" s="1" t="str">
        <f>"015345931"</f>
        <v>015345931</v>
      </c>
      <c r="G1244" s="1" t="s">
        <v>742</v>
      </c>
      <c r="H1244" s="1" t="s">
        <v>15</v>
      </c>
      <c r="I1244" s="1" t="str">
        <f>"3"</f>
        <v>3</v>
      </c>
      <c r="J1244" s="3" t="str">
        <f>"970"</f>
        <v>970</v>
      </c>
      <c r="K1244" s="4">
        <v>46066</v>
      </c>
      <c r="L1244" s="4">
        <v>46068</v>
      </c>
      <c r="M1244" s="1" t="s">
        <v>4524</v>
      </c>
      <c r="N1244" s="1" t="s">
        <v>9709</v>
      </c>
    </row>
    <row r="1245" spans="1:14" s="1" customFormat="1" x14ac:dyDescent="0.35">
      <c r="A1245" s="1" t="s">
        <v>4492</v>
      </c>
      <c r="B1245" s="1" t="s">
        <v>1989</v>
      </c>
      <c r="C1245" s="1" t="s">
        <v>2010</v>
      </c>
      <c r="D1245" s="1" t="s">
        <v>9708</v>
      </c>
      <c r="E1245" s="1" t="str">
        <f>"5855"</f>
        <v>5855</v>
      </c>
      <c r="F1245" s="1" t="str">
        <f>"015345931"</f>
        <v>015345931</v>
      </c>
      <c r="G1245" s="1" t="s">
        <v>742</v>
      </c>
      <c r="H1245" s="1" t="s">
        <v>15</v>
      </c>
      <c r="I1245" s="1" t="str">
        <f>"40"</f>
        <v>40</v>
      </c>
      <c r="J1245" s="3" t="str">
        <f>"970"</f>
        <v>970</v>
      </c>
      <c r="K1245" s="4">
        <v>46071</v>
      </c>
      <c r="L1245" s="4">
        <v>46074</v>
      </c>
      <c r="M1245" s="1" t="s">
        <v>4524</v>
      </c>
      <c r="N1245" s="1" t="s">
        <v>9707</v>
      </c>
    </row>
    <row r="1246" spans="1:14" s="1" customFormat="1" x14ac:dyDescent="0.35">
      <c r="A1246" s="1" t="s">
        <v>4492</v>
      </c>
      <c r="B1246" s="1" t="s">
        <v>388</v>
      </c>
      <c r="C1246" s="1" t="s">
        <v>9706</v>
      </c>
      <c r="D1246" s="1" t="s">
        <v>9705</v>
      </c>
      <c r="E1246" s="1" t="str">
        <f>"5855"</f>
        <v>5855</v>
      </c>
      <c r="F1246" s="1" t="str">
        <f>"015330555"</f>
        <v>015330555</v>
      </c>
      <c r="G1246" s="1" t="s">
        <v>476</v>
      </c>
      <c r="H1246" s="1" t="s">
        <v>15</v>
      </c>
      <c r="I1246" s="1" t="str">
        <f>"9"</f>
        <v>9</v>
      </c>
      <c r="J1246" s="3" t="str">
        <f>"1800"</f>
        <v>1800</v>
      </c>
      <c r="K1246" s="4">
        <v>46034</v>
      </c>
      <c r="L1246" s="4">
        <v>46038</v>
      </c>
      <c r="M1246" s="1" t="s">
        <v>4524</v>
      </c>
      <c r="N1246" s="1" t="s">
        <v>9704</v>
      </c>
    </row>
    <row r="1247" spans="1:14" s="1" customFormat="1" x14ac:dyDescent="0.35">
      <c r="A1247" s="1" t="s">
        <v>4492</v>
      </c>
      <c r="B1247" s="1" t="s">
        <v>1516</v>
      </c>
      <c r="C1247" s="1" t="s">
        <v>9683</v>
      </c>
      <c r="D1247" s="1" t="s">
        <v>9703</v>
      </c>
      <c r="E1247" s="1" t="str">
        <f>"5855"</f>
        <v>5855</v>
      </c>
      <c r="F1247" s="1" t="str">
        <f>"015485687"</f>
        <v>015485687</v>
      </c>
      <c r="G1247" s="1" t="s">
        <v>798</v>
      </c>
      <c r="H1247" s="1" t="s">
        <v>15</v>
      </c>
      <c r="I1247" s="1" t="str">
        <f>"30"</f>
        <v>30</v>
      </c>
      <c r="J1247" s="3" t="str">
        <f>"10402"</f>
        <v>10402</v>
      </c>
      <c r="K1247" s="4">
        <v>46015</v>
      </c>
      <c r="L1247" s="4">
        <v>46025</v>
      </c>
      <c r="M1247" s="1" t="s">
        <v>4524</v>
      </c>
      <c r="N1247" s="1" t="s">
        <v>9702</v>
      </c>
    </row>
    <row r="1248" spans="1:14" s="1" customFormat="1" x14ac:dyDescent="0.35">
      <c r="A1248" s="1" t="s">
        <v>4492</v>
      </c>
      <c r="B1248" s="1" t="s">
        <v>1516</v>
      </c>
      <c r="C1248" s="1" t="s">
        <v>9683</v>
      </c>
      <c r="D1248" s="1" t="s">
        <v>9701</v>
      </c>
      <c r="E1248" s="1" t="str">
        <f>"1240"</f>
        <v>1240</v>
      </c>
      <c r="F1248" s="1" t="str">
        <f>"015615149"</f>
        <v>015615149</v>
      </c>
      <c r="G1248" s="1" t="s">
        <v>9700</v>
      </c>
      <c r="H1248" s="1" t="s">
        <v>15</v>
      </c>
      <c r="I1248" s="1" t="str">
        <f>"2"</f>
        <v>2</v>
      </c>
      <c r="J1248" s="3" t="str">
        <f>"26236"</f>
        <v>26236</v>
      </c>
      <c r="K1248" s="4">
        <v>46042</v>
      </c>
      <c r="L1248" s="4">
        <v>46047</v>
      </c>
      <c r="M1248" s="1" t="s">
        <v>4524</v>
      </c>
      <c r="N1248" s="1" t="s">
        <v>9685</v>
      </c>
    </row>
    <row r="1249" spans="1:14" s="1" customFormat="1" x14ac:dyDescent="0.35">
      <c r="A1249" s="1" t="s">
        <v>4492</v>
      </c>
      <c r="B1249" s="1" t="s">
        <v>1516</v>
      </c>
      <c r="C1249" s="1" t="s">
        <v>9683</v>
      </c>
      <c r="D1249" s="1" t="s">
        <v>9699</v>
      </c>
      <c r="E1249" s="1" t="str">
        <f>"5855"</f>
        <v>5855</v>
      </c>
      <c r="F1249" s="1" t="str">
        <f>"015485687"</f>
        <v>015485687</v>
      </c>
      <c r="G1249" s="1" t="s">
        <v>798</v>
      </c>
      <c r="H1249" s="1" t="s">
        <v>15</v>
      </c>
      <c r="I1249" s="1" t="str">
        <f>"20"</f>
        <v>20</v>
      </c>
      <c r="J1249" s="3" t="str">
        <f>"10402"</f>
        <v>10402</v>
      </c>
      <c r="K1249" s="4">
        <v>46042</v>
      </c>
      <c r="L1249" s="4">
        <v>46097</v>
      </c>
      <c r="M1249" s="1" t="s">
        <v>9698</v>
      </c>
      <c r="N1249" s="1" t="s">
        <v>9681</v>
      </c>
    </row>
    <row r="1250" spans="1:14" s="1" customFormat="1" x14ac:dyDescent="0.35">
      <c r="A1250" s="1" t="s">
        <v>4492</v>
      </c>
      <c r="B1250" s="1" t="s">
        <v>1516</v>
      </c>
      <c r="C1250" s="1" t="s">
        <v>9683</v>
      </c>
      <c r="D1250" s="1" t="s">
        <v>9697</v>
      </c>
      <c r="E1250" s="1" t="str">
        <f>"5855"</f>
        <v>5855</v>
      </c>
      <c r="F1250" s="1" t="str">
        <f>"015485687"</f>
        <v>015485687</v>
      </c>
      <c r="G1250" s="1" t="s">
        <v>798</v>
      </c>
      <c r="H1250" s="1" t="s">
        <v>15</v>
      </c>
      <c r="I1250" s="1" t="str">
        <f>"20"</f>
        <v>20</v>
      </c>
      <c r="J1250" s="3" t="str">
        <f>"10402"</f>
        <v>10402</v>
      </c>
      <c r="K1250" s="4">
        <v>46042</v>
      </c>
      <c r="L1250" s="4">
        <v>46055</v>
      </c>
      <c r="M1250" s="1" t="s">
        <v>9696</v>
      </c>
      <c r="N1250" s="1" t="s">
        <v>9681</v>
      </c>
    </row>
    <row r="1251" spans="1:14" s="1" customFormat="1" x14ac:dyDescent="0.35">
      <c r="A1251" s="1" t="s">
        <v>4492</v>
      </c>
      <c r="B1251" s="1" t="s">
        <v>1516</v>
      </c>
      <c r="C1251" s="1" t="s">
        <v>9683</v>
      </c>
      <c r="D1251" s="1" t="s">
        <v>9695</v>
      </c>
      <c r="E1251" s="1" t="str">
        <f>"1240"</f>
        <v>1240</v>
      </c>
      <c r="F1251" s="1" t="str">
        <f>"015247981"</f>
        <v>015247981</v>
      </c>
      <c r="G1251" s="1" t="s">
        <v>4579</v>
      </c>
      <c r="H1251" s="1" t="s">
        <v>15</v>
      </c>
      <c r="I1251" s="1" t="str">
        <f>"5"</f>
        <v>5</v>
      </c>
      <c r="J1251" s="3" t="str">
        <f>"27181"</f>
        <v>27181</v>
      </c>
      <c r="K1251" s="4">
        <v>46059</v>
      </c>
      <c r="L1251" s="4">
        <v>46064</v>
      </c>
      <c r="M1251" s="1" t="s">
        <v>4524</v>
      </c>
      <c r="N1251" s="1" t="s">
        <v>9685</v>
      </c>
    </row>
    <row r="1252" spans="1:14" s="1" customFormat="1" x14ac:dyDescent="0.35">
      <c r="A1252" s="1" t="s">
        <v>4492</v>
      </c>
      <c r="B1252" s="1" t="s">
        <v>1516</v>
      </c>
      <c r="C1252" s="1" t="s">
        <v>9683</v>
      </c>
      <c r="D1252" s="1" t="s">
        <v>9694</v>
      </c>
      <c r="E1252" s="1" t="str">
        <f>"5855"</f>
        <v>5855</v>
      </c>
      <c r="F1252" s="1" t="str">
        <f>"015847217"</f>
        <v>015847217</v>
      </c>
      <c r="G1252" s="1" t="s">
        <v>614</v>
      </c>
      <c r="H1252" s="1" t="s">
        <v>15</v>
      </c>
      <c r="I1252" s="1" t="str">
        <f>"16"</f>
        <v>16</v>
      </c>
      <c r="J1252" s="3" t="str">
        <f>"34084"</f>
        <v>34084</v>
      </c>
      <c r="K1252" s="4">
        <v>46070</v>
      </c>
      <c r="L1252" s="4">
        <v>46072</v>
      </c>
      <c r="M1252" s="1" t="s">
        <v>4524</v>
      </c>
      <c r="N1252" s="1" t="s">
        <v>9681</v>
      </c>
    </row>
    <row r="1253" spans="1:14" s="1" customFormat="1" x14ac:dyDescent="0.35">
      <c r="A1253" s="1" t="s">
        <v>4492</v>
      </c>
      <c r="B1253" s="1" t="s">
        <v>1516</v>
      </c>
      <c r="C1253" s="1" t="s">
        <v>9683</v>
      </c>
      <c r="D1253" s="1" t="s">
        <v>9693</v>
      </c>
      <c r="E1253" s="1" t="str">
        <f>"5855"</f>
        <v>5855</v>
      </c>
      <c r="F1253" s="1" t="str">
        <f>"015847217"</f>
        <v>015847217</v>
      </c>
      <c r="G1253" s="1" t="s">
        <v>614</v>
      </c>
      <c r="H1253" s="1" t="s">
        <v>15</v>
      </c>
      <c r="I1253" s="1" t="str">
        <f>"14"</f>
        <v>14</v>
      </c>
      <c r="J1253" s="3" t="str">
        <f>"34084"</f>
        <v>34084</v>
      </c>
      <c r="K1253" s="4">
        <v>46076</v>
      </c>
      <c r="L1253" s="4">
        <v>46078</v>
      </c>
      <c r="M1253" s="1" t="s">
        <v>4524</v>
      </c>
      <c r="N1253" s="1" t="s">
        <v>9681</v>
      </c>
    </row>
    <row r="1254" spans="1:14" s="1" customFormat="1" x14ac:dyDescent="0.35">
      <c r="A1254" s="1" t="s">
        <v>4492</v>
      </c>
      <c r="B1254" s="1" t="s">
        <v>1516</v>
      </c>
      <c r="C1254" s="1" t="s">
        <v>9683</v>
      </c>
      <c r="D1254" s="1" t="s">
        <v>9692</v>
      </c>
      <c r="E1254" s="1" t="str">
        <f>"5855"</f>
        <v>5855</v>
      </c>
      <c r="F1254" s="1" t="str">
        <f>"015485687"</f>
        <v>015485687</v>
      </c>
      <c r="G1254" s="1" t="s">
        <v>798</v>
      </c>
      <c r="H1254" s="1" t="s">
        <v>15</v>
      </c>
      <c r="I1254" s="1" t="str">
        <f>"20"</f>
        <v>20</v>
      </c>
      <c r="J1254" s="3" t="str">
        <f>"10402"</f>
        <v>10402</v>
      </c>
      <c r="K1254" s="4">
        <v>46083</v>
      </c>
      <c r="L1254" s="4">
        <v>46088</v>
      </c>
      <c r="M1254" s="1" t="s">
        <v>4524</v>
      </c>
      <c r="N1254" s="1" t="s">
        <v>9681</v>
      </c>
    </row>
    <row r="1255" spans="1:14" s="1" customFormat="1" x14ac:dyDescent="0.35">
      <c r="A1255" s="1" t="s">
        <v>4492</v>
      </c>
      <c r="B1255" s="1" t="s">
        <v>1516</v>
      </c>
      <c r="C1255" s="1" t="s">
        <v>9683</v>
      </c>
      <c r="D1255" s="1" t="s">
        <v>9691</v>
      </c>
      <c r="E1255" s="1" t="str">
        <f>"1240"</f>
        <v>1240</v>
      </c>
      <c r="F1255" s="1" t="str">
        <f>"016813209"</f>
        <v>016813209</v>
      </c>
      <c r="G1255" s="1" t="s">
        <v>6044</v>
      </c>
      <c r="H1255" s="1" t="s">
        <v>15</v>
      </c>
      <c r="I1255" s="1" t="str">
        <f>"9"</f>
        <v>9</v>
      </c>
      <c r="J1255" s="3" t="str">
        <f>"3269"</f>
        <v>3269</v>
      </c>
      <c r="K1255" s="4">
        <v>46083</v>
      </c>
      <c r="L1255" s="4">
        <v>46095</v>
      </c>
      <c r="M1255" s="1" t="s">
        <v>9690</v>
      </c>
      <c r="N1255" s="1" t="s">
        <v>9685</v>
      </c>
    </row>
    <row r="1256" spans="1:14" s="1" customFormat="1" x14ac:dyDescent="0.35">
      <c r="A1256" s="1" t="s">
        <v>4492</v>
      </c>
      <c r="B1256" s="1" t="s">
        <v>1516</v>
      </c>
      <c r="C1256" s="1" t="s">
        <v>9683</v>
      </c>
      <c r="D1256" s="1" t="s">
        <v>9689</v>
      </c>
      <c r="E1256" s="1" t="str">
        <f>"1240"</f>
        <v>1240</v>
      </c>
      <c r="F1256" s="1" t="str">
        <f>"016859648"</f>
        <v>016859648</v>
      </c>
      <c r="G1256" s="1" t="s">
        <v>8290</v>
      </c>
      <c r="H1256" s="1" t="s">
        <v>15</v>
      </c>
      <c r="I1256" s="1" t="str">
        <f>"3"</f>
        <v>3</v>
      </c>
      <c r="J1256" s="3">
        <v>3829.66</v>
      </c>
      <c r="K1256" s="4">
        <v>46091</v>
      </c>
      <c r="L1256" s="4">
        <v>46092</v>
      </c>
      <c r="M1256" s="1" t="s">
        <v>4524</v>
      </c>
      <c r="N1256" s="1" t="s">
        <v>9685</v>
      </c>
    </row>
    <row r="1257" spans="1:14" s="1" customFormat="1" x14ac:dyDescent="0.35">
      <c r="A1257" s="1" t="s">
        <v>4492</v>
      </c>
      <c r="B1257" s="1" t="s">
        <v>1516</v>
      </c>
      <c r="C1257" s="1" t="s">
        <v>9683</v>
      </c>
      <c r="D1257" s="1" t="s">
        <v>9688</v>
      </c>
      <c r="E1257" s="1" t="str">
        <f>"5855"</f>
        <v>5855</v>
      </c>
      <c r="F1257" s="1" t="str">
        <f>"015847217"</f>
        <v>015847217</v>
      </c>
      <c r="G1257" s="1" t="s">
        <v>614</v>
      </c>
      <c r="H1257" s="1" t="s">
        <v>15</v>
      </c>
      <c r="I1257" s="1" t="str">
        <f>"5"</f>
        <v>5</v>
      </c>
      <c r="J1257" s="3" t="str">
        <f>"34084"</f>
        <v>34084</v>
      </c>
      <c r="K1257" s="4">
        <v>46097</v>
      </c>
      <c r="L1257" s="4">
        <v>46100</v>
      </c>
      <c r="M1257" s="1" t="s">
        <v>4524</v>
      </c>
      <c r="N1257" s="1" t="s">
        <v>9681</v>
      </c>
    </row>
    <row r="1258" spans="1:14" s="1" customFormat="1" x14ac:dyDescent="0.35">
      <c r="A1258" s="1" t="s">
        <v>4492</v>
      </c>
      <c r="B1258" s="1" t="s">
        <v>1516</v>
      </c>
      <c r="C1258" s="1" t="s">
        <v>9683</v>
      </c>
      <c r="D1258" s="1" t="s">
        <v>9687</v>
      </c>
      <c r="E1258" s="1" t="str">
        <f>"1240"</f>
        <v>1240</v>
      </c>
      <c r="F1258" s="1" t="str">
        <f>"016920791"</f>
        <v>016920791</v>
      </c>
      <c r="G1258" s="1" t="s">
        <v>6044</v>
      </c>
      <c r="H1258" s="1" t="s">
        <v>15</v>
      </c>
      <c r="I1258" s="1" t="str">
        <f>"4"</f>
        <v>4</v>
      </c>
      <c r="J1258" s="3" t="str">
        <f>"1500"</f>
        <v>1500</v>
      </c>
      <c r="K1258" s="4">
        <v>46105</v>
      </c>
      <c r="L1258" s="4">
        <v>46108</v>
      </c>
      <c r="M1258" s="1" t="s">
        <v>4524</v>
      </c>
      <c r="N1258" s="1" t="s">
        <v>9685</v>
      </c>
    </row>
    <row r="1259" spans="1:14" s="1" customFormat="1" x14ac:dyDescent="0.35">
      <c r="A1259" s="1" t="s">
        <v>4492</v>
      </c>
      <c r="B1259" s="1" t="s">
        <v>1516</v>
      </c>
      <c r="C1259" s="1" t="s">
        <v>9683</v>
      </c>
      <c r="D1259" s="1" t="s">
        <v>9686</v>
      </c>
      <c r="E1259" s="1" t="str">
        <f>"1240"</f>
        <v>1240</v>
      </c>
      <c r="F1259" s="1" t="s">
        <v>1364</v>
      </c>
      <c r="G1259" s="1" t="s">
        <v>1365</v>
      </c>
      <c r="H1259" s="1" t="s">
        <v>15</v>
      </c>
      <c r="I1259" s="1" t="str">
        <f>"2"</f>
        <v>2</v>
      </c>
      <c r="J1259" s="3" t="str">
        <f>"1000"</f>
        <v>1000</v>
      </c>
      <c r="K1259" s="4">
        <v>46107</v>
      </c>
      <c r="L1259" s="4">
        <v>46108</v>
      </c>
      <c r="M1259" s="1" t="s">
        <v>4524</v>
      </c>
      <c r="N1259" s="1" t="s">
        <v>9685</v>
      </c>
    </row>
    <row r="1260" spans="1:14" s="1" customFormat="1" x14ac:dyDescent="0.35">
      <c r="A1260" s="1" t="s">
        <v>4492</v>
      </c>
      <c r="B1260" s="1" t="s">
        <v>1516</v>
      </c>
      <c r="C1260" s="1" t="s">
        <v>9683</v>
      </c>
      <c r="D1260" s="1" t="s">
        <v>9684</v>
      </c>
      <c r="E1260" s="1" t="str">
        <f>"1240"</f>
        <v>1240</v>
      </c>
      <c r="F1260" s="1" t="s">
        <v>1364</v>
      </c>
      <c r="G1260" s="1" t="s">
        <v>1365</v>
      </c>
      <c r="H1260" s="1" t="s">
        <v>15</v>
      </c>
      <c r="I1260" s="1" t="str">
        <f>"3"</f>
        <v>3</v>
      </c>
      <c r="J1260" s="3" t="str">
        <f>"500"</f>
        <v>500</v>
      </c>
      <c r="K1260" s="4">
        <v>46107</v>
      </c>
      <c r="L1260" s="4">
        <v>46108</v>
      </c>
      <c r="M1260" s="1" t="s">
        <v>4524</v>
      </c>
      <c r="N1260" s="1" t="s">
        <v>9681</v>
      </c>
    </row>
    <row r="1261" spans="1:14" s="1" customFormat="1" x14ac:dyDescent="0.35">
      <c r="A1261" s="1" t="s">
        <v>4492</v>
      </c>
      <c r="B1261" s="1" t="s">
        <v>1516</v>
      </c>
      <c r="C1261" s="1" t="s">
        <v>9683</v>
      </c>
      <c r="D1261" s="1" t="s">
        <v>9682</v>
      </c>
      <c r="E1261" s="1" t="str">
        <f>"1240"</f>
        <v>1240</v>
      </c>
      <c r="F1261" s="1" t="s">
        <v>1364</v>
      </c>
      <c r="G1261" s="1" t="s">
        <v>1365</v>
      </c>
      <c r="H1261" s="1" t="s">
        <v>15</v>
      </c>
      <c r="I1261" s="1" t="str">
        <f>"4"</f>
        <v>4</v>
      </c>
      <c r="J1261" s="3" t="str">
        <f>"1500"</f>
        <v>1500</v>
      </c>
      <c r="K1261" s="4">
        <v>46107</v>
      </c>
      <c r="L1261" s="4">
        <v>46108</v>
      </c>
      <c r="M1261" s="1" t="s">
        <v>4524</v>
      </c>
      <c r="N1261" s="1" t="s">
        <v>9681</v>
      </c>
    </row>
    <row r="1262" spans="1:14" s="1" customFormat="1" x14ac:dyDescent="0.35">
      <c r="A1262" s="1" t="s">
        <v>4492</v>
      </c>
      <c r="B1262" s="1" t="s">
        <v>9675</v>
      </c>
      <c r="C1262" s="1" t="s">
        <v>9674</v>
      </c>
      <c r="D1262" s="1" t="s">
        <v>9680</v>
      </c>
      <c r="E1262" s="1" t="str">
        <f>"8405"</f>
        <v>8405</v>
      </c>
      <c r="F1262" s="1" t="str">
        <f>"015472555"</f>
        <v>015472555</v>
      </c>
      <c r="G1262" s="1" t="s">
        <v>5064</v>
      </c>
      <c r="H1262" s="1" t="s">
        <v>15</v>
      </c>
      <c r="I1262" s="1" t="str">
        <f>"13"</f>
        <v>13</v>
      </c>
      <c r="J1262" s="3">
        <v>63.02</v>
      </c>
      <c r="K1262" s="4">
        <v>46093</v>
      </c>
      <c r="L1262" s="4">
        <v>46095</v>
      </c>
      <c r="M1262" s="1" t="s">
        <v>4524</v>
      </c>
      <c r="N1262" s="1" t="s">
        <v>9678</v>
      </c>
    </row>
    <row r="1263" spans="1:14" s="1" customFormat="1" x14ac:dyDescent="0.35">
      <c r="A1263" s="1" t="s">
        <v>4492</v>
      </c>
      <c r="B1263" s="1" t="s">
        <v>9675</v>
      </c>
      <c r="C1263" s="1" t="s">
        <v>9674</v>
      </c>
      <c r="D1263" s="1" t="s">
        <v>9679</v>
      </c>
      <c r="E1263" s="1" t="str">
        <f>"8415"</f>
        <v>8415</v>
      </c>
      <c r="F1263" s="1" t="str">
        <f>"015802854"</f>
        <v>015802854</v>
      </c>
      <c r="G1263" s="1" t="s">
        <v>18</v>
      </c>
      <c r="H1263" s="1" t="s">
        <v>15</v>
      </c>
      <c r="I1263" s="1" t="str">
        <f>"2"</f>
        <v>2</v>
      </c>
      <c r="J1263" s="3">
        <v>146.83000000000001</v>
      </c>
      <c r="K1263" s="4">
        <v>46093</v>
      </c>
      <c r="L1263" s="4">
        <v>46095</v>
      </c>
      <c r="M1263" s="1" t="s">
        <v>4524</v>
      </c>
      <c r="N1263" s="1" t="s">
        <v>9678</v>
      </c>
    </row>
    <row r="1264" spans="1:14" s="1" customFormat="1" x14ac:dyDescent="0.35">
      <c r="A1264" s="1" t="s">
        <v>4492</v>
      </c>
      <c r="B1264" s="1" t="s">
        <v>9675</v>
      </c>
      <c r="C1264" s="1" t="s">
        <v>9674</v>
      </c>
      <c r="D1264" s="1" t="s">
        <v>9677</v>
      </c>
      <c r="E1264" s="1" t="str">
        <f>"5855"</f>
        <v>5855</v>
      </c>
      <c r="F1264" s="1" t="str">
        <f>"016800712"</f>
        <v>016800712</v>
      </c>
      <c r="G1264" s="1" t="s">
        <v>5381</v>
      </c>
      <c r="H1264" s="1" t="s">
        <v>15</v>
      </c>
      <c r="I1264" s="1" t="str">
        <f>"15"</f>
        <v>15</v>
      </c>
      <c r="J1264" s="3" t="str">
        <f>"3000"</f>
        <v>3000</v>
      </c>
      <c r="K1264" s="4">
        <v>46084</v>
      </c>
      <c r="L1264" s="4">
        <v>46096</v>
      </c>
      <c r="M1264" s="1" t="s">
        <v>4524</v>
      </c>
      <c r="N1264" s="1" t="s">
        <v>9676</v>
      </c>
    </row>
    <row r="1265" spans="1:14" s="1" customFormat="1" x14ac:dyDescent="0.35">
      <c r="A1265" s="1" t="s">
        <v>4492</v>
      </c>
      <c r="B1265" s="1" t="s">
        <v>9675</v>
      </c>
      <c r="C1265" s="1" t="s">
        <v>9674</v>
      </c>
      <c r="D1265" s="1" t="s">
        <v>9673</v>
      </c>
      <c r="E1265" s="1" t="str">
        <f>"5855"</f>
        <v>5855</v>
      </c>
      <c r="F1265" s="1" t="str">
        <f>"014199429"</f>
        <v>014199429</v>
      </c>
      <c r="G1265" s="1" t="s">
        <v>614</v>
      </c>
      <c r="H1265" s="1" t="s">
        <v>15</v>
      </c>
      <c r="I1265" s="1" t="str">
        <f>"15"</f>
        <v>15</v>
      </c>
      <c r="J1265" s="3" t="str">
        <f>"13003"</f>
        <v>13003</v>
      </c>
      <c r="K1265" s="4">
        <v>46084</v>
      </c>
      <c r="L1265" s="4">
        <v>46095</v>
      </c>
      <c r="M1265" s="1" t="s">
        <v>4524</v>
      </c>
      <c r="N1265" s="1" t="s">
        <v>9672</v>
      </c>
    </row>
    <row r="1266" spans="1:14" s="1" customFormat="1" x14ac:dyDescent="0.35">
      <c r="A1266" s="1" t="s">
        <v>4492</v>
      </c>
      <c r="B1266" s="1" t="s">
        <v>1516</v>
      </c>
      <c r="C1266" s="1" t="s">
        <v>9671</v>
      </c>
      <c r="D1266" s="1" t="s">
        <v>9670</v>
      </c>
      <c r="E1266" s="1" t="str">
        <f>"5855"</f>
        <v>5855</v>
      </c>
      <c r="F1266" s="1" t="str">
        <f>"015847217"</f>
        <v>015847217</v>
      </c>
      <c r="G1266" s="1" t="s">
        <v>614</v>
      </c>
      <c r="H1266" s="1" t="s">
        <v>15</v>
      </c>
      <c r="I1266" s="1" t="str">
        <f>"5"</f>
        <v>5</v>
      </c>
      <c r="J1266" s="3" t="str">
        <f>"34084"</f>
        <v>34084</v>
      </c>
      <c r="K1266" s="4">
        <v>46105</v>
      </c>
      <c r="L1266" s="4">
        <v>46106</v>
      </c>
      <c r="M1266" s="1" t="s">
        <v>4524</v>
      </c>
      <c r="N1266" s="1" t="s">
        <v>9669</v>
      </c>
    </row>
    <row r="1267" spans="1:14" s="1" customFormat="1" x14ac:dyDescent="0.35">
      <c r="A1267" s="1" t="s">
        <v>4492</v>
      </c>
      <c r="B1267" s="1" t="s">
        <v>2641</v>
      </c>
      <c r="C1267" s="1" t="s">
        <v>9668</v>
      </c>
      <c r="D1267" s="1" t="s">
        <v>9667</v>
      </c>
      <c r="E1267" s="1" t="str">
        <f>"1385"</f>
        <v>1385</v>
      </c>
      <c r="F1267" s="1" t="str">
        <f>"016274491"</f>
        <v>016274491</v>
      </c>
      <c r="G1267" s="1" t="s">
        <v>6169</v>
      </c>
      <c r="H1267" s="1" t="s">
        <v>15</v>
      </c>
      <c r="I1267" s="1" t="str">
        <f>"2"</f>
        <v>2</v>
      </c>
      <c r="J1267" s="3">
        <v>11556.33</v>
      </c>
      <c r="K1267" s="4">
        <v>45967</v>
      </c>
      <c r="L1267" s="4">
        <v>46044</v>
      </c>
      <c r="M1267" s="1" t="s">
        <v>9666</v>
      </c>
      <c r="N1267" s="1" t="s">
        <v>9665</v>
      </c>
    </row>
    <row r="1268" spans="1:14" s="1" customFormat="1" x14ac:dyDescent="0.35">
      <c r="A1268" s="1" t="s">
        <v>4492</v>
      </c>
      <c r="B1268" s="1" t="s">
        <v>1791</v>
      </c>
      <c r="C1268" s="1" t="s">
        <v>9658</v>
      </c>
      <c r="D1268" s="1" t="s">
        <v>9664</v>
      </c>
      <c r="E1268" s="1" t="str">
        <f>"2320"</f>
        <v>2320</v>
      </c>
      <c r="F1268" s="1" t="s">
        <v>100</v>
      </c>
      <c r="G1268" s="1" t="s">
        <v>101</v>
      </c>
      <c r="H1268" s="1" t="s">
        <v>15</v>
      </c>
      <c r="I1268" s="1" t="str">
        <f>"1"</f>
        <v>1</v>
      </c>
      <c r="J1268" s="3" t="str">
        <f>"2000"</f>
        <v>2000</v>
      </c>
      <c r="K1268" s="4">
        <v>46078</v>
      </c>
      <c r="L1268" s="4">
        <v>46108</v>
      </c>
      <c r="M1268" s="1" t="s">
        <v>9663</v>
      </c>
      <c r="N1268" s="1" t="s">
        <v>9662</v>
      </c>
    </row>
    <row r="1269" spans="1:14" s="1" customFormat="1" x14ac:dyDescent="0.35">
      <c r="A1269" s="1" t="s">
        <v>4492</v>
      </c>
      <c r="B1269" s="1" t="s">
        <v>1791</v>
      </c>
      <c r="C1269" s="1" t="s">
        <v>9658</v>
      </c>
      <c r="D1269" s="1" t="s">
        <v>9661</v>
      </c>
      <c r="E1269" s="1" t="str">
        <f>"3805"</f>
        <v>3805</v>
      </c>
      <c r="F1269" s="1" t="str">
        <f>"015524487"</f>
        <v>015524487</v>
      </c>
      <c r="G1269" s="1" t="s">
        <v>4902</v>
      </c>
      <c r="H1269" s="1" t="s">
        <v>15</v>
      </c>
      <c r="I1269" s="1" t="str">
        <f>"1"</f>
        <v>1</v>
      </c>
      <c r="J1269" s="3" t="str">
        <f>"42630"</f>
        <v>42630</v>
      </c>
      <c r="K1269" s="4">
        <v>46085</v>
      </c>
      <c r="L1269" s="4">
        <v>46088</v>
      </c>
      <c r="M1269" s="1" t="s">
        <v>9660</v>
      </c>
      <c r="N1269" s="1" t="s">
        <v>9659</v>
      </c>
    </row>
    <row r="1270" spans="1:14" s="1" customFormat="1" x14ac:dyDescent="0.35">
      <c r="A1270" s="1" t="s">
        <v>4492</v>
      </c>
      <c r="B1270" s="1" t="s">
        <v>1791</v>
      </c>
      <c r="C1270" s="1" t="s">
        <v>9658</v>
      </c>
      <c r="D1270" s="1" t="s">
        <v>9657</v>
      </c>
      <c r="E1270" s="1" t="str">
        <f>"2310"</f>
        <v>2310</v>
      </c>
      <c r="F1270" s="1" t="s">
        <v>4332</v>
      </c>
      <c r="G1270" s="1" t="s">
        <v>4333</v>
      </c>
      <c r="H1270" s="1" t="s">
        <v>15</v>
      </c>
      <c r="I1270" s="1" t="str">
        <f>"1"</f>
        <v>1</v>
      </c>
      <c r="J1270" s="3" t="str">
        <f>"26275"</f>
        <v>26275</v>
      </c>
      <c r="K1270" s="4">
        <v>46098</v>
      </c>
      <c r="L1270" s="4">
        <v>46109</v>
      </c>
      <c r="M1270" s="1" t="s">
        <v>9656</v>
      </c>
      <c r="N1270" s="1" t="s">
        <v>9655</v>
      </c>
    </row>
    <row r="1271" spans="1:14" s="1" customFormat="1" x14ac:dyDescent="0.35">
      <c r="A1271" s="1" t="s">
        <v>4492</v>
      </c>
      <c r="B1271" s="1" t="s">
        <v>3268</v>
      </c>
      <c r="C1271" s="1" t="s">
        <v>3309</v>
      </c>
      <c r="D1271" s="1" t="s">
        <v>9654</v>
      </c>
      <c r="E1271" s="1" t="str">
        <f>"5855"</f>
        <v>5855</v>
      </c>
      <c r="F1271" s="1" t="str">
        <f>"015356166"</f>
        <v>015356166</v>
      </c>
      <c r="G1271" s="1" t="s">
        <v>742</v>
      </c>
      <c r="H1271" s="1" t="s">
        <v>15</v>
      </c>
      <c r="I1271" s="1" t="str">
        <f>"5"</f>
        <v>5</v>
      </c>
      <c r="J1271" s="3" t="str">
        <f>"898"</f>
        <v>898</v>
      </c>
      <c r="K1271" s="4">
        <v>46008</v>
      </c>
      <c r="L1271" s="4">
        <v>46044</v>
      </c>
      <c r="M1271" s="1" t="s">
        <v>9653</v>
      </c>
      <c r="N1271" s="1" t="s">
        <v>3311</v>
      </c>
    </row>
    <row r="1272" spans="1:14" s="1" customFormat="1" x14ac:dyDescent="0.35">
      <c r="A1272" s="1" t="s">
        <v>4492</v>
      </c>
      <c r="B1272" s="1" t="s">
        <v>3268</v>
      </c>
      <c r="C1272" s="1" t="s">
        <v>3309</v>
      </c>
      <c r="D1272" s="1" t="s">
        <v>9652</v>
      </c>
      <c r="E1272" s="1" t="str">
        <f>"5855"</f>
        <v>5855</v>
      </c>
      <c r="F1272" s="1" t="str">
        <f>"015626560"</f>
        <v>015626560</v>
      </c>
      <c r="G1272" s="1" t="s">
        <v>9651</v>
      </c>
      <c r="H1272" s="1" t="s">
        <v>15</v>
      </c>
      <c r="I1272" s="1" t="str">
        <f>"14"</f>
        <v>14</v>
      </c>
      <c r="J1272" s="3">
        <v>355.52</v>
      </c>
      <c r="K1272" s="4">
        <v>46011</v>
      </c>
      <c r="L1272" s="4">
        <v>46044</v>
      </c>
      <c r="M1272" s="1" t="s">
        <v>9650</v>
      </c>
      <c r="N1272" s="1" t="s">
        <v>3311</v>
      </c>
    </row>
    <row r="1273" spans="1:14" s="1" customFormat="1" x14ac:dyDescent="0.35">
      <c r="A1273" s="1" t="s">
        <v>4492</v>
      </c>
      <c r="B1273" s="1" t="s">
        <v>3268</v>
      </c>
      <c r="C1273" s="1" t="s">
        <v>3309</v>
      </c>
      <c r="D1273" s="1" t="s">
        <v>9649</v>
      </c>
      <c r="E1273" s="1" t="str">
        <f>"5855"</f>
        <v>5855</v>
      </c>
      <c r="F1273" s="1" t="str">
        <f>"015942892"</f>
        <v>015942892</v>
      </c>
      <c r="G1273" s="1" t="s">
        <v>742</v>
      </c>
      <c r="H1273" s="1" t="s">
        <v>15</v>
      </c>
      <c r="I1273" s="1" t="str">
        <f>"6"</f>
        <v>6</v>
      </c>
      <c r="J1273" s="3" t="str">
        <f>"1319"</f>
        <v>1319</v>
      </c>
      <c r="K1273" s="4">
        <v>46011</v>
      </c>
      <c r="L1273" s="4">
        <v>46025</v>
      </c>
      <c r="M1273" s="1" t="s">
        <v>9648</v>
      </c>
      <c r="N1273" s="1" t="s">
        <v>3311</v>
      </c>
    </row>
    <row r="1274" spans="1:14" s="1" customFormat="1" x14ac:dyDescent="0.35">
      <c r="A1274" s="1" t="s">
        <v>4492</v>
      </c>
      <c r="B1274" s="1" t="s">
        <v>3268</v>
      </c>
      <c r="C1274" s="1" t="s">
        <v>3309</v>
      </c>
      <c r="D1274" s="1" t="s">
        <v>9647</v>
      </c>
      <c r="E1274" s="1" t="str">
        <f>"5855"</f>
        <v>5855</v>
      </c>
      <c r="F1274" s="1" t="str">
        <f>"015369873"</f>
        <v>015369873</v>
      </c>
      <c r="G1274" s="1" t="s">
        <v>1280</v>
      </c>
      <c r="H1274" s="1" t="s">
        <v>15</v>
      </c>
      <c r="I1274" s="1" t="str">
        <f>"6"</f>
        <v>6</v>
      </c>
      <c r="J1274" s="3">
        <v>14937.17</v>
      </c>
      <c r="K1274" s="4">
        <v>46012</v>
      </c>
      <c r="L1274" s="4">
        <v>46025</v>
      </c>
      <c r="M1274" s="1" t="s">
        <v>9646</v>
      </c>
      <c r="N1274" s="1" t="s">
        <v>3311</v>
      </c>
    </row>
    <row r="1275" spans="1:14" s="1" customFormat="1" x14ac:dyDescent="0.35">
      <c r="A1275" s="1" t="s">
        <v>4492</v>
      </c>
      <c r="B1275" s="1" t="s">
        <v>3268</v>
      </c>
      <c r="C1275" s="1" t="s">
        <v>3309</v>
      </c>
      <c r="D1275" s="1" t="s">
        <v>9645</v>
      </c>
      <c r="E1275" s="1" t="str">
        <f>"5855"</f>
        <v>5855</v>
      </c>
      <c r="F1275" s="1" t="str">
        <f>"015369873"</f>
        <v>015369873</v>
      </c>
      <c r="G1275" s="1" t="s">
        <v>1280</v>
      </c>
      <c r="H1275" s="1" t="s">
        <v>15</v>
      </c>
      <c r="I1275" s="1" t="str">
        <f>"6"</f>
        <v>6</v>
      </c>
      <c r="J1275" s="3">
        <v>14937.17</v>
      </c>
      <c r="K1275" s="4">
        <v>46013</v>
      </c>
      <c r="L1275" s="4">
        <v>46036</v>
      </c>
      <c r="M1275" s="1" t="s">
        <v>9644</v>
      </c>
      <c r="N1275" s="1" t="s">
        <v>3311</v>
      </c>
    </row>
    <row r="1276" spans="1:14" s="1" customFormat="1" x14ac:dyDescent="0.35">
      <c r="A1276" s="1" t="s">
        <v>4492</v>
      </c>
      <c r="B1276" s="1" t="s">
        <v>3268</v>
      </c>
      <c r="C1276" s="1" t="s">
        <v>3309</v>
      </c>
      <c r="D1276" s="1" t="s">
        <v>9643</v>
      </c>
      <c r="E1276" s="1" t="str">
        <f>"5855"</f>
        <v>5855</v>
      </c>
      <c r="F1276" s="1" t="str">
        <f>"015847217"</f>
        <v>015847217</v>
      </c>
      <c r="G1276" s="1" t="s">
        <v>614</v>
      </c>
      <c r="H1276" s="1" t="s">
        <v>15</v>
      </c>
      <c r="I1276" s="1" t="str">
        <f>"11"</f>
        <v>11</v>
      </c>
      <c r="J1276" s="3" t="str">
        <f>"34084"</f>
        <v>34084</v>
      </c>
      <c r="K1276" s="4">
        <v>46013</v>
      </c>
      <c r="L1276" s="4">
        <v>46031</v>
      </c>
      <c r="M1276" s="1" t="s">
        <v>9642</v>
      </c>
      <c r="N1276" s="1" t="s">
        <v>3311</v>
      </c>
    </row>
    <row r="1277" spans="1:14" s="1" customFormat="1" x14ac:dyDescent="0.35">
      <c r="A1277" s="1" t="s">
        <v>4492</v>
      </c>
      <c r="B1277" s="1" t="s">
        <v>3268</v>
      </c>
      <c r="C1277" s="1" t="s">
        <v>3309</v>
      </c>
      <c r="D1277" s="1" t="s">
        <v>9641</v>
      </c>
      <c r="E1277" s="1" t="str">
        <f>"5855"</f>
        <v>5855</v>
      </c>
      <c r="F1277" s="1" t="str">
        <f>"015936375"</f>
        <v>015936375</v>
      </c>
      <c r="G1277" s="1" t="s">
        <v>1357</v>
      </c>
      <c r="H1277" s="1" t="s">
        <v>15</v>
      </c>
      <c r="I1277" s="1" t="str">
        <f>"14"</f>
        <v>14</v>
      </c>
      <c r="J1277" s="3">
        <v>668.29</v>
      </c>
      <c r="K1277" s="4">
        <v>46018</v>
      </c>
      <c r="L1277" s="4">
        <v>46028</v>
      </c>
      <c r="M1277" s="1" t="s">
        <v>9640</v>
      </c>
      <c r="N1277" s="1" t="s">
        <v>3317</v>
      </c>
    </row>
    <row r="1278" spans="1:14" s="1" customFormat="1" x14ac:dyDescent="0.35">
      <c r="A1278" s="1" t="s">
        <v>4492</v>
      </c>
      <c r="B1278" s="1" t="s">
        <v>3268</v>
      </c>
      <c r="C1278" s="1" t="s">
        <v>3309</v>
      </c>
      <c r="D1278" s="1" t="s">
        <v>9639</v>
      </c>
      <c r="E1278" s="1" t="str">
        <f>"5855"</f>
        <v>5855</v>
      </c>
      <c r="F1278" s="1" t="str">
        <f>"015665301"</f>
        <v>015665301</v>
      </c>
      <c r="G1278" s="1" t="s">
        <v>1357</v>
      </c>
      <c r="H1278" s="1" t="s">
        <v>15</v>
      </c>
      <c r="I1278" s="1" t="str">
        <f>"3"</f>
        <v>3</v>
      </c>
      <c r="J1278" s="3">
        <v>445.26</v>
      </c>
      <c r="K1278" s="4">
        <v>46018</v>
      </c>
      <c r="L1278" s="4">
        <v>46028</v>
      </c>
      <c r="M1278" s="1" t="s">
        <v>9638</v>
      </c>
      <c r="N1278" s="1" t="s">
        <v>3317</v>
      </c>
    </row>
    <row r="1279" spans="1:14" s="1" customFormat="1" x14ac:dyDescent="0.35">
      <c r="A1279" s="1" t="s">
        <v>4492</v>
      </c>
      <c r="B1279" s="1" t="s">
        <v>3268</v>
      </c>
      <c r="C1279" s="1" t="s">
        <v>3309</v>
      </c>
      <c r="D1279" s="1" t="s">
        <v>9637</v>
      </c>
      <c r="E1279" s="1" t="str">
        <f>"5855"</f>
        <v>5855</v>
      </c>
      <c r="F1279" s="1" t="str">
        <f>"016800712"</f>
        <v>016800712</v>
      </c>
      <c r="G1279" s="1" t="s">
        <v>5381</v>
      </c>
      <c r="H1279" s="1" t="s">
        <v>15</v>
      </c>
      <c r="I1279" s="1" t="str">
        <f>"50"</f>
        <v>50</v>
      </c>
      <c r="J1279" s="3" t="str">
        <f>"3000"</f>
        <v>3000</v>
      </c>
      <c r="K1279" s="4">
        <v>46019</v>
      </c>
      <c r="L1279" s="4">
        <v>46064</v>
      </c>
      <c r="M1279" s="1" t="s">
        <v>9636</v>
      </c>
      <c r="N1279" s="1" t="s">
        <v>3317</v>
      </c>
    </row>
    <row r="1280" spans="1:14" s="1" customFormat="1" x14ac:dyDescent="0.35">
      <c r="A1280" s="1" t="s">
        <v>4492</v>
      </c>
      <c r="B1280" s="1" t="s">
        <v>3268</v>
      </c>
      <c r="C1280" s="1" t="s">
        <v>3309</v>
      </c>
      <c r="D1280" s="1" t="s">
        <v>9635</v>
      </c>
      <c r="E1280" s="1" t="str">
        <f>"5855"</f>
        <v>5855</v>
      </c>
      <c r="F1280" s="1" t="str">
        <f>"016108704"</f>
        <v>016108704</v>
      </c>
      <c r="G1280" s="1" t="s">
        <v>3314</v>
      </c>
      <c r="H1280" s="1" t="s">
        <v>15</v>
      </c>
      <c r="I1280" s="1" t="str">
        <f>"15"</f>
        <v>15</v>
      </c>
      <c r="J1280" s="3" t="str">
        <f>"183"</f>
        <v>183</v>
      </c>
      <c r="K1280" s="4">
        <v>46013</v>
      </c>
      <c r="L1280" s="4">
        <v>46036</v>
      </c>
      <c r="M1280" s="1" t="s">
        <v>9634</v>
      </c>
      <c r="N1280" s="1" t="s">
        <v>9633</v>
      </c>
    </row>
    <row r="1281" spans="1:14" s="1" customFormat="1" x14ac:dyDescent="0.35">
      <c r="A1281" s="1" t="s">
        <v>4492</v>
      </c>
      <c r="B1281" s="1" t="s">
        <v>3268</v>
      </c>
      <c r="C1281" s="1" t="s">
        <v>3309</v>
      </c>
      <c r="D1281" s="1" t="s">
        <v>9632</v>
      </c>
      <c r="E1281" s="1" t="str">
        <f>"1240"</f>
        <v>1240</v>
      </c>
      <c r="F1281" s="1" t="str">
        <f>"016642786"</f>
        <v>016642786</v>
      </c>
      <c r="G1281" s="1" t="s">
        <v>4579</v>
      </c>
      <c r="H1281" s="1" t="s">
        <v>15</v>
      </c>
      <c r="I1281" s="1" t="str">
        <f>"3"</f>
        <v>3</v>
      </c>
      <c r="J1281" s="3">
        <v>7156.33</v>
      </c>
      <c r="K1281" s="4">
        <v>46026</v>
      </c>
      <c r="L1281" s="4">
        <v>46036</v>
      </c>
      <c r="M1281" s="1" t="s">
        <v>9631</v>
      </c>
      <c r="N1281" s="1" t="s">
        <v>9630</v>
      </c>
    </row>
    <row r="1282" spans="1:14" s="1" customFormat="1" x14ac:dyDescent="0.35">
      <c r="A1282" s="1" t="s">
        <v>4492</v>
      </c>
      <c r="B1282" s="1" t="s">
        <v>3268</v>
      </c>
      <c r="C1282" s="1" t="s">
        <v>3309</v>
      </c>
      <c r="D1282" s="1" t="s">
        <v>9629</v>
      </c>
      <c r="E1282" s="1" t="str">
        <f>"6230"</f>
        <v>6230</v>
      </c>
      <c r="F1282" s="1" t="s">
        <v>3594</v>
      </c>
      <c r="G1282" s="1" t="s">
        <v>3595</v>
      </c>
      <c r="H1282" s="1" t="s">
        <v>15</v>
      </c>
      <c r="I1282" s="1" t="str">
        <f>"6"</f>
        <v>6</v>
      </c>
      <c r="J1282" s="3">
        <v>677.38</v>
      </c>
      <c r="K1282" s="4">
        <v>46076</v>
      </c>
      <c r="L1282" s="4">
        <v>46108</v>
      </c>
      <c r="M1282" s="1" t="s">
        <v>9628</v>
      </c>
      <c r="N1282" s="1" t="s">
        <v>9627</v>
      </c>
    </row>
    <row r="1283" spans="1:14" s="1" customFormat="1" x14ac:dyDescent="0.35">
      <c r="A1283" s="1" t="s">
        <v>4492</v>
      </c>
      <c r="B1283" s="1" t="s">
        <v>3268</v>
      </c>
      <c r="C1283" s="1" t="s">
        <v>3309</v>
      </c>
      <c r="D1283" s="1" t="s">
        <v>9626</v>
      </c>
      <c r="E1283" s="1" t="str">
        <f>"4240"</f>
        <v>4240</v>
      </c>
      <c r="F1283" s="1" t="str">
        <f>"016306064"</f>
        <v>016306064</v>
      </c>
      <c r="G1283" s="1" t="s">
        <v>1404</v>
      </c>
      <c r="H1283" s="1" t="s">
        <v>15</v>
      </c>
      <c r="I1283" s="1" t="str">
        <f>"10"</f>
        <v>10</v>
      </c>
      <c r="J1283" s="3">
        <v>128.97999999999999</v>
      </c>
      <c r="K1283" s="4">
        <v>46103</v>
      </c>
      <c r="L1283" s="4">
        <v>46105</v>
      </c>
      <c r="M1283" s="1" t="s">
        <v>9625</v>
      </c>
      <c r="N1283" s="1" t="s">
        <v>9624</v>
      </c>
    </row>
    <row r="1284" spans="1:14" s="1" customFormat="1" x14ac:dyDescent="0.35">
      <c r="A1284" s="1" t="s">
        <v>4492</v>
      </c>
      <c r="B1284" s="1" t="s">
        <v>3268</v>
      </c>
      <c r="C1284" s="1" t="s">
        <v>3309</v>
      </c>
      <c r="D1284" s="1" t="s">
        <v>9623</v>
      </c>
      <c r="E1284" s="1" t="str">
        <f>"1240"</f>
        <v>1240</v>
      </c>
      <c r="F1284" s="1" t="s">
        <v>1364</v>
      </c>
      <c r="G1284" s="1" t="s">
        <v>1365</v>
      </c>
      <c r="H1284" s="1" t="s">
        <v>15</v>
      </c>
      <c r="I1284" s="1" t="str">
        <f>"3"</f>
        <v>3</v>
      </c>
      <c r="J1284" s="3" t="str">
        <f>"1500"</f>
        <v>1500</v>
      </c>
      <c r="K1284" s="4">
        <v>46107</v>
      </c>
      <c r="L1284" s="4">
        <v>46108</v>
      </c>
      <c r="M1284" s="1" t="s">
        <v>4524</v>
      </c>
      <c r="N1284" s="1" t="s">
        <v>9622</v>
      </c>
    </row>
    <row r="1285" spans="1:14" s="1" customFormat="1" x14ac:dyDescent="0.35">
      <c r="A1285" s="1" t="s">
        <v>4492</v>
      </c>
      <c r="B1285" s="1" t="s">
        <v>2196</v>
      </c>
      <c r="C1285" s="1" t="s">
        <v>9621</v>
      </c>
      <c r="D1285" s="1" t="s">
        <v>9620</v>
      </c>
      <c r="E1285" s="1" t="str">
        <f>"6230"</f>
        <v>6230</v>
      </c>
      <c r="F1285" s="1" t="s">
        <v>3594</v>
      </c>
      <c r="G1285" s="1" t="s">
        <v>3595</v>
      </c>
      <c r="H1285" s="1" t="s">
        <v>15</v>
      </c>
      <c r="I1285" s="1" t="str">
        <f>"4"</f>
        <v>4</v>
      </c>
      <c r="J1285" s="3" t="str">
        <f>"1000"</f>
        <v>1000</v>
      </c>
      <c r="K1285" s="4">
        <v>46027</v>
      </c>
      <c r="L1285" s="4">
        <v>46028</v>
      </c>
      <c r="M1285" s="1" t="s">
        <v>4524</v>
      </c>
      <c r="N1285" s="1" t="s">
        <v>9619</v>
      </c>
    </row>
    <row r="1286" spans="1:14" s="1" customFormat="1" x14ac:dyDescent="0.35">
      <c r="A1286" s="1" t="s">
        <v>4492</v>
      </c>
      <c r="B1286" s="1" t="s">
        <v>1303</v>
      </c>
      <c r="C1286" s="1" t="s">
        <v>9590</v>
      </c>
      <c r="D1286" s="1" t="s">
        <v>9618</v>
      </c>
      <c r="E1286" s="1" t="str">
        <f>"5855"</f>
        <v>5855</v>
      </c>
      <c r="F1286" s="1" t="str">
        <f>"013867136"</f>
        <v>013867136</v>
      </c>
      <c r="G1286" s="1" t="s">
        <v>614</v>
      </c>
      <c r="H1286" s="1" t="s">
        <v>15</v>
      </c>
      <c r="I1286" s="1" t="str">
        <f>"1"</f>
        <v>1</v>
      </c>
      <c r="J1286" s="3">
        <v>6624.96</v>
      </c>
      <c r="K1286" s="4">
        <v>46027</v>
      </c>
      <c r="L1286" s="4">
        <v>46031</v>
      </c>
      <c r="M1286" s="1" t="s">
        <v>9617</v>
      </c>
      <c r="N1286" s="1" t="s">
        <v>9587</v>
      </c>
    </row>
    <row r="1287" spans="1:14" s="1" customFormat="1" x14ac:dyDescent="0.35">
      <c r="A1287" s="1" t="s">
        <v>4492</v>
      </c>
      <c r="B1287" s="1" t="s">
        <v>1303</v>
      </c>
      <c r="C1287" s="1" t="s">
        <v>9590</v>
      </c>
      <c r="D1287" s="1" t="s">
        <v>9616</v>
      </c>
      <c r="E1287" s="1" t="str">
        <f>"5855"</f>
        <v>5855</v>
      </c>
      <c r="F1287" s="1" t="str">
        <f>"013867136"</f>
        <v>013867136</v>
      </c>
      <c r="G1287" s="1" t="s">
        <v>614</v>
      </c>
      <c r="H1287" s="1" t="s">
        <v>15</v>
      </c>
      <c r="I1287" s="1" t="str">
        <f>"1"</f>
        <v>1</v>
      </c>
      <c r="J1287" s="3">
        <v>6624.96</v>
      </c>
      <c r="K1287" s="4">
        <v>46027</v>
      </c>
      <c r="L1287" s="4">
        <v>46031</v>
      </c>
      <c r="M1287" s="1" t="s">
        <v>9615</v>
      </c>
      <c r="N1287" s="1" t="s">
        <v>9587</v>
      </c>
    </row>
    <row r="1288" spans="1:14" s="1" customFormat="1" x14ac:dyDescent="0.35">
      <c r="A1288" s="1" t="s">
        <v>4492</v>
      </c>
      <c r="B1288" s="1" t="s">
        <v>1303</v>
      </c>
      <c r="C1288" s="1" t="s">
        <v>9590</v>
      </c>
      <c r="D1288" s="1" t="s">
        <v>9614</v>
      </c>
      <c r="E1288" s="1" t="str">
        <f>"5855"</f>
        <v>5855</v>
      </c>
      <c r="F1288" s="1" t="str">
        <f>"013867136"</f>
        <v>013867136</v>
      </c>
      <c r="G1288" s="1" t="s">
        <v>614</v>
      </c>
      <c r="H1288" s="1" t="s">
        <v>15</v>
      </c>
      <c r="I1288" s="1" t="str">
        <f>"1"</f>
        <v>1</v>
      </c>
      <c r="J1288" s="3">
        <v>6624.96</v>
      </c>
      <c r="K1288" s="4">
        <v>46027</v>
      </c>
      <c r="L1288" s="4">
        <v>46031</v>
      </c>
      <c r="M1288" s="1" t="s">
        <v>9613</v>
      </c>
      <c r="N1288" s="1" t="s">
        <v>9587</v>
      </c>
    </row>
    <row r="1289" spans="1:14" s="1" customFormat="1" x14ac:dyDescent="0.35">
      <c r="A1289" s="1" t="s">
        <v>4492</v>
      </c>
      <c r="B1289" s="1" t="s">
        <v>1303</v>
      </c>
      <c r="C1289" s="1" t="s">
        <v>9590</v>
      </c>
      <c r="D1289" s="1" t="s">
        <v>9612</v>
      </c>
      <c r="E1289" s="1" t="str">
        <f>"5855"</f>
        <v>5855</v>
      </c>
      <c r="F1289" s="1" t="str">
        <f>"013867136"</f>
        <v>013867136</v>
      </c>
      <c r="G1289" s="1" t="s">
        <v>614</v>
      </c>
      <c r="H1289" s="1" t="s">
        <v>15</v>
      </c>
      <c r="I1289" s="1" t="str">
        <f>"1"</f>
        <v>1</v>
      </c>
      <c r="J1289" s="3">
        <v>6624.96</v>
      </c>
      <c r="K1289" s="4">
        <v>46027</v>
      </c>
      <c r="L1289" s="4">
        <v>46031</v>
      </c>
      <c r="M1289" s="1" t="s">
        <v>9611</v>
      </c>
      <c r="N1289" s="1" t="s">
        <v>9587</v>
      </c>
    </row>
    <row r="1290" spans="1:14" s="1" customFormat="1" x14ac:dyDescent="0.35">
      <c r="A1290" s="1" t="s">
        <v>4492</v>
      </c>
      <c r="B1290" s="1" t="s">
        <v>1303</v>
      </c>
      <c r="C1290" s="1" t="s">
        <v>9590</v>
      </c>
      <c r="D1290" s="1" t="s">
        <v>9610</v>
      </c>
      <c r="E1290" s="1" t="str">
        <f>"5855"</f>
        <v>5855</v>
      </c>
      <c r="F1290" s="1" t="str">
        <f>"013867136"</f>
        <v>013867136</v>
      </c>
      <c r="G1290" s="1" t="s">
        <v>614</v>
      </c>
      <c r="H1290" s="1" t="s">
        <v>15</v>
      </c>
      <c r="I1290" s="1" t="str">
        <f>"1"</f>
        <v>1</v>
      </c>
      <c r="J1290" s="3">
        <v>6624.96</v>
      </c>
      <c r="K1290" s="4">
        <v>46027</v>
      </c>
      <c r="L1290" s="4">
        <v>46031</v>
      </c>
      <c r="M1290" s="1" t="s">
        <v>9609</v>
      </c>
      <c r="N1290" s="1" t="s">
        <v>9587</v>
      </c>
    </row>
    <row r="1291" spans="1:14" s="1" customFormat="1" x14ac:dyDescent="0.35">
      <c r="A1291" s="1" t="s">
        <v>4492</v>
      </c>
      <c r="B1291" s="1" t="s">
        <v>1303</v>
      </c>
      <c r="C1291" s="1" t="s">
        <v>9590</v>
      </c>
      <c r="D1291" s="1" t="s">
        <v>9608</v>
      </c>
      <c r="E1291" s="1" t="str">
        <f>"5855"</f>
        <v>5855</v>
      </c>
      <c r="F1291" s="1" t="str">
        <f>"013867136"</f>
        <v>013867136</v>
      </c>
      <c r="G1291" s="1" t="s">
        <v>614</v>
      </c>
      <c r="H1291" s="1" t="s">
        <v>15</v>
      </c>
      <c r="I1291" s="1" t="str">
        <f>"1"</f>
        <v>1</v>
      </c>
      <c r="J1291" s="3">
        <v>6624.96</v>
      </c>
      <c r="K1291" s="4">
        <v>46027</v>
      </c>
      <c r="L1291" s="4">
        <v>46031</v>
      </c>
      <c r="M1291" s="1" t="s">
        <v>9607</v>
      </c>
      <c r="N1291" s="1" t="s">
        <v>9587</v>
      </c>
    </row>
    <row r="1292" spans="1:14" s="1" customFormat="1" x14ac:dyDescent="0.35">
      <c r="A1292" s="1" t="s">
        <v>4492</v>
      </c>
      <c r="B1292" s="1" t="s">
        <v>1303</v>
      </c>
      <c r="C1292" s="1" t="s">
        <v>9590</v>
      </c>
      <c r="D1292" s="1" t="s">
        <v>9606</v>
      </c>
      <c r="E1292" s="1" t="str">
        <f>"5855"</f>
        <v>5855</v>
      </c>
      <c r="F1292" s="1" t="str">
        <f>"013867136"</f>
        <v>013867136</v>
      </c>
      <c r="G1292" s="1" t="s">
        <v>614</v>
      </c>
      <c r="H1292" s="1" t="s">
        <v>15</v>
      </c>
      <c r="I1292" s="1" t="str">
        <f>"1"</f>
        <v>1</v>
      </c>
      <c r="J1292" s="3">
        <v>6624.96</v>
      </c>
      <c r="K1292" s="4">
        <v>46027</v>
      </c>
      <c r="L1292" s="4">
        <v>46031</v>
      </c>
      <c r="M1292" s="1" t="s">
        <v>9605</v>
      </c>
      <c r="N1292" s="1" t="s">
        <v>9587</v>
      </c>
    </row>
    <row r="1293" spans="1:14" s="1" customFormat="1" x14ac:dyDescent="0.35">
      <c r="A1293" s="1" t="s">
        <v>4492</v>
      </c>
      <c r="B1293" s="1" t="s">
        <v>1303</v>
      </c>
      <c r="C1293" s="1" t="s">
        <v>9590</v>
      </c>
      <c r="D1293" s="1" t="s">
        <v>9604</v>
      </c>
      <c r="E1293" s="1" t="str">
        <f>"5855"</f>
        <v>5855</v>
      </c>
      <c r="F1293" s="1" t="str">
        <f>"013867136"</f>
        <v>013867136</v>
      </c>
      <c r="G1293" s="1" t="s">
        <v>614</v>
      </c>
      <c r="H1293" s="1" t="s">
        <v>15</v>
      </c>
      <c r="I1293" s="1" t="str">
        <f>"1"</f>
        <v>1</v>
      </c>
      <c r="J1293" s="3">
        <v>6624.96</v>
      </c>
      <c r="K1293" s="4">
        <v>46027</v>
      </c>
      <c r="L1293" s="4">
        <v>46031</v>
      </c>
      <c r="M1293" s="1" t="s">
        <v>9603</v>
      </c>
      <c r="N1293" s="1" t="s">
        <v>9587</v>
      </c>
    </row>
    <row r="1294" spans="1:14" s="1" customFormat="1" x14ac:dyDescent="0.35">
      <c r="A1294" s="1" t="s">
        <v>4492</v>
      </c>
      <c r="B1294" s="1" t="s">
        <v>1303</v>
      </c>
      <c r="C1294" s="1" t="s">
        <v>9590</v>
      </c>
      <c r="D1294" s="1" t="s">
        <v>9602</v>
      </c>
      <c r="E1294" s="1" t="str">
        <f>"5855"</f>
        <v>5855</v>
      </c>
      <c r="F1294" s="1" t="str">
        <f>"013867136"</f>
        <v>013867136</v>
      </c>
      <c r="G1294" s="1" t="s">
        <v>614</v>
      </c>
      <c r="H1294" s="1" t="s">
        <v>15</v>
      </c>
      <c r="I1294" s="1" t="str">
        <f>"1"</f>
        <v>1</v>
      </c>
      <c r="J1294" s="3">
        <v>6624.96</v>
      </c>
      <c r="K1294" s="4">
        <v>46027</v>
      </c>
      <c r="L1294" s="4">
        <v>46031</v>
      </c>
      <c r="M1294" s="1" t="s">
        <v>9601</v>
      </c>
      <c r="N1294" s="1" t="s">
        <v>9587</v>
      </c>
    </row>
    <row r="1295" spans="1:14" s="1" customFormat="1" x14ac:dyDescent="0.35">
      <c r="A1295" s="1" t="s">
        <v>4492</v>
      </c>
      <c r="B1295" s="1" t="s">
        <v>1303</v>
      </c>
      <c r="C1295" s="1" t="s">
        <v>9590</v>
      </c>
      <c r="D1295" s="1" t="s">
        <v>9600</v>
      </c>
      <c r="E1295" s="1" t="str">
        <f>"5855"</f>
        <v>5855</v>
      </c>
      <c r="F1295" s="1" t="str">
        <f>"013867136"</f>
        <v>013867136</v>
      </c>
      <c r="G1295" s="1" t="s">
        <v>614</v>
      </c>
      <c r="H1295" s="1" t="s">
        <v>15</v>
      </c>
      <c r="I1295" s="1" t="str">
        <f>"1"</f>
        <v>1</v>
      </c>
      <c r="J1295" s="3">
        <v>6624.96</v>
      </c>
      <c r="K1295" s="4">
        <v>46027</v>
      </c>
      <c r="L1295" s="4">
        <v>46031</v>
      </c>
      <c r="M1295" s="1" t="s">
        <v>9599</v>
      </c>
      <c r="N1295" s="1" t="s">
        <v>9587</v>
      </c>
    </row>
    <row r="1296" spans="1:14" s="1" customFormat="1" x14ac:dyDescent="0.35">
      <c r="A1296" s="1" t="s">
        <v>4492</v>
      </c>
      <c r="B1296" s="1" t="s">
        <v>1303</v>
      </c>
      <c r="C1296" s="1" t="s">
        <v>9590</v>
      </c>
      <c r="D1296" s="1" t="s">
        <v>9598</v>
      </c>
      <c r="E1296" s="1" t="str">
        <f>"5855"</f>
        <v>5855</v>
      </c>
      <c r="F1296" s="1" t="str">
        <f>"013867136"</f>
        <v>013867136</v>
      </c>
      <c r="G1296" s="1" t="s">
        <v>614</v>
      </c>
      <c r="H1296" s="1" t="s">
        <v>15</v>
      </c>
      <c r="I1296" s="1" t="str">
        <f>"1"</f>
        <v>1</v>
      </c>
      <c r="J1296" s="3">
        <v>6624.96</v>
      </c>
      <c r="K1296" s="4">
        <v>46027</v>
      </c>
      <c r="L1296" s="4">
        <v>46031</v>
      </c>
      <c r="M1296" s="1" t="s">
        <v>9597</v>
      </c>
      <c r="N1296" s="1" t="s">
        <v>9587</v>
      </c>
    </row>
    <row r="1297" spans="1:14" s="1" customFormat="1" x14ac:dyDescent="0.35">
      <c r="A1297" s="1" t="s">
        <v>4492</v>
      </c>
      <c r="B1297" s="1" t="s">
        <v>1303</v>
      </c>
      <c r="C1297" s="1" t="s">
        <v>9590</v>
      </c>
      <c r="D1297" s="1" t="s">
        <v>9596</v>
      </c>
      <c r="E1297" s="1" t="str">
        <f>"5855"</f>
        <v>5855</v>
      </c>
      <c r="F1297" s="1" t="str">
        <f>"013867136"</f>
        <v>013867136</v>
      </c>
      <c r="G1297" s="1" t="s">
        <v>614</v>
      </c>
      <c r="H1297" s="1" t="s">
        <v>15</v>
      </c>
      <c r="I1297" s="1" t="str">
        <f>"1"</f>
        <v>1</v>
      </c>
      <c r="J1297" s="3">
        <v>6624.96</v>
      </c>
      <c r="K1297" s="4">
        <v>46027</v>
      </c>
      <c r="L1297" s="4">
        <v>46031</v>
      </c>
      <c r="M1297" s="1" t="s">
        <v>9595</v>
      </c>
      <c r="N1297" s="1" t="s">
        <v>9587</v>
      </c>
    </row>
    <row r="1298" spans="1:14" s="1" customFormat="1" x14ac:dyDescent="0.35">
      <c r="A1298" s="1" t="s">
        <v>4492</v>
      </c>
      <c r="B1298" s="1" t="s">
        <v>1303</v>
      </c>
      <c r="C1298" s="1" t="s">
        <v>9590</v>
      </c>
      <c r="D1298" s="1" t="s">
        <v>9594</v>
      </c>
      <c r="E1298" s="1" t="str">
        <f>"5855"</f>
        <v>5855</v>
      </c>
      <c r="F1298" s="1" t="str">
        <f>"013867136"</f>
        <v>013867136</v>
      </c>
      <c r="G1298" s="1" t="s">
        <v>614</v>
      </c>
      <c r="H1298" s="1" t="s">
        <v>15</v>
      </c>
      <c r="I1298" s="1" t="str">
        <f>"1"</f>
        <v>1</v>
      </c>
      <c r="J1298" s="3">
        <v>6624.96</v>
      </c>
      <c r="K1298" s="4">
        <v>46027</v>
      </c>
      <c r="L1298" s="4">
        <v>46031</v>
      </c>
      <c r="M1298" s="1" t="s">
        <v>9593</v>
      </c>
      <c r="N1298" s="1" t="s">
        <v>9587</v>
      </c>
    </row>
    <row r="1299" spans="1:14" s="1" customFormat="1" x14ac:dyDescent="0.35">
      <c r="A1299" s="1" t="s">
        <v>4492</v>
      </c>
      <c r="B1299" s="1" t="s">
        <v>1303</v>
      </c>
      <c r="C1299" s="1" t="s">
        <v>9590</v>
      </c>
      <c r="D1299" s="1" t="s">
        <v>9592</v>
      </c>
      <c r="E1299" s="1" t="str">
        <f>"5855"</f>
        <v>5855</v>
      </c>
      <c r="F1299" s="1" t="str">
        <f>"013867136"</f>
        <v>013867136</v>
      </c>
      <c r="G1299" s="1" t="s">
        <v>614</v>
      </c>
      <c r="H1299" s="1" t="s">
        <v>15</v>
      </c>
      <c r="I1299" s="1" t="str">
        <f>"1"</f>
        <v>1</v>
      </c>
      <c r="J1299" s="3">
        <v>6624.96</v>
      </c>
      <c r="K1299" s="4">
        <v>46027</v>
      </c>
      <c r="L1299" s="4">
        <v>46031</v>
      </c>
      <c r="M1299" s="1" t="s">
        <v>9591</v>
      </c>
      <c r="N1299" s="1" t="s">
        <v>9587</v>
      </c>
    </row>
    <row r="1300" spans="1:14" s="1" customFormat="1" x14ac:dyDescent="0.35">
      <c r="A1300" s="1" t="s">
        <v>4492</v>
      </c>
      <c r="B1300" s="1" t="s">
        <v>1303</v>
      </c>
      <c r="C1300" s="1" t="s">
        <v>9590</v>
      </c>
      <c r="D1300" s="1" t="s">
        <v>9589</v>
      </c>
      <c r="E1300" s="1" t="str">
        <f>"5855"</f>
        <v>5855</v>
      </c>
      <c r="F1300" s="1" t="str">
        <f>"013867136"</f>
        <v>013867136</v>
      </c>
      <c r="G1300" s="1" t="s">
        <v>614</v>
      </c>
      <c r="H1300" s="1" t="s">
        <v>15</v>
      </c>
      <c r="I1300" s="1" t="str">
        <f>"1"</f>
        <v>1</v>
      </c>
      <c r="J1300" s="3">
        <v>6624.96</v>
      </c>
      <c r="K1300" s="4">
        <v>46027</v>
      </c>
      <c r="L1300" s="4">
        <v>46031</v>
      </c>
      <c r="M1300" s="1" t="s">
        <v>9588</v>
      </c>
      <c r="N1300" s="1" t="s">
        <v>9587</v>
      </c>
    </row>
    <row r="1301" spans="1:14" s="1" customFormat="1" x14ac:dyDescent="0.35">
      <c r="A1301" s="1" t="s">
        <v>4492</v>
      </c>
      <c r="B1301" s="1" t="s">
        <v>1284</v>
      </c>
      <c r="C1301" s="1" t="s">
        <v>9534</v>
      </c>
      <c r="D1301" s="1" t="s">
        <v>9586</v>
      </c>
      <c r="E1301" s="1" t="str">
        <f>"6115"</f>
        <v>6115</v>
      </c>
      <c r="F1301" s="1" t="str">
        <f>"013199032"</f>
        <v>013199032</v>
      </c>
      <c r="G1301" s="1" t="s">
        <v>1179</v>
      </c>
      <c r="H1301" s="1" t="s">
        <v>15</v>
      </c>
      <c r="I1301" s="1" t="str">
        <f>"1"</f>
        <v>1</v>
      </c>
      <c r="J1301" s="3" t="str">
        <f>"17730"</f>
        <v>17730</v>
      </c>
      <c r="K1301" s="4">
        <v>46073</v>
      </c>
      <c r="L1301" s="4">
        <v>46074</v>
      </c>
      <c r="M1301" s="1" t="s">
        <v>4524</v>
      </c>
      <c r="N1301" s="1" t="s">
        <v>9585</v>
      </c>
    </row>
    <row r="1302" spans="1:14" s="1" customFormat="1" x14ac:dyDescent="0.35">
      <c r="A1302" s="1" t="s">
        <v>4492</v>
      </c>
      <c r="B1302" s="1" t="s">
        <v>1284</v>
      </c>
      <c r="C1302" s="1" t="s">
        <v>9534</v>
      </c>
      <c r="D1302" s="1" t="s">
        <v>9584</v>
      </c>
      <c r="E1302" s="1" t="str">
        <f>"8415"</f>
        <v>8415</v>
      </c>
      <c r="F1302" s="1" t="str">
        <f>"010401453"</f>
        <v>010401453</v>
      </c>
      <c r="G1302" s="1" t="s">
        <v>9583</v>
      </c>
      <c r="H1302" s="1" t="s">
        <v>47</v>
      </c>
      <c r="I1302" s="1" t="str">
        <f>"26"</f>
        <v>26</v>
      </c>
      <c r="J1302" s="3">
        <v>40.369999999999997</v>
      </c>
      <c r="K1302" s="4">
        <v>46073</v>
      </c>
      <c r="L1302" s="4">
        <v>46074</v>
      </c>
      <c r="M1302" s="1" t="s">
        <v>4524</v>
      </c>
      <c r="N1302" s="1" t="s">
        <v>9582</v>
      </c>
    </row>
    <row r="1303" spans="1:14" s="1" customFormat="1" x14ac:dyDescent="0.35">
      <c r="A1303" s="1" t="s">
        <v>4492</v>
      </c>
      <c r="B1303" s="1" t="s">
        <v>1284</v>
      </c>
      <c r="C1303" s="1" t="s">
        <v>9534</v>
      </c>
      <c r="D1303" s="1" t="s">
        <v>9581</v>
      </c>
      <c r="E1303" s="1" t="str">
        <f>"8465"</f>
        <v>8465</v>
      </c>
      <c r="F1303" s="1" t="str">
        <f>"015832203"</f>
        <v>015832203</v>
      </c>
      <c r="G1303" s="1" t="s">
        <v>2054</v>
      </c>
      <c r="H1303" s="1" t="s">
        <v>15</v>
      </c>
      <c r="I1303" s="1" t="str">
        <f>"2"</f>
        <v>2</v>
      </c>
      <c r="J1303" s="3">
        <v>13.43</v>
      </c>
      <c r="K1303" s="4">
        <v>46073</v>
      </c>
      <c r="L1303" s="4">
        <v>46074</v>
      </c>
      <c r="M1303" s="1" t="s">
        <v>4524</v>
      </c>
      <c r="N1303" s="1" t="s">
        <v>9580</v>
      </c>
    </row>
    <row r="1304" spans="1:14" s="1" customFormat="1" x14ac:dyDescent="0.35">
      <c r="A1304" s="1" t="s">
        <v>4492</v>
      </c>
      <c r="B1304" s="1" t="s">
        <v>1284</v>
      </c>
      <c r="C1304" s="1" t="s">
        <v>9534</v>
      </c>
      <c r="D1304" s="1" t="s">
        <v>9579</v>
      </c>
      <c r="E1304" s="1" t="str">
        <f>"6720"</f>
        <v>6720</v>
      </c>
      <c r="F1304" s="1" t="s">
        <v>1719</v>
      </c>
      <c r="G1304" s="1" t="s">
        <v>1720</v>
      </c>
      <c r="H1304" s="1" t="s">
        <v>15</v>
      </c>
      <c r="I1304" s="1" t="str">
        <f>"1"</f>
        <v>1</v>
      </c>
      <c r="J1304" s="3" t="str">
        <f>"2249"</f>
        <v>2249</v>
      </c>
      <c r="K1304" s="4">
        <v>46073</v>
      </c>
      <c r="L1304" s="4">
        <v>46074</v>
      </c>
      <c r="M1304" s="1" t="s">
        <v>4524</v>
      </c>
      <c r="N1304" s="1" t="s">
        <v>9578</v>
      </c>
    </row>
    <row r="1305" spans="1:14" s="1" customFormat="1" x14ac:dyDescent="0.35">
      <c r="A1305" s="1" t="s">
        <v>4492</v>
      </c>
      <c r="B1305" s="1" t="s">
        <v>1284</v>
      </c>
      <c r="C1305" s="1" t="s">
        <v>9534</v>
      </c>
      <c r="D1305" s="1" t="s">
        <v>9577</v>
      </c>
      <c r="E1305" s="1" t="str">
        <f>"6720"</f>
        <v>6720</v>
      </c>
      <c r="F1305" s="1" t="s">
        <v>1719</v>
      </c>
      <c r="G1305" s="1" t="s">
        <v>1720</v>
      </c>
      <c r="H1305" s="1" t="s">
        <v>15</v>
      </c>
      <c r="I1305" s="1" t="str">
        <f>"1"</f>
        <v>1</v>
      </c>
      <c r="J1305" s="3">
        <v>629.96</v>
      </c>
      <c r="K1305" s="4">
        <v>46073</v>
      </c>
      <c r="L1305" s="4">
        <v>46074</v>
      </c>
      <c r="M1305" s="1" t="s">
        <v>4524</v>
      </c>
      <c r="N1305" s="1" t="s">
        <v>9576</v>
      </c>
    </row>
    <row r="1306" spans="1:14" s="1" customFormat="1" x14ac:dyDescent="0.35">
      <c r="A1306" s="1" t="s">
        <v>4492</v>
      </c>
      <c r="B1306" s="1" t="s">
        <v>1284</v>
      </c>
      <c r="C1306" s="1" t="s">
        <v>9534</v>
      </c>
      <c r="D1306" s="1" t="s">
        <v>9575</v>
      </c>
      <c r="E1306" s="1" t="str">
        <f>"8415"</f>
        <v>8415</v>
      </c>
      <c r="F1306" s="1" t="str">
        <f>"015801355"</f>
        <v>015801355</v>
      </c>
      <c r="G1306" s="1" t="s">
        <v>761</v>
      </c>
      <c r="H1306" s="1" t="s">
        <v>15</v>
      </c>
      <c r="I1306" s="1" t="str">
        <f>"5"</f>
        <v>5</v>
      </c>
      <c r="J1306" s="3">
        <v>80.94</v>
      </c>
      <c r="K1306" s="4">
        <v>46073</v>
      </c>
      <c r="L1306" s="4">
        <v>46104</v>
      </c>
      <c r="M1306" s="1" t="s">
        <v>9574</v>
      </c>
      <c r="N1306" s="1" t="s">
        <v>9573</v>
      </c>
    </row>
    <row r="1307" spans="1:14" s="1" customFormat="1" x14ac:dyDescent="0.35">
      <c r="A1307" s="1" t="s">
        <v>4492</v>
      </c>
      <c r="B1307" s="1" t="s">
        <v>1284</v>
      </c>
      <c r="C1307" s="1" t="s">
        <v>9534</v>
      </c>
      <c r="D1307" s="1" t="s">
        <v>9572</v>
      </c>
      <c r="E1307" s="1" t="str">
        <f>"2310"</f>
        <v>2310</v>
      </c>
      <c r="F1307" s="1" t="str">
        <f>"014998019"</f>
        <v>014998019</v>
      </c>
      <c r="G1307" s="1" t="s">
        <v>4671</v>
      </c>
      <c r="H1307" s="1" t="s">
        <v>15</v>
      </c>
      <c r="I1307" s="1" t="str">
        <f>"1"</f>
        <v>1</v>
      </c>
      <c r="J1307" s="3" t="str">
        <f>"165000"</f>
        <v>165000</v>
      </c>
      <c r="K1307" s="4">
        <v>46080</v>
      </c>
      <c r="L1307" s="4">
        <v>46082</v>
      </c>
      <c r="M1307" s="1" t="s">
        <v>4524</v>
      </c>
      <c r="N1307" s="1" t="s">
        <v>9571</v>
      </c>
    </row>
    <row r="1308" spans="1:14" s="1" customFormat="1" x14ac:dyDescent="0.35">
      <c r="A1308" s="1" t="s">
        <v>4492</v>
      </c>
      <c r="B1308" s="1" t="s">
        <v>1284</v>
      </c>
      <c r="C1308" s="1" t="s">
        <v>9534</v>
      </c>
      <c r="D1308" s="1" t="s">
        <v>9570</v>
      </c>
      <c r="E1308" s="1" t="str">
        <f>"2360"</f>
        <v>2360</v>
      </c>
      <c r="F1308" s="1" t="str">
        <f>"016631082"</f>
        <v>016631082</v>
      </c>
      <c r="G1308" s="1" t="s">
        <v>1275</v>
      </c>
      <c r="H1308" s="1" t="s">
        <v>15</v>
      </c>
      <c r="I1308" s="1" t="str">
        <f>"1"</f>
        <v>1</v>
      </c>
      <c r="J1308" s="3" t="str">
        <f>"77060"</f>
        <v>77060</v>
      </c>
      <c r="K1308" s="4">
        <v>46080</v>
      </c>
      <c r="L1308" s="4">
        <v>46103</v>
      </c>
      <c r="M1308" s="1" t="s">
        <v>9569</v>
      </c>
      <c r="N1308" s="1" t="s">
        <v>9568</v>
      </c>
    </row>
    <row r="1309" spans="1:14" s="1" customFormat="1" x14ac:dyDescent="0.35">
      <c r="A1309" s="1" t="s">
        <v>4492</v>
      </c>
      <c r="B1309" s="1" t="s">
        <v>1284</v>
      </c>
      <c r="C1309" s="1" t="s">
        <v>9534</v>
      </c>
      <c r="D1309" s="1" t="s">
        <v>9567</v>
      </c>
      <c r="E1309" s="1" t="str">
        <f>"1005"</f>
        <v>1005</v>
      </c>
      <c r="F1309" s="1" t="str">
        <f>"016309508"</f>
        <v>016309508</v>
      </c>
      <c r="G1309" s="1" t="s">
        <v>875</v>
      </c>
      <c r="H1309" s="1" t="s">
        <v>15</v>
      </c>
      <c r="I1309" s="1" t="str">
        <f>"6"</f>
        <v>6</v>
      </c>
      <c r="J1309" s="3">
        <v>13.87</v>
      </c>
      <c r="K1309" s="4">
        <v>46076</v>
      </c>
      <c r="L1309" s="4">
        <v>46103</v>
      </c>
      <c r="M1309" s="1" t="s">
        <v>9566</v>
      </c>
      <c r="N1309" s="1" t="s">
        <v>9565</v>
      </c>
    </row>
    <row r="1310" spans="1:14" s="1" customFormat="1" x14ac:dyDescent="0.35">
      <c r="A1310" s="1" t="s">
        <v>4492</v>
      </c>
      <c r="B1310" s="1" t="s">
        <v>1284</v>
      </c>
      <c r="C1310" s="1" t="s">
        <v>9534</v>
      </c>
      <c r="D1310" s="1" t="s">
        <v>9564</v>
      </c>
      <c r="E1310" s="1" t="str">
        <f>"8415"</f>
        <v>8415</v>
      </c>
      <c r="F1310" s="1" t="str">
        <f>"016423717"</f>
        <v>016423717</v>
      </c>
      <c r="G1310" s="1" t="s">
        <v>822</v>
      </c>
      <c r="H1310" s="1" t="s">
        <v>15</v>
      </c>
      <c r="I1310" s="1" t="str">
        <f>"2"</f>
        <v>2</v>
      </c>
      <c r="J1310" s="3">
        <v>228.78</v>
      </c>
      <c r="K1310" s="4">
        <v>46076</v>
      </c>
      <c r="L1310" s="4">
        <v>46103</v>
      </c>
      <c r="M1310" s="1" t="s">
        <v>9563</v>
      </c>
      <c r="N1310" s="1" t="s">
        <v>9562</v>
      </c>
    </row>
    <row r="1311" spans="1:14" s="1" customFormat="1" x14ac:dyDescent="0.35">
      <c r="A1311" s="1" t="s">
        <v>4492</v>
      </c>
      <c r="B1311" s="1" t="s">
        <v>1284</v>
      </c>
      <c r="C1311" s="1" t="s">
        <v>9534</v>
      </c>
      <c r="D1311" s="1" t="s">
        <v>9561</v>
      </c>
      <c r="E1311" s="1" t="str">
        <f>"1940"</f>
        <v>1940</v>
      </c>
      <c r="F1311" s="1" t="s">
        <v>1898</v>
      </c>
      <c r="G1311" s="1" t="s">
        <v>1899</v>
      </c>
      <c r="H1311" s="1" t="s">
        <v>15</v>
      </c>
      <c r="I1311" s="1" t="str">
        <f>"1"</f>
        <v>1</v>
      </c>
      <c r="J1311" s="3">
        <v>13005.5</v>
      </c>
      <c r="K1311" s="4">
        <v>46099</v>
      </c>
      <c r="L1311" s="4">
        <v>46106</v>
      </c>
      <c r="M1311" s="1" t="s">
        <v>9560</v>
      </c>
      <c r="N1311" s="1" t="s">
        <v>9559</v>
      </c>
    </row>
    <row r="1312" spans="1:14" s="1" customFormat="1" x14ac:dyDescent="0.35">
      <c r="A1312" s="1" t="s">
        <v>4492</v>
      </c>
      <c r="B1312" s="1" t="s">
        <v>1284</v>
      </c>
      <c r="C1312" s="1" t="s">
        <v>9534</v>
      </c>
      <c r="D1312" s="1" t="s">
        <v>9558</v>
      </c>
      <c r="E1312" s="1" t="str">
        <f>"8115"</f>
        <v>8115</v>
      </c>
      <c r="F1312" s="1" t="s">
        <v>412</v>
      </c>
      <c r="G1312" s="1" t="s">
        <v>413</v>
      </c>
      <c r="H1312" s="1" t="s">
        <v>15</v>
      </c>
      <c r="I1312" s="1" t="str">
        <f>"3"</f>
        <v>3</v>
      </c>
      <c r="J1312" s="3" t="str">
        <f>"100"</f>
        <v>100</v>
      </c>
      <c r="K1312" s="4">
        <v>46104</v>
      </c>
      <c r="L1312" s="4">
        <v>46105</v>
      </c>
      <c r="M1312" s="1" t="s">
        <v>9557</v>
      </c>
      <c r="N1312" s="1" t="s">
        <v>9535</v>
      </c>
    </row>
    <row r="1313" spans="1:14" s="1" customFormat="1" x14ac:dyDescent="0.35">
      <c r="A1313" s="1" t="s">
        <v>4492</v>
      </c>
      <c r="B1313" s="1" t="s">
        <v>1284</v>
      </c>
      <c r="C1313" s="1" t="s">
        <v>9534</v>
      </c>
      <c r="D1313" s="1" t="s">
        <v>9558</v>
      </c>
      <c r="E1313" s="1" t="str">
        <f>"8115"</f>
        <v>8115</v>
      </c>
      <c r="F1313" s="1" t="s">
        <v>412</v>
      </c>
      <c r="G1313" s="1" t="s">
        <v>413</v>
      </c>
      <c r="H1313" s="1" t="s">
        <v>15</v>
      </c>
      <c r="I1313" s="1" t="str">
        <f>"3"</f>
        <v>3</v>
      </c>
      <c r="J1313" s="3" t="str">
        <f>"100"</f>
        <v>100</v>
      </c>
      <c r="K1313" s="4">
        <v>46104</v>
      </c>
      <c r="L1313" s="4">
        <v>46105</v>
      </c>
      <c r="M1313" s="1" t="s">
        <v>9557</v>
      </c>
      <c r="N1313" s="1" t="s">
        <v>9535</v>
      </c>
    </row>
    <row r="1314" spans="1:14" s="1" customFormat="1" x14ac:dyDescent="0.35">
      <c r="A1314" s="1" t="s">
        <v>4492</v>
      </c>
      <c r="B1314" s="1" t="s">
        <v>1284</v>
      </c>
      <c r="C1314" s="1" t="s">
        <v>9534</v>
      </c>
      <c r="D1314" s="1" t="s">
        <v>9556</v>
      </c>
      <c r="E1314" s="1" t="str">
        <f>"4240"</f>
        <v>4240</v>
      </c>
      <c r="F1314" s="1" t="str">
        <f>"001906432"</f>
        <v>001906432</v>
      </c>
      <c r="G1314" s="1" t="s">
        <v>1354</v>
      </c>
      <c r="H1314" s="1" t="s">
        <v>47</v>
      </c>
      <c r="I1314" s="1" t="str">
        <f>"10"</f>
        <v>10</v>
      </c>
      <c r="J1314" s="3">
        <v>3.63</v>
      </c>
      <c r="K1314" s="4">
        <v>46104</v>
      </c>
      <c r="L1314" s="4">
        <v>46105</v>
      </c>
      <c r="M1314" s="1" t="s">
        <v>9555</v>
      </c>
      <c r="N1314" s="1" t="s">
        <v>9554</v>
      </c>
    </row>
    <row r="1315" spans="1:14" s="1" customFormat="1" x14ac:dyDescent="0.35">
      <c r="A1315" s="1" t="s">
        <v>4492</v>
      </c>
      <c r="B1315" s="1" t="s">
        <v>1284</v>
      </c>
      <c r="C1315" s="1" t="s">
        <v>9534</v>
      </c>
      <c r="D1315" s="1" t="s">
        <v>9556</v>
      </c>
      <c r="E1315" s="1" t="str">
        <f>"4240"</f>
        <v>4240</v>
      </c>
      <c r="F1315" s="1" t="str">
        <f>"001906432"</f>
        <v>001906432</v>
      </c>
      <c r="G1315" s="1" t="s">
        <v>1354</v>
      </c>
      <c r="H1315" s="1" t="s">
        <v>47</v>
      </c>
      <c r="I1315" s="1" t="str">
        <f>"10"</f>
        <v>10</v>
      </c>
      <c r="J1315" s="3">
        <v>3.63</v>
      </c>
      <c r="K1315" s="4">
        <v>46104</v>
      </c>
      <c r="L1315" s="4">
        <v>46105</v>
      </c>
      <c r="M1315" s="1" t="s">
        <v>9555</v>
      </c>
      <c r="N1315" s="1" t="s">
        <v>9554</v>
      </c>
    </row>
    <row r="1316" spans="1:14" s="1" customFormat="1" x14ac:dyDescent="0.35">
      <c r="A1316" s="1" t="s">
        <v>4492</v>
      </c>
      <c r="B1316" s="1" t="s">
        <v>1284</v>
      </c>
      <c r="C1316" s="1" t="s">
        <v>9534</v>
      </c>
      <c r="D1316" s="1" t="s">
        <v>9553</v>
      </c>
      <c r="E1316" s="1" t="str">
        <f>"8115"</f>
        <v>8115</v>
      </c>
      <c r="F1316" s="1" t="s">
        <v>412</v>
      </c>
      <c r="G1316" s="1" t="s">
        <v>413</v>
      </c>
      <c r="H1316" s="1" t="s">
        <v>15</v>
      </c>
      <c r="I1316" s="1" t="str">
        <f>"1"</f>
        <v>1</v>
      </c>
      <c r="J1316" s="3" t="str">
        <f>"500"</f>
        <v>500</v>
      </c>
      <c r="K1316" s="4">
        <v>46104</v>
      </c>
      <c r="L1316" s="4">
        <v>46105</v>
      </c>
      <c r="M1316" s="1" t="s">
        <v>9552</v>
      </c>
      <c r="N1316" s="1" t="s">
        <v>9541</v>
      </c>
    </row>
    <row r="1317" spans="1:14" s="1" customFormat="1" x14ac:dyDescent="0.35">
      <c r="A1317" s="1" t="s">
        <v>4492</v>
      </c>
      <c r="B1317" s="1" t="s">
        <v>1284</v>
      </c>
      <c r="C1317" s="1" t="s">
        <v>9534</v>
      </c>
      <c r="D1317" s="1" t="s">
        <v>9553</v>
      </c>
      <c r="E1317" s="1" t="str">
        <f>"8115"</f>
        <v>8115</v>
      </c>
      <c r="F1317" s="1" t="s">
        <v>412</v>
      </c>
      <c r="G1317" s="1" t="s">
        <v>413</v>
      </c>
      <c r="H1317" s="1" t="s">
        <v>15</v>
      </c>
      <c r="I1317" s="1" t="str">
        <f>"1"</f>
        <v>1</v>
      </c>
      <c r="J1317" s="3" t="str">
        <f>"500"</f>
        <v>500</v>
      </c>
      <c r="K1317" s="4">
        <v>46104</v>
      </c>
      <c r="L1317" s="4">
        <v>46105</v>
      </c>
      <c r="M1317" s="1" t="s">
        <v>9552</v>
      </c>
      <c r="N1317" s="1" t="s">
        <v>9541</v>
      </c>
    </row>
    <row r="1318" spans="1:14" s="1" customFormat="1" x14ac:dyDescent="0.35">
      <c r="A1318" s="1" t="s">
        <v>4492</v>
      </c>
      <c r="B1318" s="1" t="s">
        <v>1284</v>
      </c>
      <c r="C1318" s="1" t="s">
        <v>9534</v>
      </c>
      <c r="D1318" s="1" t="s">
        <v>9551</v>
      </c>
      <c r="E1318" s="1" t="str">
        <f>"1240"</f>
        <v>1240</v>
      </c>
      <c r="F1318" s="1" t="str">
        <f>"015403690"</f>
        <v>015403690</v>
      </c>
      <c r="G1318" s="1" t="s">
        <v>71</v>
      </c>
      <c r="H1318" s="1" t="s">
        <v>15</v>
      </c>
      <c r="I1318" s="1" t="str">
        <f>"6"</f>
        <v>6</v>
      </c>
      <c r="J1318" s="3" t="str">
        <f>"340"</f>
        <v>340</v>
      </c>
      <c r="K1318" s="4">
        <v>46076</v>
      </c>
      <c r="L1318" s="4">
        <v>46103</v>
      </c>
      <c r="M1318" s="1" t="s">
        <v>9550</v>
      </c>
      <c r="N1318" s="1" t="s">
        <v>9549</v>
      </c>
    </row>
    <row r="1319" spans="1:14" s="1" customFormat="1" x14ac:dyDescent="0.35">
      <c r="A1319" s="1" t="s">
        <v>4492</v>
      </c>
      <c r="B1319" s="1" t="s">
        <v>1284</v>
      </c>
      <c r="C1319" s="1" t="s">
        <v>9534</v>
      </c>
      <c r="D1319" s="1" t="s">
        <v>9548</v>
      </c>
      <c r="E1319" s="1" t="str">
        <f>"2540"</f>
        <v>2540</v>
      </c>
      <c r="F1319" s="1" t="str">
        <f>"016528581"</f>
        <v>016528581</v>
      </c>
      <c r="G1319" s="1" t="s">
        <v>2958</v>
      </c>
      <c r="H1319" s="1" t="s">
        <v>15</v>
      </c>
      <c r="I1319" s="1" t="str">
        <f>"37"</f>
        <v>37</v>
      </c>
      <c r="J1319" s="3">
        <v>669.6</v>
      </c>
      <c r="K1319" s="4">
        <v>46104</v>
      </c>
      <c r="L1319" s="4">
        <v>46104</v>
      </c>
      <c r="M1319" s="1" t="s">
        <v>4524</v>
      </c>
      <c r="N1319" s="1" t="s">
        <v>9547</v>
      </c>
    </row>
    <row r="1320" spans="1:14" s="1" customFormat="1" x14ac:dyDescent="0.35">
      <c r="A1320" s="1" t="s">
        <v>4492</v>
      </c>
      <c r="B1320" s="1" t="s">
        <v>1284</v>
      </c>
      <c r="C1320" s="1" t="s">
        <v>9534</v>
      </c>
      <c r="D1320" s="1" t="s">
        <v>9546</v>
      </c>
      <c r="E1320" s="1" t="str">
        <f>"7240"</f>
        <v>7240</v>
      </c>
      <c r="F1320" s="1" t="str">
        <f>"000893827"</f>
        <v>000893827</v>
      </c>
      <c r="G1320" s="1" t="s">
        <v>1841</v>
      </c>
      <c r="H1320" s="1" t="s">
        <v>15</v>
      </c>
      <c r="I1320" s="1" t="str">
        <f>"6"</f>
        <v>6</v>
      </c>
      <c r="J1320" s="3">
        <v>44.15</v>
      </c>
      <c r="K1320" s="4">
        <v>46104</v>
      </c>
      <c r="L1320" s="4">
        <v>46105</v>
      </c>
      <c r="M1320" s="1" t="s">
        <v>9545</v>
      </c>
      <c r="N1320" s="1" t="s">
        <v>9544</v>
      </c>
    </row>
    <row r="1321" spans="1:14" s="1" customFormat="1" x14ac:dyDescent="0.35">
      <c r="A1321" s="1" t="s">
        <v>4492</v>
      </c>
      <c r="B1321" s="1" t="s">
        <v>1284</v>
      </c>
      <c r="C1321" s="1" t="s">
        <v>9534</v>
      </c>
      <c r="D1321" s="1" t="s">
        <v>9546</v>
      </c>
      <c r="E1321" s="1" t="str">
        <f>"7240"</f>
        <v>7240</v>
      </c>
      <c r="F1321" s="1" t="str">
        <f>"000893827"</f>
        <v>000893827</v>
      </c>
      <c r="G1321" s="1" t="s">
        <v>1841</v>
      </c>
      <c r="H1321" s="1" t="s">
        <v>15</v>
      </c>
      <c r="I1321" s="1" t="str">
        <f>"6"</f>
        <v>6</v>
      </c>
      <c r="J1321" s="3">
        <v>44.15</v>
      </c>
      <c r="K1321" s="4">
        <v>46104</v>
      </c>
      <c r="L1321" s="4">
        <v>46105</v>
      </c>
      <c r="M1321" s="1" t="s">
        <v>9545</v>
      </c>
      <c r="N1321" s="1" t="s">
        <v>9544</v>
      </c>
    </row>
    <row r="1322" spans="1:14" s="1" customFormat="1" x14ac:dyDescent="0.35">
      <c r="A1322" s="1" t="s">
        <v>4492</v>
      </c>
      <c r="B1322" s="1" t="s">
        <v>1284</v>
      </c>
      <c r="C1322" s="1" t="s">
        <v>9534</v>
      </c>
      <c r="D1322" s="1" t="s">
        <v>9543</v>
      </c>
      <c r="E1322" s="1" t="str">
        <f>"8145"</f>
        <v>8145</v>
      </c>
      <c r="F1322" s="1" t="str">
        <f>"015341805"</f>
        <v>015341805</v>
      </c>
      <c r="G1322" s="1" t="s">
        <v>753</v>
      </c>
      <c r="H1322" s="1" t="s">
        <v>15</v>
      </c>
      <c r="I1322" s="1" t="str">
        <f>"1"</f>
        <v>1</v>
      </c>
      <c r="J1322" s="3">
        <v>188.22</v>
      </c>
      <c r="K1322" s="4">
        <v>46104</v>
      </c>
      <c r="L1322" s="4">
        <v>46105</v>
      </c>
      <c r="M1322" s="1" t="s">
        <v>9542</v>
      </c>
      <c r="N1322" s="1" t="s">
        <v>9541</v>
      </c>
    </row>
    <row r="1323" spans="1:14" s="1" customFormat="1" x14ac:dyDescent="0.35">
      <c r="A1323" s="1" t="s">
        <v>4492</v>
      </c>
      <c r="B1323" s="1" t="s">
        <v>1284</v>
      </c>
      <c r="C1323" s="1" t="s">
        <v>9534</v>
      </c>
      <c r="D1323" s="1" t="s">
        <v>9543</v>
      </c>
      <c r="E1323" s="1" t="str">
        <f>"8145"</f>
        <v>8145</v>
      </c>
      <c r="F1323" s="1" t="str">
        <f>"015341805"</f>
        <v>015341805</v>
      </c>
      <c r="G1323" s="1" t="s">
        <v>753</v>
      </c>
      <c r="H1323" s="1" t="s">
        <v>15</v>
      </c>
      <c r="I1323" s="1" t="str">
        <f>"1"</f>
        <v>1</v>
      </c>
      <c r="J1323" s="3">
        <v>188.22</v>
      </c>
      <c r="K1323" s="4">
        <v>46104</v>
      </c>
      <c r="L1323" s="4">
        <v>46105</v>
      </c>
      <c r="M1323" s="1" t="s">
        <v>9542</v>
      </c>
      <c r="N1323" s="1" t="s">
        <v>9541</v>
      </c>
    </row>
    <row r="1324" spans="1:14" s="1" customFormat="1" x14ac:dyDescent="0.35">
      <c r="A1324" s="1" t="s">
        <v>4492</v>
      </c>
      <c r="B1324" s="1" t="s">
        <v>1284</v>
      </c>
      <c r="C1324" s="1" t="s">
        <v>9534</v>
      </c>
      <c r="D1324" s="1" t="s">
        <v>9540</v>
      </c>
      <c r="E1324" s="1" t="str">
        <f>"8415"</f>
        <v>8415</v>
      </c>
      <c r="F1324" s="1" t="str">
        <f>"015840988"</f>
        <v>015840988</v>
      </c>
      <c r="G1324" s="1" t="s">
        <v>1463</v>
      </c>
      <c r="H1324" s="1" t="s">
        <v>15</v>
      </c>
      <c r="I1324" s="1" t="str">
        <f>"1"</f>
        <v>1</v>
      </c>
      <c r="J1324" s="3">
        <v>134.36000000000001</v>
      </c>
      <c r="K1324" s="4">
        <v>46104</v>
      </c>
      <c r="L1324" s="4">
        <v>46107</v>
      </c>
      <c r="M1324" s="1" t="s">
        <v>9539</v>
      </c>
      <c r="N1324" s="1" t="s">
        <v>9538</v>
      </c>
    </row>
    <row r="1325" spans="1:14" s="1" customFormat="1" x14ac:dyDescent="0.35">
      <c r="A1325" s="1" t="s">
        <v>4492</v>
      </c>
      <c r="B1325" s="1" t="s">
        <v>1284</v>
      </c>
      <c r="C1325" s="1" t="s">
        <v>9534</v>
      </c>
      <c r="D1325" s="1" t="s">
        <v>9537</v>
      </c>
      <c r="E1325" s="1" t="str">
        <f>"8115"</f>
        <v>8115</v>
      </c>
      <c r="F1325" s="1" t="s">
        <v>412</v>
      </c>
      <c r="G1325" s="1" t="s">
        <v>413</v>
      </c>
      <c r="H1325" s="1" t="s">
        <v>15</v>
      </c>
      <c r="I1325" s="1" t="str">
        <f>"3"</f>
        <v>3</v>
      </c>
      <c r="J1325" s="3" t="str">
        <f>"72"</f>
        <v>72</v>
      </c>
      <c r="K1325" s="4">
        <v>46104</v>
      </c>
      <c r="L1325" s="4">
        <v>46110</v>
      </c>
      <c r="M1325" s="1" t="s">
        <v>9536</v>
      </c>
      <c r="N1325" s="1" t="s">
        <v>9535</v>
      </c>
    </row>
    <row r="1326" spans="1:14" s="1" customFormat="1" x14ac:dyDescent="0.35">
      <c r="A1326" s="1" t="s">
        <v>4492</v>
      </c>
      <c r="B1326" s="1" t="s">
        <v>1284</v>
      </c>
      <c r="C1326" s="1" t="s">
        <v>9534</v>
      </c>
      <c r="D1326" s="1" t="s">
        <v>9533</v>
      </c>
      <c r="E1326" s="1" t="str">
        <f>"8465"</f>
        <v>8465</v>
      </c>
      <c r="F1326" s="1" t="str">
        <f>"016982346"</f>
        <v>016982346</v>
      </c>
      <c r="G1326" s="1" t="s">
        <v>8749</v>
      </c>
      <c r="H1326" s="1" t="s">
        <v>168</v>
      </c>
      <c r="I1326" s="1" t="str">
        <f>"10"</f>
        <v>10</v>
      </c>
      <c r="J1326" s="3">
        <v>199.39</v>
      </c>
      <c r="K1326" s="4">
        <v>46104</v>
      </c>
      <c r="L1326" s="4">
        <v>46106</v>
      </c>
      <c r="M1326" s="1" t="s">
        <v>4524</v>
      </c>
      <c r="N1326" s="1" t="s">
        <v>9532</v>
      </c>
    </row>
    <row r="1327" spans="1:14" s="1" customFormat="1" x14ac:dyDescent="0.35">
      <c r="A1327" s="1" t="s">
        <v>4492</v>
      </c>
      <c r="B1327" s="1" t="s">
        <v>1989</v>
      </c>
      <c r="C1327" s="1" t="s">
        <v>9528</v>
      </c>
      <c r="D1327" s="1" t="s">
        <v>9531</v>
      </c>
      <c r="E1327" s="1" t="str">
        <f>"6310"</f>
        <v>6310</v>
      </c>
      <c r="F1327" s="1" t="s">
        <v>1713</v>
      </c>
      <c r="G1327" s="1" t="s">
        <v>1714</v>
      </c>
      <c r="H1327" s="1" t="s">
        <v>15</v>
      </c>
      <c r="I1327" s="1" t="str">
        <f>"1"</f>
        <v>1</v>
      </c>
      <c r="J1327" s="3" t="str">
        <f>"6857"</f>
        <v>6857</v>
      </c>
      <c r="K1327" s="4">
        <v>46083</v>
      </c>
      <c r="L1327" s="4">
        <v>46095</v>
      </c>
      <c r="M1327" s="1" t="s">
        <v>9530</v>
      </c>
      <c r="N1327" s="1" t="s">
        <v>9529</v>
      </c>
    </row>
    <row r="1328" spans="1:14" s="1" customFormat="1" x14ac:dyDescent="0.35">
      <c r="A1328" s="1" t="s">
        <v>4492</v>
      </c>
      <c r="B1328" s="1" t="s">
        <v>1989</v>
      </c>
      <c r="C1328" s="1" t="s">
        <v>9528</v>
      </c>
      <c r="D1328" s="1" t="s">
        <v>9527</v>
      </c>
      <c r="E1328" s="1" t="str">
        <f>"2330"</f>
        <v>2330</v>
      </c>
      <c r="F1328" s="1" t="s">
        <v>104</v>
      </c>
      <c r="G1328" s="1" t="s">
        <v>105</v>
      </c>
      <c r="H1328" s="1" t="s">
        <v>15</v>
      </c>
      <c r="I1328" s="1" t="str">
        <f>"1"</f>
        <v>1</v>
      </c>
      <c r="J1328" s="3" t="str">
        <f>"10000"</f>
        <v>10000</v>
      </c>
      <c r="K1328" s="4">
        <v>46095</v>
      </c>
      <c r="L1328" s="4">
        <v>46100</v>
      </c>
      <c r="M1328" s="1" t="s">
        <v>9526</v>
      </c>
      <c r="N1328" s="1" t="s">
        <v>9525</v>
      </c>
    </row>
    <row r="1329" spans="1:14" s="1" customFormat="1" x14ac:dyDescent="0.35">
      <c r="A1329" s="1" t="s">
        <v>4492</v>
      </c>
      <c r="B1329" s="1" t="s">
        <v>1791</v>
      </c>
      <c r="C1329" s="1" t="s">
        <v>9520</v>
      </c>
      <c r="D1329" s="1" t="s">
        <v>9524</v>
      </c>
      <c r="E1329" s="1" t="str">
        <f>"7910"</f>
        <v>7910</v>
      </c>
      <c r="F1329" s="1" t="str">
        <f>"011565306"</f>
        <v>011565306</v>
      </c>
      <c r="G1329" s="1" t="s">
        <v>9518</v>
      </c>
      <c r="H1329" s="1" t="s">
        <v>15</v>
      </c>
      <c r="I1329" s="1" t="str">
        <f>"1"</f>
        <v>1</v>
      </c>
      <c r="J1329" s="3">
        <v>15756.32</v>
      </c>
      <c r="K1329" s="4">
        <v>46034</v>
      </c>
      <c r="L1329" s="4">
        <v>46065</v>
      </c>
      <c r="M1329" s="1" t="s">
        <v>9523</v>
      </c>
      <c r="N1329" s="1" t="s">
        <v>9516</v>
      </c>
    </row>
    <row r="1330" spans="1:14" s="1" customFormat="1" x14ac:dyDescent="0.35">
      <c r="A1330" s="1" t="s">
        <v>4492</v>
      </c>
      <c r="B1330" s="1" t="s">
        <v>1791</v>
      </c>
      <c r="C1330" s="1" t="s">
        <v>9520</v>
      </c>
      <c r="D1330" s="1" t="s">
        <v>9522</v>
      </c>
      <c r="E1330" s="1" t="str">
        <f>"7910"</f>
        <v>7910</v>
      </c>
      <c r="F1330" s="1" t="str">
        <f>"011565306"</f>
        <v>011565306</v>
      </c>
      <c r="G1330" s="1" t="s">
        <v>9518</v>
      </c>
      <c r="H1330" s="1" t="s">
        <v>15</v>
      </c>
      <c r="I1330" s="1" t="str">
        <f>"1"</f>
        <v>1</v>
      </c>
      <c r="J1330" s="3">
        <v>15756.32</v>
      </c>
      <c r="K1330" s="4">
        <v>46034</v>
      </c>
      <c r="L1330" s="4">
        <v>46065</v>
      </c>
      <c r="M1330" s="1" t="s">
        <v>9521</v>
      </c>
      <c r="N1330" s="1" t="s">
        <v>9516</v>
      </c>
    </row>
    <row r="1331" spans="1:14" s="1" customFormat="1" x14ac:dyDescent="0.35">
      <c r="A1331" s="1" t="s">
        <v>4492</v>
      </c>
      <c r="B1331" s="1" t="s">
        <v>1791</v>
      </c>
      <c r="C1331" s="1" t="s">
        <v>9520</v>
      </c>
      <c r="D1331" s="1" t="s">
        <v>9519</v>
      </c>
      <c r="E1331" s="1" t="str">
        <f>"7910"</f>
        <v>7910</v>
      </c>
      <c r="F1331" s="1" t="str">
        <f>"011565306"</f>
        <v>011565306</v>
      </c>
      <c r="G1331" s="1" t="s">
        <v>9518</v>
      </c>
      <c r="H1331" s="1" t="s">
        <v>15</v>
      </c>
      <c r="I1331" s="1" t="str">
        <f>"1"</f>
        <v>1</v>
      </c>
      <c r="J1331" s="3">
        <v>15756.32</v>
      </c>
      <c r="K1331" s="4">
        <v>46034</v>
      </c>
      <c r="L1331" s="4">
        <v>46046</v>
      </c>
      <c r="M1331" s="1" t="s">
        <v>9517</v>
      </c>
      <c r="N1331" s="1" t="s">
        <v>9516</v>
      </c>
    </row>
    <row r="1332" spans="1:14" s="1" customFormat="1" x14ac:dyDescent="0.35">
      <c r="A1332" s="1" t="s">
        <v>4492</v>
      </c>
      <c r="B1332" s="1" t="s">
        <v>913</v>
      </c>
      <c r="C1332" s="1" t="s">
        <v>9509</v>
      </c>
      <c r="D1332" s="1" t="s">
        <v>9515</v>
      </c>
      <c r="E1332" s="1" t="str">
        <f>"8145"</f>
        <v>8145</v>
      </c>
      <c r="F1332" s="1" t="str">
        <f>"014423336"</f>
        <v>014423336</v>
      </c>
      <c r="G1332" s="1" t="s">
        <v>753</v>
      </c>
      <c r="H1332" s="1" t="s">
        <v>15</v>
      </c>
      <c r="I1332" s="1" t="str">
        <f>"1"</f>
        <v>1</v>
      </c>
      <c r="J1332" s="3" t="str">
        <f>"4975"</f>
        <v>4975</v>
      </c>
      <c r="K1332" s="4">
        <v>46104</v>
      </c>
      <c r="L1332" s="4">
        <v>46106</v>
      </c>
      <c r="M1332" s="1" t="s">
        <v>9514</v>
      </c>
      <c r="N1332" s="1" t="s">
        <v>9506</v>
      </c>
    </row>
    <row r="1333" spans="1:14" s="1" customFormat="1" x14ac:dyDescent="0.35">
      <c r="A1333" s="1" t="s">
        <v>4492</v>
      </c>
      <c r="B1333" s="1" t="s">
        <v>913</v>
      </c>
      <c r="C1333" s="1" t="s">
        <v>9509</v>
      </c>
      <c r="D1333" s="1" t="s">
        <v>9513</v>
      </c>
      <c r="E1333" s="1" t="str">
        <f>"8145"</f>
        <v>8145</v>
      </c>
      <c r="F1333" s="1" t="str">
        <f>"014423336"</f>
        <v>014423336</v>
      </c>
      <c r="G1333" s="1" t="s">
        <v>753</v>
      </c>
      <c r="H1333" s="1" t="s">
        <v>15</v>
      </c>
      <c r="I1333" s="1" t="str">
        <f>"1"</f>
        <v>1</v>
      </c>
      <c r="J1333" s="3" t="str">
        <f>"4975"</f>
        <v>4975</v>
      </c>
      <c r="K1333" s="4">
        <v>46104</v>
      </c>
      <c r="L1333" s="4">
        <v>46106</v>
      </c>
      <c r="M1333" s="1" t="s">
        <v>9512</v>
      </c>
      <c r="N1333" s="1" t="s">
        <v>9506</v>
      </c>
    </row>
    <row r="1334" spans="1:14" s="1" customFormat="1" x14ac:dyDescent="0.35">
      <c r="A1334" s="1" t="s">
        <v>4492</v>
      </c>
      <c r="B1334" s="1" t="s">
        <v>913</v>
      </c>
      <c r="C1334" s="1" t="s">
        <v>9509</v>
      </c>
      <c r="D1334" s="1" t="s">
        <v>9511</v>
      </c>
      <c r="E1334" s="1" t="str">
        <f>"8145"</f>
        <v>8145</v>
      </c>
      <c r="F1334" s="1" t="str">
        <f>"014423336"</f>
        <v>014423336</v>
      </c>
      <c r="G1334" s="1" t="s">
        <v>753</v>
      </c>
      <c r="H1334" s="1" t="s">
        <v>15</v>
      </c>
      <c r="I1334" s="1" t="str">
        <f>"1"</f>
        <v>1</v>
      </c>
      <c r="J1334" s="3" t="str">
        <f>"4975"</f>
        <v>4975</v>
      </c>
      <c r="K1334" s="4">
        <v>46104</v>
      </c>
      <c r="L1334" s="4">
        <v>46106</v>
      </c>
      <c r="M1334" s="1" t="s">
        <v>9510</v>
      </c>
      <c r="N1334" s="1" t="s">
        <v>9506</v>
      </c>
    </row>
    <row r="1335" spans="1:14" s="1" customFormat="1" x14ac:dyDescent="0.35">
      <c r="A1335" s="1" t="s">
        <v>4492</v>
      </c>
      <c r="B1335" s="1" t="s">
        <v>913</v>
      </c>
      <c r="C1335" s="1" t="s">
        <v>9509</v>
      </c>
      <c r="D1335" s="1" t="s">
        <v>9508</v>
      </c>
      <c r="E1335" s="1" t="str">
        <f>"8145"</f>
        <v>8145</v>
      </c>
      <c r="F1335" s="1" t="str">
        <f>"014423336"</f>
        <v>014423336</v>
      </c>
      <c r="G1335" s="1" t="s">
        <v>753</v>
      </c>
      <c r="H1335" s="1" t="s">
        <v>15</v>
      </c>
      <c r="I1335" s="1" t="str">
        <f>"1"</f>
        <v>1</v>
      </c>
      <c r="J1335" s="3" t="str">
        <f>"4975"</f>
        <v>4975</v>
      </c>
      <c r="K1335" s="4">
        <v>46104</v>
      </c>
      <c r="L1335" s="4">
        <v>46106</v>
      </c>
      <c r="M1335" s="1" t="s">
        <v>9507</v>
      </c>
      <c r="N1335" s="1" t="s">
        <v>9506</v>
      </c>
    </row>
    <row r="1336" spans="1:14" s="1" customFormat="1" x14ac:dyDescent="0.35">
      <c r="A1336" s="1" t="s">
        <v>4492</v>
      </c>
      <c r="B1336" s="1" t="s">
        <v>3822</v>
      </c>
      <c r="C1336" s="1" t="s">
        <v>9503</v>
      </c>
      <c r="D1336" s="1" t="s">
        <v>9505</v>
      </c>
      <c r="E1336" s="1" t="str">
        <f>"2310"</f>
        <v>2310</v>
      </c>
      <c r="F1336" s="1" t="str">
        <f>"016544105"</f>
        <v>016544105</v>
      </c>
      <c r="G1336" s="1" t="s">
        <v>232</v>
      </c>
      <c r="H1336" s="1" t="s">
        <v>15</v>
      </c>
      <c r="I1336" s="1" t="str">
        <f>"1"</f>
        <v>1</v>
      </c>
      <c r="J1336" s="3">
        <v>31905.14</v>
      </c>
      <c r="K1336" s="4">
        <v>46083</v>
      </c>
      <c r="L1336" s="4">
        <v>46087</v>
      </c>
      <c r="M1336" s="1" t="s">
        <v>9504</v>
      </c>
      <c r="N1336" s="1" t="s">
        <v>9500</v>
      </c>
    </row>
    <row r="1337" spans="1:14" s="1" customFormat="1" x14ac:dyDescent="0.35">
      <c r="A1337" s="1" t="s">
        <v>4492</v>
      </c>
      <c r="B1337" s="1" t="s">
        <v>3822</v>
      </c>
      <c r="C1337" s="1" t="s">
        <v>9503</v>
      </c>
      <c r="D1337" s="1" t="s">
        <v>9502</v>
      </c>
      <c r="E1337" s="1" t="str">
        <f>"2310"</f>
        <v>2310</v>
      </c>
      <c r="F1337" s="1" t="str">
        <f>"016544105"</f>
        <v>016544105</v>
      </c>
      <c r="G1337" s="1" t="s">
        <v>232</v>
      </c>
      <c r="H1337" s="1" t="s">
        <v>15</v>
      </c>
      <c r="I1337" s="1" t="str">
        <f>"1"</f>
        <v>1</v>
      </c>
      <c r="J1337" s="3">
        <v>31905.14</v>
      </c>
      <c r="K1337" s="4">
        <v>46083</v>
      </c>
      <c r="L1337" s="4">
        <v>46087</v>
      </c>
      <c r="M1337" s="1" t="s">
        <v>9501</v>
      </c>
      <c r="N1337" s="1" t="s">
        <v>9500</v>
      </c>
    </row>
    <row r="1338" spans="1:14" s="1" customFormat="1" x14ac:dyDescent="0.35">
      <c r="A1338" s="1" t="s">
        <v>4492</v>
      </c>
      <c r="B1338" s="1" t="s">
        <v>2368</v>
      </c>
      <c r="C1338" s="1" t="s">
        <v>9496</v>
      </c>
      <c r="D1338" s="1" t="s">
        <v>9499</v>
      </c>
      <c r="E1338" s="1" t="str">
        <f>"2320"</f>
        <v>2320</v>
      </c>
      <c r="F1338" s="1" t="str">
        <f>"013477645"</f>
        <v>013477645</v>
      </c>
      <c r="G1338" s="1" t="s">
        <v>1147</v>
      </c>
      <c r="H1338" s="1" t="s">
        <v>15</v>
      </c>
      <c r="I1338" s="1" t="str">
        <f>"1"</f>
        <v>1</v>
      </c>
      <c r="J1338" s="3" t="str">
        <f>"350000"</f>
        <v>350000</v>
      </c>
      <c r="K1338" s="4">
        <v>45982</v>
      </c>
      <c r="L1338" s="4">
        <v>46037</v>
      </c>
      <c r="M1338" s="1" t="s">
        <v>9498</v>
      </c>
      <c r="N1338" s="1" t="s">
        <v>9497</v>
      </c>
    </row>
    <row r="1339" spans="1:14" s="1" customFormat="1" x14ac:dyDescent="0.35">
      <c r="A1339" s="1" t="s">
        <v>4492</v>
      </c>
      <c r="B1339" s="1" t="s">
        <v>2368</v>
      </c>
      <c r="C1339" s="1" t="s">
        <v>9496</v>
      </c>
      <c r="D1339" s="1" t="s">
        <v>9495</v>
      </c>
      <c r="E1339" s="1" t="str">
        <f>"1005"</f>
        <v>1005</v>
      </c>
      <c r="F1339" s="1" t="str">
        <f>"016316485"</f>
        <v>016316485</v>
      </c>
      <c r="G1339" s="1" t="s">
        <v>2502</v>
      </c>
      <c r="H1339" s="1" t="s">
        <v>15</v>
      </c>
      <c r="I1339" s="1" t="str">
        <f>"25"</f>
        <v>25</v>
      </c>
      <c r="J1339" s="3">
        <v>1140.4100000000001</v>
      </c>
      <c r="K1339" s="4">
        <v>46085</v>
      </c>
      <c r="L1339" s="4">
        <v>46095</v>
      </c>
      <c r="M1339" s="1" t="s">
        <v>9494</v>
      </c>
      <c r="N1339" s="1" t="s">
        <v>9493</v>
      </c>
    </row>
    <row r="1340" spans="1:14" s="1" customFormat="1" x14ac:dyDescent="0.35">
      <c r="A1340" s="1" t="s">
        <v>4492</v>
      </c>
      <c r="B1340" s="1" t="s">
        <v>3822</v>
      </c>
      <c r="C1340" s="1" t="s">
        <v>4063</v>
      </c>
      <c r="D1340" s="1" t="s">
        <v>9492</v>
      </c>
      <c r="E1340" s="1" t="str">
        <f>"2310"</f>
        <v>2310</v>
      </c>
      <c r="F1340" s="1" t="str">
        <f>"010907740"</f>
        <v>010907740</v>
      </c>
      <c r="G1340" s="1" t="s">
        <v>710</v>
      </c>
      <c r="H1340" s="1" t="s">
        <v>15</v>
      </c>
      <c r="I1340" s="1" t="str">
        <f>"1"</f>
        <v>1</v>
      </c>
      <c r="J1340" s="3" t="str">
        <f>"20150"</f>
        <v>20150</v>
      </c>
      <c r="K1340" s="4">
        <v>46042</v>
      </c>
      <c r="L1340" s="4">
        <v>46055</v>
      </c>
      <c r="M1340" s="1" t="s">
        <v>9491</v>
      </c>
      <c r="N1340" s="1" t="s">
        <v>9490</v>
      </c>
    </row>
    <row r="1341" spans="1:14" s="1" customFormat="1" x14ac:dyDescent="0.35">
      <c r="A1341" s="1" t="s">
        <v>4492</v>
      </c>
      <c r="B1341" s="1" t="s">
        <v>1791</v>
      </c>
      <c r="C1341" s="1" t="s">
        <v>9489</v>
      </c>
      <c r="D1341" s="1" t="s">
        <v>9488</v>
      </c>
      <c r="E1341" s="1" t="str">
        <f>"1940"</f>
        <v>1940</v>
      </c>
      <c r="F1341" s="1" t="str">
        <f>"013020871"</f>
        <v>013020871</v>
      </c>
      <c r="G1341" s="1" t="s">
        <v>9487</v>
      </c>
      <c r="H1341" s="1" t="s">
        <v>15</v>
      </c>
      <c r="I1341" s="1" t="str">
        <f>"1"</f>
        <v>1</v>
      </c>
      <c r="J1341" s="3" t="str">
        <f>"3475"</f>
        <v>3475</v>
      </c>
      <c r="K1341" s="4">
        <v>46062</v>
      </c>
      <c r="L1341" s="4">
        <v>46064</v>
      </c>
      <c r="M1341" s="1" t="s">
        <v>9486</v>
      </c>
      <c r="N1341" s="1" t="s">
        <v>9485</v>
      </c>
    </row>
    <row r="1342" spans="1:14" s="1" customFormat="1" x14ac:dyDescent="0.35">
      <c r="A1342" s="1" t="s">
        <v>4492</v>
      </c>
      <c r="B1342" s="1" t="s">
        <v>1791</v>
      </c>
      <c r="C1342" s="1" t="s">
        <v>1811</v>
      </c>
      <c r="D1342" s="1" t="s">
        <v>9484</v>
      </c>
      <c r="E1342" s="1" t="str">
        <f>"5855"</f>
        <v>5855</v>
      </c>
      <c r="F1342" s="1" t="str">
        <f>"015194171"</f>
        <v>015194171</v>
      </c>
      <c r="G1342" s="1" t="s">
        <v>9483</v>
      </c>
      <c r="H1342" s="1" t="s">
        <v>15</v>
      </c>
      <c r="I1342" s="1" t="str">
        <f>"2"</f>
        <v>2</v>
      </c>
      <c r="J1342" s="3">
        <v>579.73</v>
      </c>
      <c r="K1342" s="4">
        <v>46035</v>
      </c>
      <c r="L1342" s="4">
        <v>46070</v>
      </c>
      <c r="M1342" s="1" t="s">
        <v>9482</v>
      </c>
      <c r="N1342" s="1" t="s">
        <v>9481</v>
      </c>
    </row>
    <row r="1343" spans="1:14" s="1" customFormat="1" x14ac:dyDescent="0.35">
      <c r="A1343" s="1" t="s">
        <v>4492</v>
      </c>
      <c r="B1343" s="1" t="s">
        <v>1791</v>
      </c>
      <c r="C1343" s="1" t="s">
        <v>1811</v>
      </c>
      <c r="D1343" s="1" t="s">
        <v>9480</v>
      </c>
      <c r="E1343" s="1" t="str">
        <f>"5855"</f>
        <v>5855</v>
      </c>
      <c r="F1343" s="1" t="str">
        <f>"015330555"</f>
        <v>015330555</v>
      </c>
      <c r="G1343" s="1" t="s">
        <v>476</v>
      </c>
      <c r="H1343" s="1" t="s">
        <v>15</v>
      </c>
      <c r="I1343" s="1" t="str">
        <f>"6"</f>
        <v>6</v>
      </c>
      <c r="J1343" s="3" t="str">
        <f>"1800"</f>
        <v>1800</v>
      </c>
      <c r="K1343" s="4">
        <v>46035</v>
      </c>
      <c r="L1343" s="4">
        <v>46038</v>
      </c>
      <c r="M1343" s="1" t="s">
        <v>9479</v>
      </c>
      <c r="N1343" s="1" t="s">
        <v>9478</v>
      </c>
    </row>
    <row r="1344" spans="1:14" s="1" customFormat="1" x14ac:dyDescent="0.35">
      <c r="A1344" s="1" t="s">
        <v>4492</v>
      </c>
      <c r="B1344" s="1" t="s">
        <v>1791</v>
      </c>
      <c r="C1344" s="1" t="s">
        <v>1811</v>
      </c>
      <c r="D1344" s="1" t="s">
        <v>9477</v>
      </c>
      <c r="E1344" s="1" t="str">
        <f>"8470"</f>
        <v>8470</v>
      </c>
      <c r="F1344" s="1" t="str">
        <f>"016924305"</f>
        <v>016924305</v>
      </c>
      <c r="G1344" s="1" t="s">
        <v>9476</v>
      </c>
      <c r="H1344" s="1" t="s">
        <v>15</v>
      </c>
      <c r="I1344" s="1" t="str">
        <f>"2"</f>
        <v>2</v>
      </c>
      <c r="J1344" s="3">
        <v>651.54</v>
      </c>
      <c r="K1344" s="4">
        <v>46072</v>
      </c>
      <c r="L1344" s="4">
        <v>46073</v>
      </c>
      <c r="M1344" s="1" t="s">
        <v>4524</v>
      </c>
      <c r="N1344" s="1" t="s">
        <v>9475</v>
      </c>
    </row>
    <row r="1345" spans="1:14" s="1" customFormat="1" x14ac:dyDescent="0.35">
      <c r="A1345" s="1" t="s">
        <v>4492</v>
      </c>
      <c r="B1345" s="1" t="s">
        <v>2368</v>
      </c>
      <c r="C1345" s="1" t="s">
        <v>2442</v>
      </c>
      <c r="D1345" s="1" t="s">
        <v>9474</v>
      </c>
      <c r="E1345" s="1" t="str">
        <f>"2330"</f>
        <v>2330</v>
      </c>
      <c r="F1345" s="1" t="s">
        <v>104</v>
      </c>
      <c r="G1345" s="1" t="s">
        <v>105</v>
      </c>
      <c r="H1345" s="1" t="s">
        <v>15</v>
      </c>
      <c r="I1345" s="1" t="str">
        <f>"1"</f>
        <v>1</v>
      </c>
      <c r="J1345" s="3" t="str">
        <f>"2990"</f>
        <v>2990</v>
      </c>
      <c r="K1345" s="4">
        <v>46038</v>
      </c>
      <c r="L1345" s="4">
        <v>46039</v>
      </c>
      <c r="M1345" s="1" t="s">
        <v>4524</v>
      </c>
      <c r="N1345" s="1" t="s">
        <v>9473</v>
      </c>
    </row>
    <row r="1346" spans="1:14" s="1" customFormat="1" x14ac:dyDescent="0.35">
      <c r="A1346" s="1" t="s">
        <v>4492</v>
      </c>
      <c r="B1346" s="1" t="s">
        <v>2368</v>
      </c>
      <c r="C1346" s="1" t="s">
        <v>2442</v>
      </c>
      <c r="D1346" s="1" t="s">
        <v>9472</v>
      </c>
      <c r="E1346" s="1" t="str">
        <f>"4240"</f>
        <v>4240</v>
      </c>
      <c r="F1346" s="1" t="str">
        <f>"015257554"</f>
        <v>015257554</v>
      </c>
      <c r="G1346" s="1" t="s">
        <v>5746</v>
      </c>
      <c r="H1346" s="1" t="s">
        <v>15</v>
      </c>
      <c r="I1346" s="1" t="str">
        <f>"25"</f>
        <v>25</v>
      </c>
      <c r="J1346" s="3">
        <v>33.770000000000003</v>
      </c>
      <c r="K1346" s="4">
        <v>46048</v>
      </c>
      <c r="L1346" s="4">
        <v>46108</v>
      </c>
      <c r="M1346" s="1" t="s">
        <v>9471</v>
      </c>
      <c r="N1346" s="1" t="s">
        <v>2446</v>
      </c>
    </row>
    <row r="1347" spans="1:14" s="1" customFormat="1" x14ac:dyDescent="0.35">
      <c r="A1347" s="1" t="s">
        <v>4492</v>
      </c>
      <c r="B1347" s="1" t="s">
        <v>2368</v>
      </c>
      <c r="C1347" s="1" t="s">
        <v>2442</v>
      </c>
      <c r="D1347" s="1" t="s">
        <v>9470</v>
      </c>
      <c r="E1347" s="1" t="str">
        <f>"8115"</f>
        <v>8115</v>
      </c>
      <c r="F1347" s="1" t="s">
        <v>412</v>
      </c>
      <c r="G1347" s="1" t="s">
        <v>413</v>
      </c>
      <c r="H1347" s="1" t="s">
        <v>15</v>
      </c>
      <c r="I1347" s="1" t="str">
        <f>"8"</f>
        <v>8</v>
      </c>
      <c r="J1347" s="3" t="str">
        <f>"100"</f>
        <v>100</v>
      </c>
      <c r="K1347" s="4">
        <v>46051</v>
      </c>
      <c r="L1347" s="4">
        <v>46071</v>
      </c>
      <c r="M1347" s="1" t="s">
        <v>9469</v>
      </c>
      <c r="N1347" s="1" t="s">
        <v>9468</v>
      </c>
    </row>
    <row r="1348" spans="1:14" s="1" customFormat="1" x14ac:dyDescent="0.35">
      <c r="A1348" s="1" t="s">
        <v>4492</v>
      </c>
      <c r="B1348" s="1" t="s">
        <v>2368</v>
      </c>
      <c r="C1348" s="1" t="s">
        <v>2442</v>
      </c>
      <c r="D1348" s="1" t="s">
        <v>9467</v>
      </c>
      <c r="E1348" s="1" t="str">
        <f>"4240"</f>
        <v>4240</v>
      </c>
      <c r="F1348" s="1" t="str">
        <f>"015635699"</f>
        <v>015635699</v>
      </c>
      <c r="G1348" s="1" t="s">
        <v>5032</v>
      </c>
      <c r="H1348" s="1" t="s">
        <v>15</v>
      </c>
      <c r="I1348" s="1" t="str">
        <f>"50"</f>
        <v>50</v>
      </c>
      <c r="J1348" s="3" t="str">
        <f>"55"</f>
        <v>55</v>
      </c>
      <c r="K1348" s="4">
        <v>46048</v>
      </c>
      <c r="L1348" s="4">
        <v>46060</v>
      </c>
      <c r="M1348" s="1" t="s">
        <v>9466</v>
      </c>
      <c r="N1348" s="1" t="s">
        <v>9465</v>
      </c>
    </row>
    <row r="1349" spans="1:14" s="1" customFormat="1" x14ac:dyDescent="0.35">
      <c r="A1349" s="1" t="s">
        <v>4492</v>
      </c>
      <c r="B1349" s="1" t="s">
        <v>2368</v>
      </c>
      <c r="C1349" s="1" t="s">
        <v>2442</v>
      </c>
      <c r="D1349" s="1" t="s">
        <v>9464</v>
      </c>
      <c r="E1349" s="1" t="str">
        <f>"5855"</f>
        <v>5855</v>
      </c>
      <c r="F1349" s="1" t="str">
        <f>"015937377"</f>
        <v>015937377</v>
      </c>
      <c r="G1349" s="1" t="s">
        <v>1357</v>
      </c>
      <c r="H1349" s="1" t="s">
        <v>15</v>
      </c>
      <c r="I1349" s="1" t="str">
        <f>"20"</f>
        <v>20</v>
      </c>
      <c r="J1349" s="3">
        <v>82.8</v>
      </c>
      <c r="K1349" s="4">
        <v>46056</v>
      </c>
      <c r="L1349" s="4">
        <v>46064</v>
      </c>
      <c r="M1349" s="1" t="s">
        <v>9463</v>
      </c>
      <c r="N1349" s="1" t="s">
        <v>9462</v>
      </c>
    </row>
    <row r="1350" spans="1:14" s="1" customFormat="1" x14ac:dyDescent="0.35">
      <c r="A1350" s="1" t="s">
        <v>4492</v>
      </c>
      <c r="B1350" s="1" t="s">
        <v>2368</v>
      </c>
      <c r="C1350" s="1" t="s">
        <v>2442</v>
      </c>
      <c r="D1350" s="1" t="s">
        <v>9461</v>
      </c>
      <c r="E1350" s="1" t="str">
        <f>"8145"</f>
        <v>8145</v>
      </c>
      <c r="F1350" s="1" t="str">
        <f>"014670441"</f>
        <v>014670441</v>
      </c>
      <c r="G1350" s="1" t="s">
        <v>337</v>
      </c>
      <c r="H1350" s="1" t="s">
        <v>15</v>
      </c>
      <c r="I1350" s="1" t="str">
        <f>"3"</f>
        <v>3</v>
      </c>
      <c r="J1350" s="3">
        <v>24026.06</v>
      </c>
      <c r="K1350" s="4">
        <v>46090</v>
      </c>
      <c r="L1350" s="4">
        <v>46099</v>
      </c>
      <c r="M1350" s="1" t="s">
        <v>9460</v>
      </c>
      <c r="N1350" s="1" t="s">
        <v>9459</v>
      </c>
    </row>
    <row r="1351" spans="1:14" s="1" customFormat="1" x14ac:dyDescent="0.35">
      <c r="A1351" s="1" t="s">
        <v>4492</v>
      </c>
      <c r="B1351" s="1" t="s">
        <v>3822</v>
      </c>
      <c r="C1351" s="1" t="s">
        <v>9453</v>
      </c>
      <c r="D1351" s="1" t="s">
        <v>9458</v>
      </c>
      <c r="E1351" s="1" t="str">
        <f>"8145"</f>
        <v>8145</v>
      </c>
      <c r="F1351" s="1" t="s">
        <v>2635</v>
      </c>
      <c r="G1351" s="1" t="s">
        <v>2636</v>
      </c>
      <c r="H1351" s="1" t="s">
        <v>15</v>
      </c>
      <c r="I1351" s="1" t="str">
        <f>"1"</f>
        <v>1</v>
      </c>
      <c r="J1351" s="3" t="str">
        <f>"6000"</f>
        <v>6000</v>
      </c>
      <c r="K1351" s="4">
        <v>46102</v>
      </c>
      <c r="L1351" s="4">
        <v>46104</v>
      </c>
      <c r="M1351" s="1" t="s">
        <v>4556</v>
      </c>
      <c r="N1351" s="1" t="s">
        <v>9457</v>
      </c>
    </row>
    <row r="1352" spans="1:14" s="1" customFormat="1" x14ac:dyDescent="0.35">
      <c r="A1352" s="1" t="s">
        <v>4492</v>
      </c>
      <c r="B1352" s="1" t="s">
        <v>3822</v>
      </c>
      <c r="C1352" s="1" t="s">
        <v>9453</v>
      </c>
      <c r="D1352" s="1" t="s">
        <v>9456</v>
      </c>
      <c r="E1352" s="1" t="str">
        <f>"2340"</f>
        <v>2340</v>
      </c>
      <c r="F1352" s="1" t="s">
        <v>179</v>
      </c>
      <c r="G1352" s="1" t="s">
        <v>180</v>
      </c>
      <c r="H1352" s="1" t="s">
        <v>15</v>
      </c>
      <c r="I1352" s="1" t="str">
        <f>"1"</f>
        <v>1</v>
      </c>
      <c r="J1352" s="3" t="str">
        <f>"4500"</f>
        <v>4500</v>
      </c>
      <c r="K1352" s="4">
        <v>46107</v>
      </c>
      <c r="L1352" s="4">
        <v>46108</v>
      </c>
      <c r="M1352" s="1" t="s">
        <v>9455</v>
      </c>
      <c r="N1352" s="1" t="s">
        <v>9454</v>
      </c>
    </row>
    <row r="1353" spans="1:14" s="1" customFormat="1" x14ac:dyDescent="0.35">
      <c r="A1353" s="1" t="s">
        <v>4492</v>
      </c>
      <c r="B1353" s="1" t="s">
        <v>3822</v>
      </c>
      <c r="C1353" s="1" t="s">
        <v>9453</v>
      </c>
      <c r="D1353" s="1" t="s">
        <v>9452</v>
      </c>
      <c r="E1353" s="1" t="str">
        <f>"6910"</f>
        <v>6910</v>
      </c>
      <c r="F1353" s="1" t="str">
        <f>"016630576"</f>
        <v>016630576</v>
      </c>
      <c r="G1353" s="1" t="s">
        <v>9451</v>
      </c>
      <c r="H1353" s="1" t="s">
        <v>15</v>
      </c>
      <c r="I1353" s="1" t="str">
        <f>"1"</f>
        <v>1</v>
      </c>
      <c r="J1353" s="3" t="str">
        <f>"34656"</f>
        <v>34656</v>
      </c>
      <c r="K1353" s="4">
        <v>46107</v>
      </c>
      <c r="L1353" s="4">
        <v>46108</v>
      </c>
      <c r="M1353" s="1" t="s">
        <v>4524</v>
      </c>
      <c r="N1353" s="1" t="s">
        <v>9450</v>
      </c>
    </row>
    <row r="1354" spans="1:14" s="1" customFormat="1" x14ac:dyDescent="0.35">
      <c r="A1354" s="1" t="s">
        <v>4492</v>
      </c>
      <c r="B1354" s="1" t="s">
        <v>3356</v>
      </c>
      <c r="C1354" s="1" t="s">
        <v>3386</v>
      </c>
      <c r="D1354" s="1" t="s">
        <v>9449</v>
      </c>
      <c r="E1354" s="1" t="str">
        <f>"6115"</f>
        <v>6115</v>
      </c>
      <c r="F1354" s="1" t="str">
        <f>"015310571"</f>
        <v>015310571</v>
      </c>
      <c r="G1354" s="1" t="s">
        <v>383</v>
      </c>
      <c r="H1354" s="1" t="s">
        <v>15</v>
      </c>
      <c r="I1354" s="1" t="str">
        <f>"1"</f>
        <v>1</v>
      </c>
      <c r="J1354" s="3" t="str">
        <f>"16380"</f>
        <v>16380</v>
      </c>
      <c r="K1354" s="4">
        <v>46091</v>
      </c>
      <c r="L1354" s="4">
        <v>46103</v>
      </c>
      <c r="M1354" s="1" t="s">
        <v>9448</v>
      </c>
      <c r="N1354" s="1" t="s">
        <v>9447</v>
      </c>
    </row>
    <row r="1355" spans="1:14" s="1" customFormat="1" x14ac:dyDescent="0.35">
      <c r="A1355" s="1" t="s">
        <v>4492</v>
      </c>
      <c r="B1355" s="1" t="s">
        <v>3822</v>
      </c>
      <c r="C1355" s="1" t="s">
        <v>4066</v>
      </c>
      <c r="D1355" s="1" t="s">
        <v>9446</v>
      </c>
      <c r="E1355" s="1" t="str">
        <f>"1005"</f>
        <v>1005</v>
      </c>
      <c r="F1355" s="1" t="s">
        <v>2213</v>
      </c>
      <c r="G1355" s="1" t="s">
        <v>2214</v>
      </c>
      <c r="H1355" s="1" t="s">
        <v>15</v>
      </c>
      <c r="I1355" s="1" t="str">
        <f>"7"</f>
        <v>7</v>
      </c>
      <c r="J1355" s="3">
        <v>3224.73</v>
      </c>
      <c r="K1355" s="4">
        <v>46063</v>
      </c>
      <c r="L1355" s="4">
        <v>46064</v>
      </c>
      <c r="M1355" s="1" t="s">
        <v>4524</v>
      </c>
      <c r="N1355" s="1" t="s">
        <v>9445</v>
      </c>
    </row>
    <row r="1356" spans="1:14" s="1" customFormat="1" x14ac:dyDescent="0.35">
      <c r="A1356" s="1" t="s">
        <v>4492</v>
      </c>
      <c r="B1356" s="1" t="s">
        <v>3822</v>
      </c>
      <c r="C1356" s="1" t="s">
        <v>4066</v>
      </c>
      <c r="D1356" s="1" t="s">
        <v>9444</v>
      </c>
      <c r="E1356" s="1" t="str">
        <f>"1005"</f>
        <v>1005</v>
      </c>
      <c r="F1356" s="1" t="s">
        <v>2213</v>
      </c>
      <c r="G1356" s="1" t="s">
        <v>2214</v>
      </c>
      <c r="H1356" s="1" t="s">
        <v>15</v>
      </c>
      <c r="I1356" s="1" t="str">
        <f>"3"</f>
        <v>3</v>
      </c>
      <c r="J1356" s="3">
        <v>3224.73</v>
      </c>
      <c r="K1356" s="4">
        <v>46063</v>
      </c>
      <c r="L1356" s="4">
        <v>46065</v>
      </c>
      <c r="M1356" s="1" t="s">
        <v>9443</v>
      </c>
      <c r="N1356" s="1" t="s">
        <v>9442</v>
      </c>
    </row>
    <row r="1357" spans="1:14" s="1" customFormat="1" x14ac:dyDescent="0.35">
      <c r="A1357" s="1" t="s">
        <v>4492</v>
      </c>
      <c r="B1357" s="1" t="s">
        <v>3822</v>
      </c>
      <c r="C1357" s="1" t="s">
        <v>4066</v>
      </c>
      <c r="D1357" s="1" t="s">
        <v>9441</v>
      </c>
      <c r="E1357" s="1" t="str">
        <f>"1005"</f>
        <v>1005</v>
      </c>
      <c r="F1357" s="1" t="s">
        <v>2213</v>
      </c>
      <c r="G1357" s="1" t="s">
        <v>2214</v>
      </c>
      <c r="H1357" s="1" t="s">
        <v>15</v>
      </c>
      <c r="I1357" s="1" t="str">
        <f>"7"</f>
        <v>7</v>
      </c>
      <c r="J1357" s="3">
        <v>3224.73</v>
      </c>
      <c r="K1357" s="4">
        <v>46064</v>
      </c>
      <c r="L1357" s="4">
        <v>46065</v>
      </c>
      <c r="M1357" s="1" t="s">
        <v>9440</v>
      </c>
      <c r="N1357" s="1" t="s">
        <v>9439</v>
      </c>
    </row>
    <row r="1358" spans="1:14" s="1" customFormat="1" x14ac:dyDescent="0.35">
      <c r="A1358" s="1" t="s">
        <v>4492</v>
      </c>
      <c r="B1358" s="1" t="s">
        <v>2368</v>
      </c>
      <c r="C1358" s="1" t="s">
        <v>9414</v>
      </c>
      <c r="D1358" s="1" t="s">
        <v>9438</v>
      </c>
      <c r="E1358" s="1" t="str">
        <f>"3930"</f>
        <v>3930</v>
      </c>
      <c r="F1358" s="1" t="str">
        <f>"011580849"</f>
        <v>011580849</v>
      </c>
      <c r="G1358" s="1" t="s">
        <v>124</v>
      </c>
      <c r="H1358" s="1" t="s">
        <v>15</v>
      </c>
      <c r="I1358" s="1" t="str">
        <f>"1"</f>
        <v>1</v>
      </c>
      <c r="J1358" s="3" t="str">
        <f>"72370"</f>
        <v>72370</v>
      </c>
      <c r="K1358" s="4">
        <v>46010</v>
      </c>
      <c r="L1358" s="4">
        <v>46038</v>
      </c>
      <c r="M1358" s="1" t="s">
        <v>9437</v>
      </c>
      <c r="N1358" s="1" t="s">
        <v>9436</v>
      </c>
    </row>
    <row r="1359" spans="1:14" s="1" customFormat="1" x14ac:dyDescent="0.35">
      <c r="A1359" s="1" t="s">
        <v>4492</v>
      </c>
      <c r="B1359" s="1" t="s">
        <v>2368</v>
      </c>
      <c r="C1359" s="1" t="s">
        <v>9414</v>
      </c>
      <c r="D1359" s="1" t="s">
        <v>9435</v>
      </c>
      <c r="E1359" s="1" t="str">
        <f>"2340"</f>
        <v>2340</v>
      </c>
      <c r="F1359" s="1" t="s">
        <v>1071</v>
      </c>
      <c r="G1359" s="1" t="s">
        <v>1072</v>
      </c>
      <c r="H1359" s="1" t="s">
        <v>15</v>
      </c>
      <c r="I1359" s="1" t="str">
        <f>"2"</f>
        <v>2</v>
      </c>
      <c r="J1359" s="3">
        <v>37739.58</v>
      </c>
      <c r="K1359" s="4">
        <v>46011</v>
      </c>
      <c r="L1359" s="4">
        <v>46025</v>
      </c>
      <c r="M1359" s="1" t="s">
        <v>9434</v>
      </c>
      <c r="N1359" s="1" t="s">
        <v>9431</v>
      </c>
    </row>
    <row r="1360" spans="1:14" s="1" customFormat="1" x14ac:dyDescent="0.35">
      <c r="A1360" s="1" t="s">
        <v>4492</v>
      </c>
      <c r="B1360" s="1" t="s">
        <v>2368</v>
      </c>
      <c r="C1360" s="1" t="s">
        <v>9414</v>
      </c>
      <c r="D1360" s="1" t="s">
        <v>9433</v>
      </c>
      <c r="E1360" s="1" t="str">
        <f>"2340"</f>
        <v>2340</v>
      </c>
      <c r="F1360" s="1" t="str">
        <f>"015714220"</f>
        <v>015714220</v>
      </c>
      <c r="G1360" s="1" t="s">
        <v>1926</v>
      </c>
      <c r="H1360" s="1" t="s">
        <v>15</v>
      </c>
      <c r="I1360" s="1" t="str">
        <f>"1"</f>
        <v>1</v>
      </c>
      <c r="J1360" s="3" t="str">
        <f>"14800"</f>
        <v>14800</v>
      </c>
      <c r="K1360" s="4">
        <v>46011</v>
      </c>
      <c r="L1360" s="4">
        <v>46092</v>
      </c>
      <c r="M1360" s="1" t="s">
        <v>9432</v>
      </c>
      <c r="N1360" s="1" t="s">
        <v>9431</v>
      </c>
    </row>
    <row r="1361" spans="1:14" s="1" customFormat="1" x14ac:dyDescent="0.35">
      <c r="A1361" s="1" t="s">
        <v>4492</v>
      </c>
      <c r="B1361" s="1" t="s">
        <v>2368</v>
      </c>
      <c r="C1361" s="1" t="s">
        <v>9414</v>
      </c>
      <c r="D1361" s="1" t="s">
        <v>9430</v>
      </c>
      <c r="E1361" s="1" t="str">
        <f>"2340"</f>
        <v>2340</v>
      </c>
      <c r="F1361" s="1" t="str">
        <f>"016495368"</f>
        <v>016495368</v>
      </c>
      <c r="G1361" s="1" t="s">
        <v>1926</v>
      </c>
      <c r="H1361" s="1" t="s">
        <v>15</v>
      </c>
      <c r="I1361" s="1" t="str">
        <f>"1"</f>
        <v>1</v>
      </c>
      <c r="J1361" s="3" t="str">
        <f>"34900"</f>
        <v>34900</v>
      </c>
      <c r="K1361" s="4">
        <v>46018</v>
      </c>
      <c r="L1361" s="4">
        <v>46028</v>
      </c>
      <c r="M1361" s="1" t="s">
        <v>9429</v>
      </c>
      <c r="N1361" s="1" t="s">
        <v>9428</v>
      </c>
    </row>
    <row r="1362" spans="1:14" s="1" customFormat="1" x14ac:dyDescent="0.35">
      <c r="A1362" s="1" t="s">
        <v>4492</v>
      </c>
      <c r="B1362" s="1" t="s">
        <v>2368</v>
      </c>
      <c r="C1362" s="1" t="s">
        <v>9414</v>
      </c>
      <c r="D1362" s="1" t="s">
        <v>9427</v>
      </c>
      <c r="E1362" s="1" t="str">
        <f>"2320"</f>
        <v>2320</v>
      </c>
      <c r="F1362" s="1" t="s">
        <v>100</v>
      </c>
      <c r="G1362" s="1" t="s">
        <v>101</v>
      </c>
      <c r="H1362" s="1" t="s">
        <v>15</v>
      </c>
      <c r="I1362" s="1" t="str">
        <f>"1"</f>
        <v>1</v>
      </c>
      <c r="J1362" s="3" t="str">
        <f>"40000"</f>
        <v>40000</v>
      </c>
      <c r="K1362" s="4">
        <v>46027</v>
      </c>
      <c r="L1362" s="4">
        <v>46029</v>
      </c>
      <c r="M1362" s="1" t="s">
        <v>9426</v>
      </c>
      <c r="N1362" s="1" t="s">
        <v>9425</v>
      </c>
    </row>
    <row r="1363" spans="1:14" s="1" customFormat="1" x14ac:dyDescent="0.35">
      <c r="A1363" s="1" t="s">
        <v>4492</v>
      </c>
      <c r="B1363" s="1" t="s">
        <v>2368</v>
      </c>
      <c r="C1363" s="1" t="s">
        <v>9414</v>
      </c>
      <c r="D1363" s="1" t="s">
        <v>9424</v>
      </c>
      <c r="E1363" s="1" t="str">
        <f>"2310"</f>
        <v>2310</v>
      </c>
      <c r="F1363" s="1" t="str">
        <f>"010907741"</f>
        <v>010907741</v>
      </c>
      <c r="G1363" s="1" t="s">
        <v>710</v>
      </c>
      <c r="H1363" s="1" t="s">
        <v>15</v>
      </c>
      <c r="I1363" s="1" t="str">
        <f>"1"</f>
        <v>1</v>
      </c>
      <c r="J1363" s="3" t="str">
        <f>"30027"</f>
        <v>30027</v>
      </c>
      <c r="K1363" s="4">
        <v>46039</v>
      </c>
      <c r="L1363" s="4">
        <v>46055</v>
      </c>
      <c r="M1363" s="1" t="s">
        <v>9423</v>
      </c>
      <c r="N1363" s="1" t="s">
        <v>9418</v>
      </c>
    </row>
    <row r="1364" spans="1:14" s="1" customFormat="1" x14ac:dyDescent="0.35">
      <c r="A1364" s="1" t="s">
        <v>4492</v>
      </c>
      <c r="B1364" s="1" t="s">
        <v>2368</v>
      </c>
      <c r="C1364" s="1" t="s">
        <v>9414</v>
      </c>
      <c r="D1364" s="1" t="s">
        <v>9422</v>
      </c>
      <c r="E1364" s="1" t="str">
        <f>"2310"</f>
        <v>2310</v>
      </c>
      <c r="F1364" s="1" t="str">
        <f>"010907741"</f>
        <v>010907741</v>
      </c>
      <c r="G1364" s="1" t="s">
        <v>710</v>
      </c>
      <c r="H1364" s="1" t="s">
        <v>15</v>
      </c>
      <c r="I1364" s="1" t="str">
        <f>"1"</f>
        <v>1</v>
      </c>
      <c r="J1364" s="3" t="str">
        <f>"30027"</f>
        <v>30027</v>
      </c>
      <c r="K1364" s="4">
        <v>46039</v>
      </c>
      <c r="L1364" s="4">
        <v>46055</v>
      </c>
      <c r="M1364" s="1" t="s">
        <v>9421</v>
      </c>
      <c r="N1364" s="1" t="s">
        <v>9418</v>
      </c>
    </row>
    <row r="1365" spans="1:14" s="1" customFormat="1" x14ac:dyDescent="0.35">
      <c r="A1365" s="1" t="s">
        <v>4492</v>
      </c>
      <c r="B1365" s="1" t="s">
        <v>2368</v>
      </c>
      <c r="C1365" s="1" t="s">
        <v>9414</v>
      </c>
      <c r="D1365" s="1" t="s">
        <v>9420</v>
      </c>
      <c r="E1365" s="1" t="str">
        <f>"2310"</f>
        <v>2310</v>
      </c>
      <c r="F1365" s="1" t="str">
        <f>"010907741"</f>
        <v>010907741</v>
      </c>
      <c r="G1365" s="1" t="s">
        <v>710</v>
      </c>
      <c r="H1365" s="1" t="s">
        <v>15</v>
      </c>
      <c r="I1365" s="1" t="str">
        <f>"1"</f>
        <v>1</v>
      </c>
      <c r="J1365" s="3" t="str">
        <f>"30027"</f>
        <v>30027</v>
      </c>
      <c r="K1365" s="4">
        <v>46039</v>
      </c>
      <c r="L1365" s="4">
        <v>46055</v>
      </c>
      <c r="M1365" s="1" t="s">
        <v>9419</v>
      </c>
      <c r="N1365" s="1" t="s">
        <v>9418</v>
      </c>
    </row>
    <row r="1366" spans="1:14" s="1" customFormat="1" x14ac:dyDescent="0.35">
      <c r="A1366" s="1" t="s">
        <v>4492</v>
      </c>
      <c r="B1366" s="1" t="s">
        <v>2368</v>
      </c>
      <c r="C1366" s="1" t="s">
        <v>9414</v>
      </c>
      <c r="D1366" s="1" t="s">
        <v>9417</v>
      </c>
      <c r="E1366" s="1" t="str">
        <f>"1095"</f>
        <v>1095</v>
      </c>
      <c r="F1366" s="1" t="str">
        <f>"015432189"</f>
        <v>015432189</v>
      </c>
      <c r="G1366" s="1" t="s">
        <v>704</v>
      </c>
      <c r="H1366" s="1" t="s">
        <v>15</v>
      </c>
      <c r="I1366" s="1" t="str">
        <f>"3"</f>
        <v>3</v>
      </c>
      <c r="J1366" s="3" t="str">
        <f>"959"</f>
        <v>959</v>
      </c>
      <c r="K1366" s="4">
        <v>46041</v>
      </c>
      <c r="L1366" s="4">
        <v>46055</v>
      </c>
      <c r="M1366" s="1" t="s">
        <v>9416</v>
      </c>
      <c r="N1366" s="1" t="s">
        <v>9415</v>
      </c>
    </row>
    <row r="1367" spans="1:14" s="1" customFormat="1" x14ac:dyDescent="0.35">
      <c r="A1367" s="1" t="s">
        <v>4492</v>
      </c>
      <c r="B1367" s="1" t="s">
        <v>2368</v>
      </c>
      <c r="C1367" s="1" t="s">
        <v>9414</v>
      </c>
      <c r="D1367" s="1" t="s">
        <v>9413</v>
      </c>
      <c r="E1367" s="1" t="str">
        <f>"3805"</f>
        <v>3805</v>
      </c>
      <c r="F1367" s="1" t="s">
        <v>1020</v>
      </c>
      <c r="G1367" s="1" t="s">
        <v>1021</v>
      </c>
      <c r="H1367" s="1" t="s">
        <v>15</v>
      </c>
      <c r="I1367" s="1" t="str">
        <f>"1"</f>
        <v>1</v>
      </c>
      <c r="J1367" s="3" t="str">
        <f>"40000"</f>
        <v>40000</v>
      </c>
      <c r="K1367" s="4">
        <v>46046</v>
      </c>
      <c r="L1367" s="4">
        <v>46051</v>
      </c>
      <c r="M1367" s="1" t="s">
        <v>9412</v>
      </c>
      <c r="N1367" s="1" t="s">
        <v>9411</v>
      </c>
    </row>
    <row r="1368" spans="1:14" s="1" customFormat="1" x14ac:dyDescent="0.35">
      <c r="A1368" s="1" t="s">
        <v>4492</v>
      </c>
      <c r="B1368" s="1" t="s">
        <v>9407</v>
      </c>
      <c r="C1368" s="1" t="s">
        <v>9406</v>
      </c>
      <c r="D1368" s="1" t="s">
        <v>9410</v>
      </c>
      <c r="E1368" s="1" t="str">
        <f>"6230"</f>
        <v>6230</v>
      </c>
      <c r="F1368" s="1" t="str">
        <f>"015308890"</f>
        <v>015308890</v>
      </c>
      <c r="G1368" s="1" t="s">
        <v>9409</v>
      </c>
      <c r="H1368" s="1" t="s">
        <v>15</v>
      </c>
      <c r="I1368" s="1" t="str">
        <f>"1"</f>
        <v>1</v>
      </c>
      <c r="J1368" s="3" t="str">
        <f>"12000"</f>
        <v>12000</v>
      </c>
      <c r="K1368" s="4">
        <v>46046</v>
      </c>
      <c r="L1368" s="4">
        <v>46060</v>
      </c>
      <c r="M1368" s="1" t="s">
        <v>9408</v>
      </c>
      <c r="N1368" s="1" t="s">
        <v>9402</v>
      </c>
    </row>
    <row r="1369" spans="1:14" s="1" customFormat="1" x14ac:dyDescent="0.35">
      <c r="A1369" s="1" t="s">
        <v>4492</v>
      </c>
      <c r="B1369" s="1" t="s">
        <v>9407</v>
      </c>
      <c r="C1369" s="1" t="s">
        <v>9406</v>
      </c>
      <c r="D1369" s="1" t="s">
        <v>9405</v>
      </c>
      <c r="E1369" s="1" t="str">
        <f>"6230"</f>
        <v>6230</v>
      </c>
      <c r="F1369" s="1" t="str">
        <f>"016422435"</f>
        <v>016422435</v>
      </c>
      <c r="G1369" s="1" t="s">
        <v>9404</v>
      </c>
      <c r="H1369" s="1" t="s">
        <v>15</v>
      </c>
      <c r="I1369" s="1" t="str">
        <f>"1"</f>
        <v>1</v>
      </c>
      <c r="J1369" s="3">
        <v>19359.59</v>
      </c>
      <c r="K1369" s="4">
        <v>46046</v>
      </c>
      <c r="L1369" s="4">
        <v>46060</v>
      </c>
      <c r="M1369" s="1" t="s">
        <v>9403</v>
      </c>
      <c r="N1369" s="1" t="s">
        <v>9402</v>
      </c>
    </row>
    <row r="1370" spans="1:14" s="1" customFormat="1" x14ac:dyDescent="0.35">
      <c r="A1370" s="1" t="s">
        <v>4492</v>
      </c>
      <c r="B1370" s="1" t="s">
        <v>1303</v>
      </c>
      <c r="C1370" s="1" t="s">
        <v>9398</v>
      </c>
      <c r="D1370" s="1" t="s">
        <v>9401</v>
      </c>
      <c r="E1370" s="1" t="str">
        <f>"1240"</f>
        <v>1240</v>
      </c>
      <c r="F1370" s="1" t="str">
        <f>"014111265"</f>
        <v>014111265</v>
      </c>
      <c r="G1370" s="1" t="s">
        <v>71</v>
      </c>
      <c r="H1370" s="1" t="s">
        <v>15</v>
      </c>
      <c r="I1370" s="1" t="str">
        <f>"2"</f>
        <v>2</v>
      </c>
      <c r="J1370" s="3" t="str">
        <f>"339"</f>
        <v>339</v>
      </c>
      <c r="K1370" s="4">
        <v>46008</v>
      </c>
      <c r="L1370" s="4">
        <v>46029</v>
      </c>
      <c r="M1370" s="1" t="s">
        <v>9400</v>
      </c>
      <c r="N1370" s="1" t="s">
        <v>9399</v>
      </c>
    </row>
    <row r="1371" spans="1:14" s="1" customFormat="1" x14ac:dyDescent="0.35">
      <c r="A1371" s="1" t="s">
        <v>4492</v>
      </c>
      <c r="B1371" s="1" t="s">
        <v>1303</v>
      </c>
      <c r="C1371" s="1" t="s">
        <v>9398</v>
      </c>
      <c r="D1371" s="1" t="s">
        <v>9397</v>
      </c>
      <c r="E1371" s="1" t="str">
        <f>"1240"</f>
        <v>1240</v>
      </c>
      <c r="F1371" s="1" t="str">
        <f>"014111265"</f>
        <v>014111265</v>
      </c>
      <c r="G1371" s="1" t="s">
        <v>71</v>
      </c>
      <c r="H1371" s="1" t="s">
        <v>15</v>
      </c>
      <c r="I1371" s="1" t="str">
        <f>"3"</f>
        <v>3</v>
      </c>
      <c r="J1371" s="3" t="str">
        <f>"339"</f>
        <v>339</v>
      </c>
      <c r="K1371" s="4">
        <v>46050</v>
      </c>
      <c r="L1371" s="4">
        <v>46050</v>
      </c>
      <c r="N1371" s="1" t="s">
        <v>9396</v>
      </c>
    </row>
    <row r="1372" spans="1:14" s="1" customFormat="1" x14ac:dyDescent="0.35">
      <c r="A1372" s="1" t="s">
        <v>4492</v>
      </c>
      <c r="B1372" s="1" t="s">
        <v>1176</v>
      </c>
      <c r="C1372" s="1" t="s">
        <v>1213</v>
      </c>
      <c r="D1372" s="1" t="s">
        <v>9395</v>
      </c>
      <c r="E1372" s="1" t="str">
        <f>"1240"</f>
        <v>1240</v>
      </c>
      <c r="F1372" s="1" t="s">
        <v>1364</v>
      </c>
      <c r="G1372" s="1" t="s">
        <v>1365</v>
      </c>
      <c r="H1372" s="1" t="s">
        <v>15</v>
      </c>
      <c r="I1372" s="1" t="str">
        <f>"1"</f>
        <v>1</v>
      </c>
      <c r="J1372" s="3">
        <v>602.34</v>
      </c>
      <c r="K1372" s="4">
        <v>46022</v>
      </c>
      <c r="L1372" s="4">
        <v>46028</v>
      </c>
      <c r="M1372" s="1" t="s">
        <v>9394</v>
      </c>
      <c r="N1372" s="1" t="s">
        <v>9393</v>
      </c>
    </row>
    <row r="1373" spans="1:14" s="1" customFormat="1" x14ac:dyDescent="0.35">
      <c r="A1373" s="1" t="s">
        <v>4492</v>
      </c>
      <c r="B1373" s="1" t="s">
        <v>1176</v>
      </c>
      <c r="C1373" s="1" t="s">
        <v>1213</v>
      </c>
      <c r="D1373" s="1" t="s">
        <v>9392</v>
      </c>
      <c r="E1373" s="1" t="str">
        <f>"1240"</f>
        <v>1240</v>
      </c>
      <c r="F1373" s="1" t="str">
        <f>"015766134"</f>
        <v>015766134</v>
      </c>
      <c r="G1373" s="1" t="s">
        <v>71</v>
      </c>
      <c r="H1373" s="1" t="s">
        <v>15</v>
      </c>
      <c r="I1373" s="1" t="str">
        <f>"1"</f>
        <v>1</v>
      </c>
      <c r="J1373" s="3" t="str">
        <f>"589"</f>
        <v>589</v>
      </c>
      <c r="K1373" s="4">
        <v>46022</v>
      </c>
      <c r="L1373" s="4">
        <v>46048</v>
      </c>
      <c r="M1373" s="1" t="s">
        <v>9391</v>
      </c>
      <c r="N1373" s="1" t="s">
        <v>9390</v>
      </c>
    </row>
    <row r="1374" spans="1:14" s="1" customFormat="1" x14ac:dyDescent="0.35">
      <c r="A1374" s="1" t="s">
        <v>4492</v>
      </c>
      <c r="B1374" s="1" t="s">
        <v>1176</v>
      </c>
      <c r="C1374" s="1" t="s">
        <v>1213</v>
      </c>
      <c r="D1374" s="1" t="s">
        <v>9389</v>
      </c>
      <c r="E1374" s="1" t="str">
        <f>"1240"</f>
        <v>1240</v>
      </c>
      <c r="F1374" s="1" t="s">
        <v>1364</v>
      </c>
      <c r="G1374" s="1" t="s">
        <v>1365</v>
      </c>
      <c r="H1374" s="1" t="s">
        <v>15</v>
      </c>
      <c r="I1374" s="1" t="str">
        <f>"1"</f>
        <v>1</v>
      </c>
      <c r="J1374" s="3">
        <v>602.34</v>
      </c>
      <c r="K1374" s="4">
        <v>46022</v>
      </c>
      <c r="L1374" s="4">
        <v>46028</v>
      </c>
      <c r="M1374" s="1" t="s">
        <v>9388</v>
      </c>
      <c r="N1374" s="1" t="s">
        <v>9387</v>
      </c>
    </row>
    <row r="1375" spans="1:14" s="1" customFormat="1" x14ac:dyDescent="0.35">
      <c r="A1375" s="1" t="s">
        <v>4492</v>
      </c>
      <c r="B1375" s="1" t="s">
        <v>1176</v>
      </c>
      <c r="C1375" s="1" t="s">
        <v>1213</v>
      </c>
      <c r="D1375" s="1" t="s">
        <v>9386</v>
      </c>
      <c r="E1375" s="1" t="str">
        <f>"6515"</f>
        <v>6515</v>
      </c>
      <c r="F1375" s="1" t="s">
        <v>333</v>
      </c>
      <c r="G1375" s="1" t="s">
        <v>334</v>
      </c>
      <c r="H1375" s="1" t="s">
        <v>15</v>
      </c>
      <c r="I1375" s="1" t="str">
        <f>"1"</f>
        <v>1</v>
      </c>
      <c r="J1375" s="3" t="str">
        <f>"2000"</f>
        <v>2000</v>
      </c>
      <c r="K1375" s="4">
        <v>46028</v>
      </c>
      <c r="L1375" s="4">
        <v>46032</v>
      </c>
      <c r="M1375" s="1" t="s">
        <v>9385</v>
      </c>
      <c r="N1375" s="1" t="s">
        <v>9384</v>
      </c>
    </row>
    <row r="1376" spans="1:14" s="1" customFormat="1" x14ac:dyDescent="0.35">
      <c r="A1376" s="1" t="s">
        <v>4492</v>
      </c>
      <c r="B1376" s="1" t="s">
        <v>1176</v>
      </c>
      <c r="C1376" s="1" t="s">
        <v>1213</v>
      </c>
      <c r="D1376" s="1" t="s">
        <v>9383</v>
      </c>
      <c r="E1376" s="1" t="str">
        <f>"7021"</f>
        <v>7021</v>
      </c>
      <c r="F1376" s="1" t="s">
        <v>1173</v>
      </c>
      <c r="G1376" s="1" t="s">
        <v>1174</v>
      </c>
      <c r="H1376" s="1" t="s">
        <v>15</v>
      </c>
      <c r="I1376" s="1" t="str">
        <f>"3"</f>
        <v>3</v>
      </c>
      <c r="J1376" s="3">
        <v>2514.66</v>
      </c>
      <c r="K1376" s="4">
        <v>46078</v>
      </c>
      <c r="L1376" s="4">
        <v>46088</v>
      </c>
      <c r="M1376" s="1" t="s">
        <v>9382</v>
      </c>
      <c r="N1376" s="1" t="s">
        <v>9381</v>
      </c>
    </row>
    <row r="1377" spans="1:14" s="1" customFormat="1" x14ac:dyDescent="0.35">
      <c r="A1377" s="1" t="s">
        <v>4492</v>
      </c>
      <c r="B1377" s="1" t="s">
        <v>1013</v>
      </c>
      <c r="C1377" s="1" t="s">
        <v>1041</v>
      </c>
      <c r="D1377" s="1" t="s">
        <v>9380</v>
      </c>
      <c r="E1377" s="1" t="str">
        <f>"6545"</f>
        <v>6545</v>
      </c>
      <c r="F1377" s="1" t="str">
        <f>"015300929"</f>
        <v>015300929</v>
      </c>
      <c r="G1377" s="1" t="s">
        <v>167</v>
      </c>
      <c r="H1377" s="1" t="s">
        <v>168</v>
      </c>
      <c r="I1377" s="1" t="str">
        <f>"1"</f>
        <v>1</v>
      </c>
      <c r="J1377" s="3">
        <v>48.71</v>
      </c>
      <c r="K1377" s="4">
        <v>46024</v>
      </c>
      <c r="L1377" s="4">
        <v>46025</v>
      </c>
      <c r="M1377" s="1" t="s">
        <v>9379</v>
      </c>
      <c r="N1377" s="1" t="s">
        <v>9378</v>
      </c>
    </row>
    <row r="1378" spans="1:14" s="1" customFormat="1" x14ac:dyDescent="0.35">
      <c r="A1378" s="1" t="s">
        <v>4492</v>
      </c>
      <c r="B1378" s="1" t="s">
        <v>1989</v>
      </c>
      <c r="C1378" s="1" t="s">
        <v>9369</v>
      </c>
      <c r="D1378" s="1" t="s">
        <v>9377</v>
      </c>
      <c r="E1378" s="1" t="str">
        <f>"5855"</f>
        <v>5855</v>
      </c>
      <c r="F1378" s="1" t="str">
        <f>"015356166"</f>
        <v>015356166</v>
      </c>
      <c r="G1378" s="1" t="s">
        <v>742</v>
      </c>
      <c r="H1378" s="1" t="s">
        <v>15</v>
      </c>
      <c r="I1378" s="1" t="str">
        <f>"1"</f>
        <v>1</v>
      </c>
      <c r="J1378" s="3" t="str">
        <f>"898"</f>
        <v>898</v>
      </c>
      <c r="K1378" s="4">
        <v>46095</v>
      </c>
      <c r="L1378" s="4">
        <v>46096</v>
      </c>
      <c r="M1378" s="1" t="s">
        <v>4524</v>
      </c>
      <c r="N1378" s="1" t="s">
        <v>9376</v>
      </c>
    </row>
    <row r="1379" spans="1:14" s="1" customFormat="1" x14ac:dyDescent="0.35">
      <c r="A1379" s="1" t="s">
        <v>4492</v>
      </c>
      <c r="B1379" s="1" t="s">
        <v>1989</v>
      </c>
      <c r="C1379" s="1" t="s">
        <v>9369</v>
      </c>
      <c r="D1379" s="1" t="s">
        <v>9375</v>
      </c>
      <c r="E1379" s="1" t="str">
        <f>"2340"</f>
        <v>2340</v>
      </c>
      <c r="F1379" s="1" t="s">
        <v>1071</v>
      </c>
      <c r="G1379" s="1" t="s">
        <v>1072</v>
      </c>
      <c r="H1379" s="1" t="s">
        <v>15</v>
      </c>
      <c r="I1379" s="1" t="str">
        <f>"1"</f>
        <v>1</v>
      </c>
      <c r="J1379" s="3" t="str">
        <f>"5000"</f>
        <v>5000</v>
      </c>
      <c r="K1379" s="4">
        <v>46095</v>
      </c>
      <c r="L1379" s="4">
        <v>46100</v>
      </c>
      <c r="M1379" s="1" t="s">
        <v>9374</v>
      </c>
      <c r="N1379" s="1" t="s">
        <v>9373</v>
      </c>
    </row>
    <row r="1380" spans="1:14" s="1" customFormat="1" x14ac:dyDescent="0.35">
      <c r="A1380" s="1" t="s">
        <v>4492</v>
      </c>
      <c r="B1380" s="1" t="s">
        <v>1989</v>
      </c>
      <c r="C1380" s="1" t="s">
        <v>9369</v>
      </c>
      <c r="D1380" s="1" t="s">
        <v>9372</v>
      </c>
      <c r="E1380" s="1" t="str">
        <f>"6230"</f>
        <v>6230</v>
      </c>
      <c r="F1380" s="1" t="s">
        <v>3594</v>
      </c>
      <c r="G1380" s="1" t="s">
        <v>3595</v>
      </c>
      <c r="H1380" s="1" t="s">
        <v>15</v>
      </c>
      <c r="I1380" s="1" t="str">
        <f>"2"</f>
        <v>2</v>
      </c>
      <c r="J1380" s="3" t="str">
        <f>"8000"</f>
        <v>8000</v>
      </c>
      <c r="K1380" s="4">
        <v>46097</v>
      </c>
      <c r="L1380" s="4">
        <v>46109</v>
      </c>
      <c r="M1380" s="1" t="s">
        <v>9371</v>
      </c>
      <c r="N1380" s="1" t="s">
        <v>9370</v>
      </c>
    </row>
    <row r="1381" spans="1:14" s="1" customFormat="1" x14ac:dyDescent="0.35">
      <c r="A1381" s="1" t="s">
        <v>4492</v>
      </c>
      <c r="B1381" s="1" t="s">
        <v>1989</v>
      </c>
      <c r="C1381" s="1" t="s">
        <v>9369</v>
      </c>
      <c r="D1381" s="1" t="s">
        <v>9368</v>
      </c>
      <c r="E1381" s="1" t="str">
        <f>"2340"</f>
        <v>2340</v>
      </c>
      <c r="F1381" s="1" t="s">
        <v>1071</v>
      </c>
      <c r="G1381" s="1" t="s">
        <v>1072</v>
      </c>
      <c r="H1381" s="1" t="s">
        <v>15</v>
      </c>
      <c r="I1381" s="1" t="str">
        <f>"1"</f>
        <v>1</v>
      </c>
      <c r="J1381" s="3" t="str">
        <f>"10195"</f>
        <v>10195</v>
      </c>
      <c r="K1381" s="4">
        <v>46097</v>
      </c>
      <c r="L1381" s="4">
        <v>46099</v>
      </c>
      <c r="M1381" s="1" t="s">
        <v>9367</v>
      </c>
      <c r="N1381" s="1" t="s">
        <v>9366</v>
      </c>
    </row>
    <row r="1382" spans="1:14" s="1" customFormat="1" x14ac:dyDescent="0.35">
      <c r="A1382" s="1" t="s">
        <v>4492</v>
      </c>
      <c r="B1382" s="1" t="s">
        <v>4247</v>
      </c>
      <c r="C1382" s="1" t="s">
        <v>4251</v>
      </c>
      <c r="D1382" s="1" t="s">
        <v>9365</v>
      </c>
      <c r="E1382" s="1" t="str">
        <f>"2310"</f>
        <v>2310</v>
      </c>
      <c r="F1382" s="1" t="s">
        <v>9364</v>
      </c>
      <c r="G1382" s="1" t="s">
        <v>9363</v>
      </c>
      <c r="H1382" s="1" t="s">
        <v>15</v>
      </c>
      <c r="I1382" s="1" t="str">
        <f>"1"</f>
        <v>1</v>
      </c>
      <c r="J1382" s="3" t="str">
        <f>"28000"</f>
        <v>28000</v>
      </c>
      <c r="K1382" s="4">
        <v>46052</v>
      </c>
      <c r="L1382" s="4">
        <v>46055</v>
      </c>
      <c r="M1382" s="1" t="s">
        <v>9362</v>
      </c>
      <c r="N1382" s="1" t="s">
        <v>9361</v>
      </c>
    </row>
    <row r="1383" spans="1:14" s="1" customFormat="1" x14ac:dyDescent="0.35">
      <c r="A1383" s="1" t="s">
        <v>4492</v>
      </c>
      <c r="B1383" s="1" t="s">
        <v>4247</v>
      </c>
      <c r="C1383" s="1" t="s">
        <v>4251</v>
      </c>
      <c r="D1383" s="1" t="s">
        <v>9360</v>
      </c>
      <c r="E1383" s="1" t="str">
        <f>"2340"</f>
        <v>2340</v>
      </c>
      <c r="F1383" s="1" t="s">
        <v>1071</v>
      </c>
      <c r="G1383" s="1" t="s">
        <v>1072</v>
      </c>
      <c r="H1383" s="1" t="s">
        <v>15</v>
      </c>
      <c r="I1383" s="1" t="str">
        <f>"2"</f>
        <v>2</v>
      </c>
      <c r="J1383" s="3">
        <v>14227.95</v>
      </c>
      <c r="K1383" s="4">
        <v>46062</v>
      </c>
      <c r="L1383" s="4">
        <v>46063</v>
      </c>
      <c r="M1383" s="1" t="s">
        <v>4556</v>
      </c>
      <c r="N1383" s="1" t="s">
        <v>9359</v>
      </c>
    </row>
    <row r="1384" spans="1:14" s="1" customFormat="1" x14ac:dyDescent="0.35">
      <c r="A1384" s="1" t="s">
        <v>4492</v>
      </c>
      <c r="B1384" s="1" t="s">
        <v>4247</v>
      </c>
      <c r="C1384" s="1" t="s">
        <v>4251</v>
      </c>
      <c r="D1384" s="1" t="s">
        <v>9358</v>
      </c>
      <c r="E1384" s="1" t="str">
        <f>"2310"</f>
        <v>2310</v>
      </c>
      <c r="F1384" s="1" t="str">
        <f>"014998019"</f>
        <v>014998019</v>
      </c>
      <c r="G1384" s="1" t="s">
        <v>4671</v>
      </c>
      <c r="H1384" s="1" t="s">
        <v>15</v>
      </c>
      <c r="I1384" s="1" t="str">
        <f>"1"</f>
        <v>1</v>
      </c>
      <c r="J1384" s="3" t="str">
        <f>"165000"</f>
        <v>165000</v>
      </c>
      <c r="K1384" s="4">
        <v>46080</v>
      </c>
      <c r="L1384" s="4">
        <v>46082</v>
      </c>
      <c r="M1384" s="1" t="s">
        <v>4524</v>
      </c>
      <c r="N1384" s="1" t="s">
        <v>9357</v>
      </c>
    </row>
    <row r="1385" spans="1:14" s="1" customFormat="1" x14ac:dyDescent="0.35">
      <c r="A1385" s="1" t="s">
        <v>4492</v>
      </c>
      <c r="B1385" s="1" t="s">
        <v>4247</v>
      </c>
      <c r="C1385" s="1" t="s">
        <v>4251</v>
      </c>
      <c r="D1385" s="1" t="s">
        <v>9356</v>
      </c>
      <c r="E1385" s="1" t="str">
        <f>"2320"</f>
        <v>2320</v>
      </c>
      <c r="F1385" s="1" t="s">
        <v>100</v>
      </c>
      <c r="G1385" s="1" t="s">
        <v>101</v>
      </c>
      <c r="H1385" s="1" t="s">
        <v>15</v>
      </c>
      <c r="I1385" s="1" t="str">
        <f>"1"</f>
        <v>1</v>
      </c>
      <c r="J1385" s="3" t="str">
        <f>"61735"</f>
        <v>61735</v>
      </c>
      <c r="K1385" s="4">
        <v>46095</v>
      </c>
      <c r="L1385" s="4">
        <v>46109</v>
      </c>
      <c r="M1385" s="1" t="s">
        <v>9355</v>
      </c>
      <c r="N1385" s="1" t="s">
        <v>9354</v>
      </c>
    </row>
    <row r="1386" spans="1:14" s="1" customFormat="1" x14ac:dyDescent="0.35">
      <c r="A1386" s="1" t="s">
        <v>4492</v>
      </c>
      <c r="B1386" s="1" t="s">
        <v>4247</v>
      </c>
      <c r="C1386" s="1" t="s">
        <v>4251</v>
      </c>
      <c r="D1386" s="1" t="s">
        <v>9353</v>
      </c>
      <c r="E1386" s="1" t="str">
        <f>"5855"</f>
        <v>5855</v>
      </c>
      <c r="F1386" s="1" t="str">
        <f>"015356166"</f>
        <v>015356166</v>
      </c>
      <c r="G1386" s="1" t="s">
        <v>742</v>
      </c>
      <c r="H1386" s="1" t="s">
        <v>15</v>
      </c>
      <c r="I1386" s="1" t="str">
        <f>"10"</f>
        <v>10</v>
      </c>
      <c r="J1386" s="3" t="str">
        <f>"898"</f>
        <v>898</v>
      </c>
      <c r="K1386" s="4">
        <v>46095</v>
      </c>
      <c r="L1386" s="4">
        <v>46096</v>
      </c>
      <c r="M1386" s="1" t="s">
        <v>4524</v>
      </c>
      <c r="N1386" s="1" t="s">
        <v>9352</v>
      </c>
    </row>
    <row r="1387" spans="1:14" s="1" customFormat="1" x14ac:dyDescent="0.35">
      <c r="A1387" s="1" t="s">
        <v>4492</v>
      </c>
      <c r="B1387" s="1" t="s">
        <v>4247</v>
      </c>
      <c r="C1387" s="1" t="s">
        <v>4251</v>
      </c>
      <c r="D1387" s="1" t="s">
        <v>9351</v>
      </c>
      <c r="E1387" s="1" t="str">
        <f>"2310"</f>
        <v>2310</v>
      </c>
      <c r="F1387" s="1" t="s">
        <v>4332</v>
      </c>
      <c r="G1387" s="1" t="s">
        <v>4333</v>
      </c>
      <c r="H1387" s="1" t="s">
        <v>15</v>
      </c>
      <c r="I1387" s="1" t="str">
        <f>"1"</f>
        <v>1</v>
      </c>
      <c r="J1387" s="3">
        <v>26812.5</v>
      </c>
      <c r="K1387" s="4">
        <v>46096</v>
      </c>
      <c r="L1387" s="4">
        <v>46109</v>
      </c>
      <c r="M1387" s="1" t="s">
        <v>9350</v>
      </c>
      <c r="N1387" s="1" t="s">
        <v>9349</v>
      </c>
    </row>
    <row r="1388" spans="1:14" s="1" customFormat="1" x14ac:dyDescent="0.35">
      <c r="A1388" s="1" t="s">
        <v>4492</v>
      </c>
      <c r="B1388" s="1" t="s">
        <v>4247</v>
      </c>
      <c r="C1388" s="1" t="s">
        <v>9342</v>
      </c>
      <c r="D1388" s="1" t="s">
        <v>9348</v>
      </c>
      <c r="E1388" s="1" t="str">
        <f>"4240"</f>
        <v>4240</v>
      </c>
      <c r="F1388" s="1" t="str">
        <f>"015262388"</f>
        <v>015262388</v>
      </c>
      <c r="G1388" s="1" t="s">
        <v>5523</v>
      </c>
      <c r="H1388" s="1" t="s">
        <v>15</v>
      </c>
      <c r="I1388" s="1" t="str">
        <f>"20"</f>
        <v>20</v>
      </c>
      <c r="J1388" s="3">
        <v>627.24</v>
      </c>
      <c r="K1388" s="4">
        <v>46087</v>
      </c>
      <c r="L1388" s="4">
        <v>46091</v>
      </c>
      <c r="M1388" s="1" t="s">
        <v>9347</v>
      </c>
      <c r="N1388" s="1" t="s">
        <v>9346</v>
      </c>
    </row>
    <row r="1389" spans="1:14" s="1" customFormat="1" x14ac:dyDescent="0.35">
      <c r="A1389" s="1" t="s">
        <v>4492</v>
      </c>
      <c r="B1389" s="1" t="s">
        <v>4247</v>
      </c>
      <c r="C1389" s="1" t="s">
        <v>9342</v>
      </c>
      <c r="D1389" s="1" t="s">
        <v>9345</v>
      </c>
      <c r="E1389" s="1" t="str">
        <f>"4240"</f>
        <v>4240</v>
      </c>
      <c r="F1389" s="1" t="str">
        <f>"015262398"</f>
        <v>015262398</v>
      </c>
      <c r="G1389" s="1" t="s">
        <v>5523</v>
      </c>
      <c r="H1389" s="1" t="s">
        <v>15</v>
      </c>
      <c r="I1389" s="1" t="str">
        <f>"15"</f>
        <v>15</v>
      </c>
      <c r="J1389" s="3">
        <v>511.68</v>
      </c>
      <c r="K1389" s="4">
        <v>46090</v>
      </c>
      <c r="L1389" s="4">
        <v>46091</v>
      </c>
      <c r="M1389" s="1" t="s">
        <v>9344</v>
      </c>
      <c r="N1389" s="1" t="s">
        <v>9343</v>
      </c>
    </row>
    <row r="1390" spans="1:14" s="1" customFormat="1" x14ac:dyDescent="0.35">
      <c r="A1390" s="1" t="s">
        <v>4492</v>
      </c>
      <c r="B1390" s="1" t="s">
        <v>4247</v>
      </c>
      <c r="C1390" s="1" t="s">
        <v>9342</v>
      </c>
      <c r="D1390" s="1" t="s">
        <v>9341</v>
      </c>
      <c r="E1390" s="1" t="str">
        <f>"4220"</f>
        <v>4220</v>
      </c>
      <c r="F1390" s="1" t="s">
        <v>9340</v>
      </c>
      <c r="G1390" s="1" t="s">
        <v>9339</v>
      </c>
      <c r="H1390" s="1" t="s">
        <v>15</v>
      </c>
      <c r="I1390" s="1" t="str">
        <f>"21"</f>
        <v>21</v>
      </c>
      <c r="J1390" s="3" t="str">
        <f>"360"</f>
        <v>360</v>
      </c>
      <c r="K1390" s="4">
        <v>46092</v>
      </c>
      <c r="L1390" s="4">
        <v>46098</v>
      </c>
      <c r="M1390" s="1" t="s">
        <v>9338</v>
      </c>
      <c r="N1390" s="1" t="s">
        <v>9337</v>
      </c>
    </row>
    <row r="1391" spans="1:14" s="1" customFormat="1" x14ac:dyDescent="0.35">
      <c r="A1391" s="1" t="s">
        <v>4492</v>
      </c>
      <c r="B1391" s="1" t="s">
        <v>1989</v>
      </c>
      <c r="C1391" s="1" t="s">
        <v>2026</v>
      </c>
      <c r="D1391" s="1" t="s">
        <v>9336</v>
      </c>
      <c r="E1391" s="1" t="str">
        <f>"7010"</f>
        <v>7010</v>
      </c>
      <c r="F1391" s="1" t="s">
        <v>1203</v>
      </c>
      <c r="G1391" s="1" t="s">
        <v>1204</v>
      </c>
      <c r="H1391" s="1" t="s">
        <v>15</v>
      </c>
      <c r="I1391" s="1" t="str">
        <f>"4"</f>
        <v>4</v>
      </c>
      <c r="J1391" s="3" t="str">
        <f>"1384"</f>
        <v>1384</v>
      </c>
      <c r="K1391" s="4">
        <v>46059</v>
      </c>
      <c r="L1391" s="4">
        <v>46067</v>
      </c>
      <c r="M1391" s="1" t="s">
        <v>9335</v>
      </c>
      <c r="N1391" s="1" t="s">
        <v>2045</v>
      </c>
    </row>
    <row r="1392" spans="1:14" s="1" customFormat="1" x14ac:dyDescent="0.35">
      <c r="A1392" s="1" t="s">
        <v>4492</v>
      </c>
      <c r="B1392" s="1" t="s">
        <v>1989</v>
      </c>
      <c r="C1392" s="1" t="s">
        <v>2026</v>
      </c>
      <c r="D1392" s="1" t="s">
        <v>9334</v>
      </c>
      <c r="E1392" s="1" t="str">
        <f>"5820"</f>
        <v>5820</v>
      </c>
      <c r="F1392" s="1" t="str">
        <f>"016027199"</f>
        <v>016027199</v>
      </c>
      <c r="G1392" s="1" t="s">
        <v>9333</v>
      </c>
      <c r="H1392" s="1" t="s">
        <v>15</v>
      </c>
      <c r="I1392" s="1" t="str">
        <f>"2"</f>
        <v>2</v>
      </c>
      <c r="J1392" s="3">
        <v>782.8</v>
      </c>
      <c r="K1392" s="4">
        <v>46073</v>
      </c>
      <c r="L1392" s="4">
        <v>46074</v>
      </c>
      <c r="M1392" s="1" t="s">
        <v>4524</v>
      </c>
      <c r="N1392" s="1" t="s">
        <v>9332</v>
      </c>
    </row>
    <row r="1393" spans="1:14" s="1" customFormat="1" x14ac:dyDescent="0.35">
      <c r="A1393" s="1" t="s">
        <v>4492</v>
      </c>
      <c r="B1393" s="1" t="s">
        <v>1989</v>
      </c>
      <c r="C1393" s="1" t="s">
        <v>2026</v>
      </c>
      <c r="D1393" s="1" t="s">
        <v>9331</v>
      </c>
      <c r="E1393" s="1" t="str">
        <f>"7025"</f>
        <v>7025</v>
      </c>
      <c r="F1393" s="1" t="s">
        <v>5976</v>
      </c>
      <c r="G1393" s="1" t="s">
        <v>5975</v>
      </c>
      <c r="H1393" s="1" t="s">
        <v>15</v>
      </c>
      <c r="I1393" s="1" t="str">
        <f>"12"</f>
        <v>12</v>
      </c>
      <c r="J1393" s="3" t="str">
        <f>"799"</f>
        <v>799</v>
      </c>
      <c r="K1393" s="4">
        <v>46076</v>
      </c>
      <c r="L1393" s="4">
        <v>46077</v>
      </c>
      <c r="N1393" s="1" t="s">
        <v>9330</v>
      </c>
    </row>
    <row r="1394" spans="1:14" s="1" customFormat="1" x14ac:dyDescent="0.35">
      <c r="A1394" s="1" t="s">
        <v>4492</v>
      </c>
      <c r="B1394" s="1" t="s">
        <v>1989</v>
      </c>
      <c r="C1394" s="1" t="s">
        <v>2026</v>
      </c>
      <c r="D1394" s="1" t="s">
        <v>9329</v>
      </c>
      <c r="E1394" s="1" t="str">
        <f>"7025"</f>
        <v>7025</v>
      </c>
      <c r="F1394" s="1" t="s">
        <v>4892</v>
      </c>
      <c r="G1394" s="1" t="s">
        <v>4891</v>
      </c>
      <c r="H1394" s="1" t="s">
        <v>15</v>
      </c>
      <c r="I1394" s="1" t="str">
        <f>"1"</f>
        <v>1</v>
      </c>
      <c r="J1394" s="3" t="str">
        <f>"1000"</f>
        <v>1000</v>
      </c>
      <c r="K1394" s="4">
        <v>46077</v>
      </c>
      <c r="L1394" s="4">
        <v>46077</v>
      </c>
      <c r="M1394" s="1" t="s">
        <v>4556</v>
      </c>
      <c r="N1394" s="1" t="s">
        <v>9319</v>
      </c>
    </row>
    <row r="1395" spans="1:14" s="1" customFormat="1" x14ac:dyDescent="0.35">
      <c r="A1395" s="1" t="s">
        <v>4492</v>
      </c>
      <c r="B1395" s="1" t="s">
        <v>1989</v>
      </c>
      <c r="C1395" s="1" t="s">
        <v>2026</v>
      </c>
      <c r="D1395" s="1" t="s">
        <v>9328</v>
      </c>
      <c r="E1395" s="1" t="str">
        <f>"8465"</f>
        <v>8465</v>
      </c>
      <c r="F1395" s="1" t="str">
        <f>"015832483"</f>
        <v>015832483</v>
      </c>
      <c r="G1395" s="1" t="s">
        <v>2051</v>
      </c>
      <c r="H1395" s="1" t="s">
        <v>15</v>
      </c>
      <c r="I1395" s="1" t="str">
        <f>"38"</f>
        <v>38</v>
      </c>
      <c r="J1395" s="3">
        <v>8.1300000000000008</v>
      </c>
      <c r="K1395" s="4">
        <v>46084</v>
      </c>
      <c r="L1395" s="4">
        <v>46088</v>
      </c>
      <c r="M1395" s="1" t="s">
        <v>9327</v>
      </c>
      <c r="N1395" s="1" t="s">
        <v>2052</v>
      </c>
    </row>
    <row r="1396" spans="1:14" s="1" customFormat="1" x14ac:dyDescent="0.35">
      <c r="A1396" s="1" t="s">
        <v>4492</v>
      </c>
      <c r="B1396" s="1" t="s">
        <v>1989</v>
      </c>
      <c r="C1396" s="1" t="s">
        <v>2026</v>
      </c>
      <c r="D1396" s="1" t="s">
        <v>9326</v>
      </c>
      <c r="E1396" s="1" t="str">
        <f>"6310"</f>
        <v>6310</v>
      </c>
      <c r="F1396" s="1" t="s">
        <v>1713</v>
      </c>
      <c r="G1396" s="1" t="s">
        <v>1714</v>
      </c>
      <c r="H1396" s="1" t="s">
        <v>15</v>
      </c>
      <c r="I1396" s="1" t="str">
        <f>"1"</f>
        <v>1</v>
      </c>
      <c r="J1396" s="3" t="str">
        <f>"8000"</f>
        <v>8000</v>
      </c>
      <c r="K1396" s="4">
        <v>46083</v>
      </c>
      <c r="L1396" s="4">
        <v>46095</v>
      </c>
      <c r="M1396" s="1" t="s">
        <v>9325</v>
      </c>
      <c r="N1396" s="1" t="s">
        <v>9322</v>
      </c>
    </row>
    <row r="1397" spans="1:14" s="1" customFormat="1" x14ac:dyDescent="0.35">
      <c r="A1397" s="1" t="s">
        <v>4492</v>
      </c>
      <c r="B1397" s="1" t="s">
        <v>1989</v>
      </c>
      <c r="C1397" s="1" t="s">
        <v>2026</v>
      </c>
      <c r="D1397" s="1" t="s">
        <v>9324</v>
      </c>
      <c r="E1397" s="1" t="str">
        <f>"6310"</f>
        <v>6310</v>
      </c>
      <c r="F1397" s="1" t="s">
        <v>1713</v>
      </c>
      <c r="G1397" s="1" t="s">
        <v>1714</v>
      </c>
      <c r="H1397" s="1" t="s">
        <v>15</v>
      </c>
      <c r="I1397" s="1" t="str">
        <f>"1"</f>
        <v>1</v>
      </c>
      <c r="J1397" s="3" t="str">
        <f>"6857"</f>
        <v>6857</v>
      </c>
      <c r="K1397" s="4">
        <v>46084</v>
      </c>
      <c r="L1397" s="4">
        <v>46095</v>
      </c>
      <c r="M1397" s="1" t="s">
        <v>9323</v>
      </c>
      <c r="N1397" s="1" t="s">
        <v>9322</v>
      </c>
    </row>
    <row r="1398" spans="1:14" s="1" customFormat="1" x14ac:dyDescent="0.35">
      <c r="A1398" s="1" t="s">
        <v>4492</v>
      </c>
      <c r="B1398" s="1" t="s">
        <v>1989</v>
      </c>
      <c r="C1398" s="1" t="s">
        <v>2026</v>
      </c>
      <c r="D1398" s="1" t="s">
        <v>9321</v>
      </c>
      <c r="E1398" s="1" t="str">
        <f>"7025"</f>
        <v>7025</v>
      </c>
      <c r="F1398" s="1" t="s">
        <v>4892</v>
      </c>
      <c r="G1398" s="1" t="s">
        <v>4891</v>
      </c>
      <c r="H1398" s="1" t="s">
        <v>15</v>
      </c>
      <c r="I1398" s="1" t="str">
        <f>"3"</f>
        <v>3</v>
      </c>
      <c r="J1398" s="3" t="str">
        <f>"3920"</f>
        <v>3920</v>
      </c>
      <c r="K1398" s="4">
        <v>46084</v>
      </c>
      <c r="L1398" s="4">
        <v>46091</v>
      </c>
      <c r="M1398" s="1" t="s">
        <v>9320</v>
      </c>
      <c r="N1398" s="1" t="s">
        <v>9319</v>
      </c>
    </row>
    <row r="1399" spans="1:14" s="1" customFormat="1" x14ac:dyDescent="0.35">
      <c r="A1399" s="1" t="s">
        <v>4492</v>
      </c>
      <c r="B1399" s="1" t="s">
        <v>1989</v>
      </c>
      <c r="C1399" s="1" t="s">
        <v>2026</v>
      </c>
      <c r="D1399" s="1" t="s">
        <v>9318</v>
      </c>
      <c r="E1399" s="1" t="str">
        <f>"7010"</f>
        <v>7010</v>
      </c>
      <c r="F1399" s="1" t="s">
        <v>1203</v>
      </c>
      <c r="G1399" s="1" t="s">
        <v>1204</v>
      </c>
      <c r="H1399" s="1" t="s">
        <v>15</v>
      </c>
      <c r="I1399" s="1" t="str">
        <f>"4"</f>
        <v>4</v>
      </c>
      <c r="J1399" s="3" t="str">
        <f>"1182"</f>
        <v>1182</v>
      </c>
      <c r="K1399" s="4">
        <v>46096</v>
      </c>
      <c r="L1399" s="4">
        <v>46109</v>
      </c>
      <c r="M1399" s="1" t="s">
        <v>9317</v>
      </c>
      <c r="N1399" s="1" t="s">
        <v>2045</v>
      </c>
    </row>
    <row r="1400" spans="1:14" s="1" customFormat="1" x14ac:dyDescent="0.35">
      <c r="A1400" s="1" t="s">
        <v>4492</v>
      </c>
      <c r="B1400" s="1" t="s">
        <v>1989</v>
      </c>
      <c r="C1400" s="1" t="s">
        <v>2026</v>
      </c>
      <c r="D1400" s="1" t="s">
        <v>9316</v>
      </c>
      <c r="E1400" s="1" t="str">
        <f>"5180"</f>
        <v>5180</v>
      </c>
      <c r="F1400" s="1" t="str">
        <f>"015878129"</f>
        <v>015878129</v>
      </c>
      <c r="G1400" s="1" t="s">
        <v>322</v>
      </c>
      <c r="H1400" s="1" t="s">
        <v>15</v>
      </c>
      <c r="I1400" s="1" t="str">
        <f>"2"</f>
        <v>2</v>
      </c>
      <c r="J1400" s="3">
        <v>1720.12</v>
      </c>
      <c r="K1400" s="4">
        <v>46096</v>
      </c>
      <c r="L1400" s="4">
        <v>46109</v>
      </c>
      <c r="M1400" s="1" t="s">
        <v>9315</v>
      </c>
      <c r="N1400" s="1" t="s">
        <v>9314</v>
      </c>
    </row>
    <row r="1401" spans="1:14" s="1" customFormat="1" x14ac:dyDescent="0.35">
      <c r="A1401" s="1" t="s">
        <v>4492</v>
      </c>
      <c r="B1401" s="1" t="s">
        <v>1453</v>
      </c>
      <c r="C1401" s="1" t="s">
        <v>9302</v>
      </c>
      <c r="D1401" s="1" t="s">
        <v>9313</v>
      </c>
      <c r="E1401" s="1" t="str">
        <f>"6515"</f>
        <v>6515</v>
      </c>
      <c r="F1401" s="1" t="str">
        <f>"015217976"</f>
        <v>015217976</v>
      </c>
      <c r="G1401" s="1" t="s">
        <v>2250</v>
      </c>
      <c r="H1401" s="1" t="s">
        <v>15</v>
      </c>
      <c r="I1401" s="1" t="str">
        <f>"1"</f>
        <v>1</v>
      </c>
      <c r="J1401" s="3">
        <v>31.1</v>
      </c>
      <c r="K1401" s="4">
        <v>46080</v>
      </c>
      <c r="L1401" s="4">
        <v>46082</v>
      </c>
      <c r="M1401" s="1" t="s">
        <v>4524</v>
      </c>
      <c r="N1401" s="1" t="s">
        <v>9312</v>
      </c>
    </row>
    <row r="1402" spans="1:14" s="1" customFormat="1" x14ac:dyDescent="0.35">
      <c r="A1402" s="1" t="s">
        <v>4492</v>
      </c>
      <c r="B1402" s="1" t="s">
        <v>1453</v>
      </c>
      <c r="C1402" s="1" t="s">
        <v>9302</v>
      </c>
      <c r="D1402" s="1" t="s">
        <v>9311</v>
      </c>
      <c r="E1402" s="1" t="str">
        <f>"2360"</f>
        <v>2360</v>
      </c>
      <c r="F1402" s="1" t="str">
        <f>"016631082"</f>
        <v>016631082</v>
      </c>
      <c r="G1402" s="1" t="s">
        <v>1275</v>
      </c>
      <c r="H1402" s="1" t="s">
        <v>15</v>
      </c>
      <c r="I1402" s="1" t="str">
        <f>"1"</f>
        <v>1</v>
      </c>
      <c r="J1402" s="3" t="str">
        <f>"77060"</f>
        <v>77060</v>
      </c>
      <c r="K1402" s="4">
        <v>46080</v>
      </c>
      <c r="L1402" s="4">
        <v>46086</v>
      </c>
      <c r="M1402" s="1" t="s">
        <v>4524</v>
      </c>
      <c r="N1402" s="1" t="s">
        <v>9310</v>
      </c>
    </row>
    <row r="1403" spans="1:14" s="1" customFormat="1" x14ac:dyDescent="0.35">
      <c r="A1403" s="1" t="s">
        <v>4492</v>
      </c>
      <c r="B1403" s="1" t="s">
        <v>1453</v>
      </c>
      <c r="C1403" s="1" t="s">
        <v>9302</v>
      </c>
      <c r="D1403" s="1" t="s">
        <v>9309</v>
      </c>
      <c r="E1403" s="1" t="str">
        <f>"6545"</f>
        <v>6545</v>
      </c>
      <c r="F1403" s="1" t="str">
        <f>"015300929"</f>
        <v>015300929</v>
      </c>
      <c r="G1403" s="1" t="s">
        <v>167</v>
      </c>
      <c r="H1403" s="1" t="s">
        <v>168</v>
      </c>
      <c r="I1403" s="1" t="str">
        <f>"17"</f>
        <v>17</v>
      </c>
      <c r="J1403" s="3">
        <v>48.71</v>
      </c>
      <c r="K1403" s="4">
        <v>46090</v>
      </c>
      <c r="L1403" s="4">
        <v>46106</v>
      </c>
      <c r="M1403" s="1" t="s">
        <v>9308</v>
      </c>
      <c r="N1403" s="1" t="s">
        <v>9307</v>
      </c>
    </row>
    <row r="1404" spans="1:14" s="1" customFormat="1" x14ac:dyDescent="0.35">
      <c r="A1404" s="1" t="s">
        <v>4492</v>
      </c>
      <c r="B1404" s="1" t="s">
        <v>1453</v>
      </c>
      <c r="C1404" s="1" t="s">
        <v>9302</v>
      </c>
      <c r="D1404" s="1" t="s">
        <v>9306</v>
      </c>
      <c r="E1404" s="1" t="str">
        <f>"6515"</f>
        <v>6515</v>
      </c>
      <c r="F1404" s="1" t="str">
        <f>"015712717"</f>
        <v>015712717</v>
      </c>
      <c r="G1404" s="1" t="s">
        <v>9305</v>
      </c>
      <c r="H1404" s="1" t="s">
        <v>15</v>
      </c>
      <c r="I1404" s="1" t="str">
        <f>"1"</f>
        <v>1</v>
      </c>
      <c r="J1404" s="3" t="str">
        <f>"895"</f>
        <v>895</v>
      </c>
      <c r="K1404" s="4">
        <v>46090</v>
      </c>
      <c r="L1404" s="4">
        <v>46105</v>
      </c>
      <c r="M1404" s="1" t="s">
        <v>9304</v>
      </c>
      <c r="N1404" s="1" t="s">
        <v>9303</v>
      </c>
    </row>
    <row r="1405" spans="1:14" s="1" customFormat="1" x14ac:dyDescent="0.35">
      <c r="A1405" s="1" t="s">
        <v>4492</v>
      </c>
      <c r="B1405" s="1" t="s">
        <v>1453</v>
      </c>
      <c r="C1405" s="1" t="s">
        <v>9302</v>
      </c>
      <c r="D1405" s="1" t="s">
        <v>9301</v>
      </c>
      <c r="E1405" s="1" t="str">
        <f>"5855"</f>
        <v>5855</v>
      </c>
      <c r="F1405" s="1" t="str">
        <f>"016943200"</f>
        <v>016943200</v>
      </c>
      <c r="G1405" s="1" t="s">
        <v>5814</v>
      </c>
      <c r="H1405" s="1" t="s">
        <v>15</v>
      </c>
      <c r="I1405" s="1" t="str">
        <f>"2"</f>
        <v>2</v>
      </c>
      <c r="J1405" s="3" t="str">
        <f>"35000"</f>
        <v>35000</v>
      </c>
      <c r="K1405" s="4">
        <v>46090</v>
      </c>
      <c r="L1405" s="4">
        <v>46103</v>
      </c>
      <c r="M1405" s="1" t="s">
        <v>9300</v>
      </c>
      <c r="N1405" s="1" t="s">
        <v>9299</v>
      </c>
    </row>
    <row r="1406" spans="1:14" s="1" customFormat="1" x14ac:dyDescent="0.35">
      <c r="A1406" s="1" t="s">
        <v>4492</v>
      </c>
      <c r="B1406" s="1" t="s">
        <v>2368</v>
      </c>
      <c r="C1406" s="1" t="s">
        <v>9285</v>
      </c>
      <c r="D1406" s="1" t="s">
        <v>9298</v>
      </c>
      <c r="E1406" s="1" t="str">
        <f>"2320"</f>
        <v>2320</v>
      </c>
      <c r="F1406" s="1" t="str">
        <f>"009354448"</f>
        <v>009354448</v>
      </c>
      <c r="G1406" s="1" t="s">
        <v>394</v>
      </c>
      <c r="H1406" s="1" t="s">
        <v>15</v>
      </c>
      <c r="I1406" s="1" t="str">
        <f>"1"</f>
        <v>1</v>
      </c>
      <c r="J1406" s="3" t="str">
        <f>"116776"</f>
        <v>116776</v>
      </c>
      <c r="K1406" s="4">
        <v>46032</v>
      </c>
      <c r="L1406" s="4">
        <v>46046</v>
      </c>
      <c r="M1406" s="1" t="s">
        <v>9297</v>
      </c>
      <c r="N1406" s="1" t="s">
        <v>9296</v>
      </c>
    </row>
    <row r="1407" spans="1:14" s="1" customFormat="1" x14ac:dyDescent="0.35">
      <c r="A1407" s="1" t="s">
        <v>4492</v>
      </c>
      <c r="B1407" s="1" t="s">
        <v>2368</v>
      </c>
      <c r="C1407" s="1" t="s">
        <v>9285</v>
      </c>
      <c r="D1407" s="1" t="s">
        <v>9295</v>
      </c>
      <c r="E1407" s="1" t="str">
        <f>"2330"</f>
        <v>2330</v>
      </c>
      <c r="F1407" s="1" t="s">
        <v>104</v>
      </c>
      <c r="G1407" s="1" t="s">
        <v>105</v>
      </c>
      <c r="H1407" s="1" t="s">
        <v>15</v>
      </c>
      <c r="I1407" s="1" t="str">
        <f>"1"</f>
        <v>1</v>
      </c>
      <c r="J1407" s="3">
        <v>62760.99</v>
      </c>
      <c r="K1407" s="4">
        <v>46082</v>
      </c>
      <c r="L1407" s="4">
        <v>46087</v>
      </c>
      <c r="M1407" s="1" t="s">
        <v>9294</v>
      </c>
      <c r="N1407" s="1" t="s">
        <v>9293</v>
      </c>
    </row>
    <row r="1408" spans="1:14" s="1" customFormat="1" x14ac:dyDescent="0.35">
      <c r="A1408" s="1" t="s">
        <v>4492</v>
      </c>
      <c r="B1408" s="1" t="s">
        <v>2368</v>
      </c>
      <c r="C1408" s="1" t="s">
        <v>9285</v>
      </c>
      <c r="D1408" s="1" t="s">
        <v>9292</v>
      </c>
      <c r="E1408" s="1" t="str">
        <f>"5855"</f>
        <v>5855</v>
      </c>
      <c r="F1408" s="1" t="str">
        <f>"016002918"</f>
        <v>016002918</v>
      </c>
      <c r="G1408" s="1" t="s">
        <v>5814</v>
      </c>
      <c r="H1408" s="1" t="s">
        <v>15</v>
      </c>
      <c r="I1408" s="1" t="str">
        <f>"1"</f>
        <v>1</v>
      </c>
      <c r="J1408" s="3" t="str">
        <f>"27000"</f>
        <v>27000</v>
      </c>
      <c r="K1408" s="4">
        <v>46086</v>
      </c>
      <c r="L1408" s="4">
        <v>46087</v>
      </c>
      <c r="M1408" s="1" t="s">
        <v>4524</v>
      </c>
      <c r="N1408" s="1" t="s">
        <v>9291</v>
      </c>
    </row>
    <row r="1409" spans="1:14" s="1" customFormat="1" x14ac:dyDescent="0.35">
      <c r="A1409" s="1" t="s">
        <v>4492</v>
      </c>
      <c r="B1409" s="1" t="s">
        <v>2368</v>
      </c>
      <c r="C1409" s="1" t="s">
        <v>9285</v>
      </c>
      <c r="D1409" s="1" t="s">
        <v>9290</v>
      </c>
      <c r="E1409" s="1" t="str">
        <f>"2310"</f>
        <v>2310</v>
      </c>
      <c r="F1409" s="1" t="s">
        <v>4332</v>
      </c>
      <c r="G1409" s="1" t="s">
        <v>4333</v>
      </c>
      <c r="H1409" s="1" t="s">
        <v>15</v>
      </c>
      <c r="I1409" s="1" t="str">
        <f>"1"</f>
        <v>1</v>
      </c>
      <c r="J1409" s="3" t="str">
        <f>"81369"</f>
        <v>81369</v>
      </c>
      <c r="K1409" s="4">
        <v>46095</v>
      </c>
      <c r="L1409" s="4">
        <v>46109</v>
      </c>
      <c r="M1409" s="1" t="s">
        <v>9289</v>
      </c>
      <c r="N1409" s="1" t="s">
        <v>9288</v>
      </c>
    </row>
    <row r="1410" spans="1:14" s="1" customFormat="1" x14ac:dyDescent="0.35">
      <c r="A1410" s="1" t="s">
        <v>4492</v>
      </c>
      <c r="B1410" s="1" t="s">
        <v>2368</v>
      </c>
      <c r="C1410" s="1" t="s">
        <v>9285</v>
      </c>
      <c r="D1410" s="1" t="s">
        <v>9287</v>
      </c>
      <c r="E1410" s="1" t="str">
        <f>"2340"</f>
        <v>2340</v>
      </c>
      <c r="F1410" s="1" t="s">
        <v>1071</v>
      </c>
      <c r="G1410" s="1" t="s">
        <v>1072</v>
      </c>
      <c r="H1410" s="1" t="s">
        <v>15</v>
      </c>
      <c r="I1410" s="1" t="str">
        <f>"1"</f>
        <v>1</v>
      </c>
      <c r="J1410" s="3" t="str">
        <f>"5000"</f>
        <v>5000</v>
      </c>
      <c r="K1410" s="4">
        <v>46095</v>
      </c>
      <c r="L1410" s="4">
        <v>46100</v>
      </c>
      <c r="M1410" s="1" t="s">
        <v>9286</v>
      </c>
      <c r="N1410" s="1" t="s">
        <v>9282</v>
      </c>
    </row>
    <row r="1411" spans="1:14" s="1" customFormat="1" x14ac:dyDescent="0.35">
      <c r="A1411" s="1" t="s">
        <v>4492</v>
      </c>
      <c r="B1411" s="1" t="s">
        <v>2368</v>
      </c>
      <c r="C1411" s="1" t="s">
        <v>9285</v>
      </c>
      <c r="D1411" s="1" t="s">
        <v>9284</v>
      </c>
      <c r="E1411" s="1" t="str">
        <f>"2340"</f>
        <v>2340</v>
      </c>
      <c r="F1411" s="1" t="s">
        <v>1071</v>
      </c>
      <c r="G1411" s="1" t="s">
        <v>1072</v>
      </c>
      <c r="H1411" s="1" t="s">
        <v>15</v>
      </c>
      <c r="I1411" s="1" t="str">
        <f>"1"</f>
        <v>1</v>
      </c>
      <c r="J1411" s="3" t="str">
        <f>"5000"</f>
        <v>5000</v>
      </c>
      <c r="K1411" s="4">
        <v>46095</v>
      </c>
      <c r="L1411" s="4">
        <v>46100</v>
      </c>
      <c r="M1411" s="1" t="s">
        <v>9283</v>
      </c>
      <c r="N1411" s="1" t="s">
        <v>9282</v>
      </c>
    </row>
    <row r="1412" spans="1:14" s="1" customFormat="1" x14ac:dyDescent="0.35">
      <c r="A1412" s="1" t="s">
        <v>4492</v>
      </c>
      <c r="B1412" s="1" t="s">
        <v>1176</v>
      </c>
      <c r="C1412" s="1" t="s">
        <v>1216</v>
      </c>
      <c r="D1412" s="1" t="s">
        <v>9281</v>
      </c>
      <c r="E1412" s="1" t="str">
        <f>"1385"</f>
        <v>1385</v>
      </c>
      <c r="F1412" s="1" t="str">
        <f>"015936219"</f>
        <v>015936219</v>
      </c>
      <c r="G1412" s="1" t="s">
        <v>2079</v>
      </c>
      <c r="H1412" s="1" t="s">
        <v>15</v>
      </c>
      <c r="I1412" s="1" t="str">
        <f>"1"</f>
        <v>1</v>
      </c>
      <c r="J1412" s="3" t="str">
        <f>"77000"</f>
        <v>77000</v>
      </c>
      <c r="K1412" s="4">
        <v>46013</v>
      </c>
      <c r="L1412" s="4">
        <v>46063</v>
      </c>
      <c r="M1412" s="1" t="s">
        <v>9280</v>
      </c>
      <c r="N1412" s="1" t="s">
        <v>9279</v>
      </c>
    </row>
    <row r="1413" spans="1:14" s="1" customFormat="1" x14ac:dyDescent="0.35">
      <c r="A1413" s="1" t="s">
        <v>4492</v>
      </c>
      <c r="B1413" s="1" t="s">
        <v>1176</v>
      </c>
      <c r="C1413" s="1" t="s">
        <v>1216</v>
      </c>
      <c r="D1413" s="1" t="s">
        <v>9278</v>
      </c>
      <c r="E1413" s="1" t="str">
        <f>"2320"</f>
        <v>2320</v>
      </c>
      <c r="F1413" s="1" t="s">
        <v>4526</v>
      </c>
      <c r="G1413" s="1" t="s">
        <v>4525</v>
      </c>
      <c r="H1413" s="1" t="s">
        <v>15</v>
      </c>
      <c r="I1413" s="1" t="str">
        <f>"1"</f>
        <v>1</v>
      </c>
      <c r="J1413" s="3">
        <v>610434.26</v>
      </c>
      <c r="K1413" s="4">
        <v>46055</v>
      </c>
      <c r="L1413" s="4">
        <v>46056</v>
      </c>
      <c r="M1413" s="1" t="s">
        <v>4524</v>
      </c>
      <c r="N1413" s="1" t="s">
        <v>9277</v>
      </c>
    </row>
    <row r="1414" spans="1:14" s="1" customFormat="1" x14ac:dyDescent="0.35">
      <c r="A1414" s="1" t="s">
        <v>4492</v>
      </c>
      <c r="B1414" s="1" t="s">
        <v>1176</v>
      </c>
      <c r="C1414" s="1" t="s">
        <v>1216</v>
      </c>
      <c r="D1414" s="1" t="s">
        <v>9276</v>
      </c>
      <c r="E1414" s="1" t="str">
        <f>"6650"</f>
        <v>6650</v>
      </c>
      <c r="F1414" s="1" t="str">
        <f>"015114074"</f>
        <v>015114074</v>
      </c>
      <c r="G1414" s="1" t="s">
        <v>1004</v>
      </c>
      <c r="H1414" s="1" t="s">
        <v>15</v>
      </c>
      <c r="I1414" s="1" t="str">
        <f>"4"</f>
        <v>4</v>
      </c>
      <c r="J1414" s="3" t="str">
        <f>"10165"</f>
        <v>10165</v>
      </c>
      <c r="K1414" s="4">
        <v>46104</v>
      </c>
      <c r="L1414" s="4">
        <v>46105</v>
      </c>
      <c r="M1414" s="1" t="s">
        <v>4524</v>
      </c>
      <c r="N1414" s="1" t="s">
        <v>9275</v>
      </c>
    </row>
    <row r="1415" spans="1:14" s="1" customFormat="1" x14ac:dyDescent="0.35">
      <c r="A1415" s="1" t="s">
        <v>4492</v>
      </c>
      <c r="B1415" s="1" t="s">
        <v>1013</v>
      </c>
      <c r="C1415" s="1" t="s">
        <v>1050</v>
      </c>
      <c r="D1415" s="1" t="s">
        <v>9274</v>
      </c>
      <c r="E1415" s="1" t="str">
        <f>"3590"</f>
        <v>3590</v>
      </c>
      <c r="F1415" s="1" t="s">
        <v>1052</v>
      </c>
      <c r="G1415" s="1" t="s">
        <v>1053</v>
      </c>
      <c r="H1415" s="1" t="s">
        <v>15</v>
      </c>
      <c r="I1415" s="1" t="str">
        <f>"1"</f>
        <v>1</v>
      </c>
      <c r="J1415" s="3" t="str">
        <f>"20000"</f>
        <v>20000</v>
      </c>
      <c r="K1415" s="4">
        <v>45995</v>
      </c>
      <c r="L1415" s="4">
        <v>46031</v>
      </c>
      <c r="M1415" s="1" t="s">
        <v>9273</v>
      </c>
      <c r="N1415" s="1" t="s">
        <v>9272</v>
      </c>
    </row>
    <row r="1416" spans="1:14" s="1" customFormat="1" x14ac:dyDescent="0.35">
      <c r="A1416" s="1" t="s">
        <v>4492</v>
      </c>
      <c r="B1416" s="1" t="s">
        <v>3356</v>
      </c>
      <c r="C1416" s="1" t="s">
        <v>3389</v>
      </c>
      <c r="D1416" s="1" t="s">
        <v>9271</v>
      </c>
      <c r="E1416" s="1" t="str">
        <f>"1005"</f>
        <v>1005</v>
      </c>
      <c r="F1416" s="1" t="str">
        <f>"016316502"</f>
        <v>016316502</v>
      </c>
      <c r="G1416" s="1" t="s">
        <v>2502</v>
      </c>
      <c r="H1416" s="1" t="s">
        <v>15</v>
      </c>
      <c r="I1416" s="1" t="str">
        <f>"10"</f>
        <v>10</v>
      </c>
      <c r="J1416" s="3">
        <v>1140.4100000000001</v>
      </c>
      <c r="K1416" s="4">
        <v>46056</v>
      </c>
      <c r="L1416" s="4">
        <v>46060</v>
      </c>
      <c r="M1416" s="1" t="s">
        <v>9270</v>
      </c>
      <c r="N1416" s="1" t="s">
        <v>9269</v>
      </c>
    </row>
    <row r="1417" spans="1:14" s="1" customFormat="1" x14ac:dyDescent="0.35">
      <c r="A1417" s="1" t="s">
        <v>4492</v>
      </c>
      <c r="B1417" s="1" t="s">
        <v>3356</v>
      </c>
      <c r="C1417" s="1" t="s">
        <v>3389</v>
      </c>
      <c r="D1417" s="1" t="s">
        <v>9268</v>
      </c>
      <c r="E1417" s="1" t="str">
        <f>"2320"</f>
        <v>2320</v>
      </c>
      <c r="F1417" s="1" t="str">
        <f>"015303843"</f>
        <v>015303843</v>
      </c>
      <c r="G1417" s="1" t="s">
        <v>930</v>
      </c>
      <c r="H1417" s="1" t="s">
        <v>15</v>
      </c>
      <c r="I1417" s="1" t="str">
        <f>"1"</f>
        <v>1</v>
      </c>
      <c r="J1417" s="3" t="str">
        <f>"218378"</f>
        <v>218378</v>
      </c>
      <c r="K1417" s="4">
        <v>46094</v>
      </c>
      <c r="L1417" s="4">
        <v>46095</v>
      </c>
      <c r="M1417" s="1" t="s">
        <v>9267</v>
      </c>
      <c r="N1417" s="1" t="s">
        <v>9266</v>
      </c>
    </row>
    <row r="1418" spans="1:14" s="1" customFormat="1" x14ac:dyDescent="0.35">
      <c r="A1418" s="1" t="s">
        <v>4492</v>
      </c>
      <c r="B1418" s="1" t="s">
        <v>3356</v>
      </c>
      <c r="C1418" s="1" t="s">
        <v>3389</v>
      </c>
      <c r="D1418" s="1" t="s">
        <v>9265</v>
      </c>
      <c r="E1418" s="1" t="str">
        <f>"2310"</f>
        <v>2310</v>
      </c>
      <c r="F1418" s="1" t="str">
        <f>"014998019"</f>
        <v>014998019</v>
      </c>
      <c r="G1418" s="1" t="s">
        <v>4671</v>
      </c>
      <c r="H1418" s="1" t="s">
        <v>15</v>
      </c>
      <c r="I1418" s="1" t="str">
        <f>"1"</f>
        <v>1</v>
      </c>
      <c r="J1418" s="3" t="str">
        <f>"165000"</f>
        <v>165000</v>
      </c>
      <c r="K1418" s="4">
        <v>46097</v>
      </c>
      <c r="L1418" s="4">
        <v>46097</v>
      </c>
      <c r="N1418" s="1" t="s">
        <v>9264</v>
      </c>
    </row>
    <row r="1419" spans="1:14" s="1" customFormat="1" x14ac:dyDescent="0.35">
      <c r="A1419" s="1" t="s">
        <v>4492</v>
      </c>
      <c r="B1419" s="1" t="s">
        <v>1303</v>
      </c>
      <c r="C1419" s="1" t="s">
        <v>1329</v>
      </c>
      <c r="D1419" s="1" t="s">
        <v>9263</v>
      </c>
      <c r="E1419" s="1" t="str">
        <f>"8415"</f>
        <v>8415</v>
      </c>
      <c r="F1419" s="1" t="s">
        <v>1944</v>
      </c>
      <c r="G1419" s="1" t="s">
        <v>1945</v>
      </c>
      <c r="H1419" s="1" t="s">
        <v>15</v>
      </c>
      <c r="I1419" s="1" t="str">
        <f>"19"</f>
        <v>19</v>
      </c>
      <c r="J1419" s="3">
        <v>51.4</v>
      </c>
      <c r="K1419" s="4">
        <v>46051</v>
      </c>
      <c r="L1419" s="4">
        <v>46055</v>
      </c>
      <c r="M1419" s="1" t="s">
        <v>9262</v>
      </c>
      <c r="N1419" s="1" t="s">
        <v>9261</v>
      </c>
    </row>
    <row r="1420" spans="1:14" s="1" customFormat="1" x14ac:dyDescent="0.35">
      <c r="A1420" s="1" t="s">
        <v>4492</v>
      </c>
      <c r="B1420" s="1" t="s">
        <v>2368</v>
      </c>
      <c r="C1420" s="1" t="s">
        <v>2465</v>
      </c>
      <c r="D1420" s="1" t="s">
        <v>9260</v>
      </c>
      <c r="E1420" s="1" t="str">
        <f>"5180"</f>
        <v>5180</v>
      </c>
      <c r="F1420" s="1" t="str">
        <f>"002932873"</f>
        <v>002932873</v>
      </c>
      <c r="G1420" s="1" t="s">
        <v>266</v>
      </c>
      <c r="H1420" s="1" t="s">
        <v>168</v>
      </c>
      <c r="I1420" s="1" t="str">
        <f>"1"</f>
        <v>1</v>
      </c>
      <c r="J1420" s="3" t="str">
        <f>"1452"</f>
        <v>1452</v>
      </c>
      <c r="K1420" s="4">
        <v>46059</v>
      </c>
      <c r="L1420" s="4">
        <v>46059</v>
      </c>
      <c r="M1420" s="1" t="s">
        <v>4556</v>
      </c>
      <c r="N1420" s="1" t="s">
        <v>9259</v>
      </c>
    </row>
    <row r="1421" spans="1:14" s="1" customFormat="1" x14ac:dyDescent="0.35">
      <c r="A1421" s="1" t="s">
        <v>4492</v>
      </c>
      <c r="B1421" s="1" t="s">
        <v>2368</v>
      </c>
      <c r="C1421" s="1" t="s">
        <v>2465</v>
      </c>
      <c r="D1421" s="1" t="s">
        <v>9258</v>
      </c>
      <c r="E1421" s="1" t="str">
        <f>"7830"</f>
        <v>7830</v>
      </c>
      <c r="F1421" s="1" t="s">
        <v>2004</v>
      </c>
      <c r="G1421" s="1" t="s">
        <v>2005</v>
      </c>
      <c r="H1421" s="1" t="s">
        <v>15</v>
      </c>
      <c r="I1421" s="1" t="str">
        <f>"10"</f>
        <v>10</v>
      </c>
      <c r="J1421" s="3" t="str">
        <f>"72"</f>
        <v>72</v>
      </c>
      <c r="K1421" s="4">
        <v>46056</v>
      </c>
      <c r="L1421" s="4">
        <v>46067</v>
      </c>
      <c r="M1421" s="1" t="s">
        <v>9257</v>
      </c>
      <c r="N1421" s="1" t="s">
        <v>9256</v>
      </c>
    </row>
    <row r="1422" spans="1:14" s="1" customFormat="1" x14ac:dyDescent="0.35">
      <c r="A1422" s="1" t="s">
        <v>4492</v>
      </c>
      <c r="B1422" s="1" t="s">
        <v>2368</v>
      </c>
      <c r="C1422" s="1" t="s">
        <v>2465</v>
      </c>
      <c r="D1422" s="1" t="s">
        <v>9255</v>
      </c>
      <c r="E1422" s="1" t="str">
        <f>"5180"</f>
        <v>5180</v>
      </c>
      <c r="F1422" s="1" t="str">
        <f>"015595981"</f>
        <v>015595981</v>
      </c>
      <c r="G1422" s="1" t="s">
        <v>2584</v>
      </c>
      <c r="H1422" s="1" t="s">
        <v>168</v>
      </c>
      <c r="I1422" s="1" t="str">
        <f>"1"</f>
        <v>1</v>
      </c>
      <c r="J1422" s="3" t="str">
        <f>"1774"</f>
        <v>1774</v>
      </c>
      <c r="K1422" s="4">
        <v>46059</v>
      </c>
      <c r="L1422" s="4">
        <v>46059</v>
      </c>
      <c r="N1422" s="1" t="s">
        <v>9252</v>
      </c>
    </row>
    <row r="1423" spans="1:14" s="1" customFormat="1" x14ac:dyDescent="0.35">
      <c r="A1423" s="1" t="s">
        <v>4492</v>
      </c>
      <c r="B1423" s="1" t="s">
        <v>2368</v>
      </c>
      <c r="C1423" s="1" t="s">
        <v>2465</v>
      </c>
      <c r="D1423" s="1" t="s">
        <v>9254</v>
      </c>
      <c r="E1423" s="1" t="str">
        <f>"5180"</f>
        <v>5180</v>
      </c>
      <c r="F1423" s="1" t="str">
        <f>"015595981"</f>
        <v>015595981</v>
      </c>
      <c r="G1423" s="1" t="s">
        <v>2584</v>
      </c>
      <c r="H1423" s="1" t="s">
        <v>168</v>
      </c>
      <c r="I1423" s="1" t="str">
        <f>"1"</f>
        <v>1</v>
      </c>
      <c r="J1423" s="3" t="str">
        <f>"1774"</f>
        <v>1774</v>
      </c>
      <c r="K1423" s="4">
        <v>46059</v>
      </c>
      <c r="L1423" s="4">
        <v>46067</v>
      </c>
      <c r="M1423" s="1" t="s">
        <v>9253</v>
      </c>
      <c r="N1423" s="1" t="s">
        <v>9252</v>
      </c>
    </row>
    <row r="1424" spans="1:14" s="1" customFormat="1" x14ac:dyDescent="0.35">
      <c r="A1424" s="1" t="s">
        <v>4492</v>
      </c>
      <c r="B1424" s="1" t="s">
        <v>2368</v>
      </c>
      <c r="C1424" s="1" t="s">
        <v>2465</v>
      </c>
      <c r="D1424" s="1" t="s">
        <v>9251</v>
      </c>
      <c r="E1424" s="1" t="str">
        <f>"7110"</f>
        <v>7110</v>
      </c>
      <c r="F1424" s="1" t="s">
        <v>1331</v>
      </c>
      <c r="G1424" s="1" t="s">
        <v>1332</v>
      </c>
      <c r="H1424" s="1" t="s">
        <v>15</v>
      </c>
      <c r="I1424" s="1" t="str">
        <f>"6"</f>
        <v>6</v>
      </c>
      <c r="J1424" s="3" t="str">
        <f>"250"</f>
        <v>250</v>
      </c>
      <c r="K1424" s="4">
        <v>46079</v>
      </c>
      <c r="L1424" s="4">
        <v>46088</v>
      </c>
      <c r="M1424" s="1" t="s">
        <v>9250</v>
      </c>
      <c r="N1424" s="1" t="s">
        <v>9249</v>
      </c>
    </row>
    <row r="1425" spans="1:14" s="1" customFormat="1" x14ac:dyDescent="0.35">
      <c r="A1425" s="1" t="s">
        <v>4492</v>
      </c>
      <c r="B1425" s="1" t="s">
        <v>2368</v>
      </c>
      <c r="C1425" s="1" t="s">
        <v>2465</v>
      </c>
      <c r="D1425" s="1" t="s">
        <v>9248</v>
      </c>
      <c r="E1425" s="1" t="str">
        <f>"6115"</f>
        <v>6115</v>
      </c>
      <c r="F1425" s="1" t="str">
        <f>"012853012"</f>
        <v>012853012</v>
      </c>
      <c r="G1425" s="1" t="s">
        <v>383</v>
      </c>
      <c r="H1425" s="1" t="s">
        <v>15</v>
      </c>
      <c r="I1425" s="1" t="str">
        <f>"1"</f>
        <v>1</v>
      </c>
      <c r="J1425" s="3" t="str">
        <f>"44258"</f>
        <v>44258</v>
      </c>
      <c r="K1425" s="4">
        <v>46079</v>
      </c>
      <c r="L1425" s="4">
        <v>46088</v>
      </c>
      <c r="M1425" s="1" t="s">
        <v>9247</v>
      </c>
      <c r="N1425" s="1" t="s">
        <v>9246</v>
      </c>
    </row>
    <row r="1426" spans="1:14" s="1" customFormat="1" x14ac:dyDescent="0.35">
      <c r="A1426" s="1" t="s">
        <v>4492</v>
      </c>
      <c r="B1426" s="1" t="s">
        <v>2368</v>
      </c>
      <c r="C1426" s="1" t="s">
        <v>2465</v>
      </c>
      <c r="D1426" s="1" t="s">
        <v>9245</v>
      </c>
      <c r="E1426" s="1" t="str">
        <f>"6115"</f>
        <v>6115</v>
      </c>
      <c r="F1426" s="1" t="s">
        <v>157</v>
      </c>
      <c r="G1426" s="1" t="s">
        <v>158</v>
      </c>
      <c r="H1426" s="1" t="s">
        <v>15</v>
      </c>
      <c r="I1426" s="1" t="str">
        <f>"1"</f>
        <v>1</v>
      </c>
      <c r="J1426" s="3">
        <v>2292.92</v>
      </c>
      <c r="K1426" s="4">
        <v>46079</v>
      </c>
      <c r="L1426" s="4">
        <v>46087</v>
      </c>
      <c r="M1426" s="1" t="s">
        <v>9244</v>
      </c>
      <c r="N1426" s="1" t="s">
        <v>9243</v>
      </c>
    </row>
    <row r="1427" spans="1:14" s="1" customFormat="1" x14ac:dyDescent="0.35">
      <c r="A1427" s="1" t="s">
        <v>4492</v>
      </c>
      <c r="B1427" s="1" t="s">
        <v>2368</v>
      </c>
      <c r="C1427" s="1" t="s">
        <v>2465</v>
      </c>
      <c r="D1427" s="1" t="s">
        <v>9242</v>
      </c>
      <c r="E1427" s="1" t="str">
        <f>"2320"</f>
        <v>2320</v>
      </c>
      <c r="F1427" s="1" t="str">
        <f>"010907831"</f>
        <v>010907831</v>
      </c>
      <c r="G1427" s="1" t="s">
        <v>2570</v>
      </c>
      <c r="H1427" s="1" t="s">
        <v>15</v>
      </c>
      <c r="I1427" s="1" t="str">
        <f>"1"</f>
        <v>1</v>
      </c>
      <c r="J1427" s="3" t="str">
        <f>"15000"</f>
        <v>15000</v>
      </c>
      <c r="K1427" s="4">
        <v>46083</v>
      </c>
      <c r="L1427" s="4">
        <v>46095</v>
      </c>
      <c r="M1427" s="1" t="s">
        <v>9241</v>
      </c>
      <c r="N1427" s="1" t="s">
        <v>9240</v>
      </c>
    </row>
    <row r="1428" spans="1:14" s="1" customFormat="1" x14ac:dyDescent="0.35">
      <c r="A1428" s="1" t="s">
        <v>4492</v>
      </c>
      <c r="B1428" s="1" t="s">
        <v>2368</v>
      </c>
      <c r="C1428" s="1" t="s">
        <v>2465</v>
      </c>
      <c r="D1428" s="1" t="s">
        <v>9239</v>
      </c>
      <c r="E1428" s="1" t="str">
        <f>"5895"</f>
        <v>5895</v>
      </c>
      <c r="F1428" s="1" t="str">
        <f>"015984531"</f>
        <v>015984531</v>
      </c>
      <c r="G1428" s="1" t="s">
        <v>1373</v>
      </c>
      <c r="H1428" s="1" t="s">
        <v>168</v>
      </c>
      <c r="I1428" s="1" t="str">
        <f>"22"</f>
        <v>22</v>
      </c>
      <c r="J1428" s="3">
        <v>763.74</v>
      </c>
      <c r="K1428" s="4">
        <v>46085</v>
      </c>
      <c r="L1428" s="4">
        <v>46087</v>
      </c>
      <c r="M1428" s="1" t="s">
        <v>9238</v>
      </c>
      <c r="N1428" s="1" t="s">
        <v>9237</v>
      </c>
    </row>
    <row r="1429" spans="1:14" s="1" customFormat="1" x14ac:dyDescent="0.35">
      <c r="A1429" s="1" t="s">
        <v>4492</v>
      </c>
      <c r="B1429" s="1" t="s">
        <v>2368</v>
      </c>
      <c r="C1429" s="1" t="s">
        <v>2465</v>
      </c>
      <c r="D1429" s="1" t="s">
        <v>9236</v>
      </c>
      <c r="E1429" s="1" t="str">
        <f>"1005"</f>
        <v>1005</v>
      </c>
      <c r="F1429" s="1" t="str">
        <f>"016316485"</f>
        <v>016316485</v>
      </c>
      <c r="G1429" s="1" t="s">
        <v>2502</v>
      </c>
      <c r="H1429" s="1" t="s">
        <v>15</v>
      </c>
      <c r="I1429" s="1" t="str">
        <f>"10"</f>
        <v>10</v>
      </c>
      <c r="J1429" s="3">
        <v>1140.4100000000001</v>
      </c>
      <c r="K1429" s="4">
        <v>46085</v>
      </c>
      <c r="L1429" s="4">
        <v>46095</v>
      </c>
      <c r="M1429" s="1" t="s">
        <v>9235</v>
      </c>
      <c r="N1429" s="1" t="s">
        <v>9234</v>
      </c>
    </row>
    <row r="1430" spans="1:14" s="1" customFormat="1" x14ac:dyDescent="0.35">
      <c r="A1430" s="1" t="s">
        <v>4492</v>
      </c>
      <c r="B1430" s="1" t="s">
        <v>3356</v>
      </c>
      <c r="C1430" s="1" t="s">
        <v>3392</v>
      </c>
      <c r="D1430" s="1" t="s">
        <v>9233</v>
      </c>
      <c r="E1430" s="1" t="str">
        <f>"2320"</f>
        <v>2320</v>
      </c>
      <c r="F1430" s="1" t="str">
        <f>"013455182"</f>
        <v>013455182</v>
      </c>
      <c r="G1430" s="1" t="s">
        <v>394</v>
      </c>
      <c r="H1430" s="1" t="s">
        <v>15</v>
      </c>
      <c r="I1430" s="1" t="str">
        <f>"1"</f>
        <v>1</v>
      </c>
      <c r="J1430" s="3">
        <v>49520.89</v>
      </c>
      <c r="K1430" s="4">
        <v>45913</v>
      </c>
      <c r="L1430" s="4">
        <v>46026</v>
      </c>
      <c r="M1430" s="1" t="s">
        <v>9232</v>
      </c>
      <c r="N1430" s="1" t="s">
        <v>9231</v>
      </c>
    </row>
    <row r="1431" spans="1:14" s="1" customFormat="1" x14ac:dyDescent="0.35">
      <c r="A1431" s="1" t="s">
        <v>4492</v>
      </c>
      <c r="B1431" s="1" t="s">
        <v>3356</v>
      </c>
      <c r="C1431" s="1" t="s">
        <v>3392</v>
      </c>
      <c r="D1431" s="1" t="s">
        <v>9230</v>
      </c>
      <c r="E1431" s="1" t="str">
        <f>"8150"</f>
        <v>8150</v>
      </c>
      <c r="F1431" s="1" t="str">
        <f>"014839125"</f>
        <v>014839125</v>
      </c>
      <c r="G1431" s="1" t="s">
        <v>387</v>
      </c>
      <c r="H1431" s="1" t="s">
        <v>15</v>
      </c>
      <c r="I1431" s="1" t="str">
        <f>"1"</f>
        <v>1</v>
      </c>
      <c r="J1431" s="3">
        <v>7265.03</v>
      </c>
      <c r="K1431" s="4">
        <v>46071</v>
      </c>
      <c r="L1431" s="4">
        <v>46072</v>
      </c>
      <c r="M1431" s="1" t="s">
        <v>4524</v>
      </c>
      <c r="N1431" s="1" t="s">
        <v>9229</v>
      </c>
    </row>
    <row r="1432" spans="1:14" s="1" customFormat="1" x14ac:dyDescent="0.35">
      <c r="A1432" s="1" t="s">
        <v>4492</v>
      </c>
      <c r="B1432" s="1" t="s">
        <v>3356</v>
      </c>
      <c r="C1432" s="1" t="s">
        <v>3392</v>
      </c>
      <c r="D1432" s="1" t="s">
        <v>9228</v>
      </c>
      <c r="E1432" s="1" t="str">
        <f>"2320"</f>
        <v>2320</v>
      </c>
      <c r="F1432" s="1" t="str">
        <f>"012011799"</f>
        <v>012011799</v>
      </c>
      <c r="G1432" s="1" t="s">
        <v>4508</v>
      </c>
      <c r="H1432" s="1" t="s">
        <v>15</v>
      </c>
      <c r="I1432" s="1" t="str">
        <f>"1"</f>
        <v>1</v>
      </c>
      <c r="J1432" s="3" t="str">
        <f>"56291"</f>
        <v>56291</v>
      </c>
      <c r="K1432" s="4">
        <v>46074</v>
      </c>
      <c r="L1432" s="4">
        <v>46105</v>
      </c>
      <c r="M1432" s="1" t="s">
        <v>9227</v>
      </c>
      <c r="N1432" s="1" t="s">
        <v>9226</v>
      </c>
    </row>
    <row r="1433" spans="1:14" s="1" customFormat="1" x14ac:dyDescent="0.35">
      <c r="A1433" s="1" t="s">
        <v>4492</v>
      </c>
      <c r="B1433" s="1" t="s">
        <v>1013</v>
      </c>
      <c r="C1433" s="1" t="s">
        <v>9225</v>
      </c>
      <c r="D1433" s="1" t="s">
        <v>9224</v>
      </c>
      <c r="E1433" s="1" t="str">
        <f>"5855"</f>
        <v>5855</v>
      </c>
      <c r="F1433" s="1" t="str">
        <f>"015847217"</f>
        <v>015847217</v>
      </c>
      <c r="G1433" s="1" t="s">
        <v>614</v>
      </c>
      <c r="H1433" s="1" t="s">
        <v>15</v>
      </c>
      <c r="I1433" s="1" t="str">
        <f>"1"</f>
        <v>1</v>
      </c>
      <c r="J1433" s="3" t="str">
        <f>"34084"</f>
        <v>34084</v>
      </c>
      <c r="K1433" s="4">
        <v>46108</v>
      </c>
      <c r="L1433" s="4">
        <v>46110</v>
      </c>
      <c r="M1433" s="1" t="s">
        <v>4524</v>
      </c>
      <c r="N1433" s="1" t="s">
        <v>9223</v>
      </c>
    </row>
    <row r="1434" spans="1:14" s="1" customFormat="1" x14ac:dyDescent="0.35">
      <c r="A1434" s="1" t="s">
        <v>4492</v>
      </c>
      <c r="B1434" s="1" t="s">
        <v>9220</v>
      </c>
      <c r="C1434" s="1" t="s">
        <v>9219</v>
      </c>
      <c r="D1434" s="1" t="s">
        <v>9222</v>
      </c>
      <c r="E1434" s="1" t="str">
        <f>"1240"</f>
        <v>1240</v>
      </c>
      <c r="F1434" s="1" t="str">
        <f>"014111265"</f>
        <v>014111265</v>
      </c>
      <c r="G1434" s="1" t="s">
        <v>71</v>
      </c>
      <c r="H1434" s="1" t="s">
        <v>15</v>
      </c>
      <c r="I1434" s="1" t="str">
        <f>"1"</f>
        <v>1</v>
      </c>
      <c r="J1434" s="3" t="str">
        <f>"342"</f>
        <v>342</v>
      </c>
      <c r="K1434" s="4">
        <v>46008</v>
      </c>
      <c r="L1434" s="4">
        <v>46028</v>
      </c>
      <c r="M1434" s="1" t="s">
        <v>4524</v>
      </c>
      <c r="N1434" s="1" t="s">
        <v>9217</v>
      </c>
    </row>
    <row r="1435" spans="1:14" s="1" customFormat="1" x14ac:dyDescent="0.35">
      <c r="A1435" s="1" t="s">
        <v>4492</v>
      </c>
      <c r="B1435" s="1" t="s">
        <v>9220</v>
      </c>
      <c r="C1435" s="1" t="s">
        <v>9219</v>
      </c>
      <c r="D1435" s="1" t="s">
        <v>9221</v>
      </c>
      <c r="E1435" s="1" t="str">
        <f>"1240"</f>
        <v>1240</v>
      </c>
      <c r="F1435" s="1" t="str">
        <f>"014111265"</f>
        <v>014111265</v>
      </c>
      <c r="G1435" s="1" t="s">
        <v>71</v>
      </c>
      <c r="H1435" s="1" t="s">
        <v>15</v>
      </c>
      <c r="I1435" s="1" t="str">
        <f>"1"</f>
        <v>1</v>
      </c>
      <c r="J1435" s="3" t="str">
        <f>"342"</f>
        <v>342</v>
      </c>
      <c r="K1435" s="4">
        <v>46008</v>
      </c>
      <c r="L1435" s="4">
        <v>46029</v>
      </c>
      <c r="M1435" s="1" t="s">
        <v>4524</v>
      </c>
      <c r="N1435" s="1" t="s">
        <v>9217</v>
      </c>
    </row>
    <row r="1436" spans="1:14" s="1" customFormat="1" x14ac:dyDescent="0.35">
      <c r="A1436" s="1" t="s">
        <v>4492</v>
      </c>
      <c r="B1436" s="1" t="s">
        <v>9220</v>
      </c>
      <c r="C1436" s="1" t="s">
        <v>9219</v>
      </c>
      <c r="D1436" s="1" t="s">
        <v>9218</v>
      </c>
      <c r="E1436" s="1" t="str">
        <f>"1240"</f>
        <v>1240</v>
      </c>
      <c r="F1436" s="1" t="str">
        <f>"014111265"</f>
        <v>014111265</v>
      </c>
      <c r="G1436" s="1" t="s">
        <v>71</v>
      </c>
      <c r="H1436" s="1" t="s">
        <v>15</v>
      </c>
      <c r="I1436" s="1" t="str">
        <f>"2"</f>
        <v>2</v>
      </c>
      <c r="J1436" s="3" t="str">
        <f>"339"</f>
        <v>339</v>
      </c>
      <c r="K1436" s="4">
        <v>46008</v>
      </c>
      <c r="L1436" s="4">
        <v>46029</v>
      </c>
      <c r="M1436" s="1" t="s">
        <v>4524</v>
      </c>
      <c r="N1436" s="1" t="s">
        <v>9217</v>
      </c>
    </row>
    <row r="1437" spans="1:14" s="1" customFormat="1" x14ac:dyDescent="0.35">
      <c r="A1437" s="1" t="s">
        <v>4492</v>
      </c>
      <c r="B1437" s="1" t="s">
        <v>1303</v>
      </c>
      <c r="C1437" s="1" t="s">
        <v>1335</v>
      </c>
      <c r="D1437" s="1" t="s">
        <v>9216</v>
      </c>
      <c r="E1437" s="1" t="str">
        <f>"4240"</f>
        <v>4240</v>
      </c>
      <c r="F1437" s="1" t="str">
        <f>"016308327"</f>
        <v>016308327</v>
      </c>
      <c r="G1437" s="1" t="s">
        <v>1404</v>
      </c>
      <c r="H1437" s="1" t="s">
        <v>15</v>
      </c>
      <c r="I1437" s="1" t="str">
        <f>"100"</f>
        <v>100</v>
      </c>
      <c r="J1437" s="3">
        <v>48.01</v>
      </c>
      <c r="K1437" s="4">
        <v>46084</v>
      </c>
      <c r="L1437" s="4">
        <v>46087</v>
      </c>
      <c r="M1437" s="1" t="s">
        <v>9215</v>
      </c>
      <c r="N1437" s="1" t="s">
        <v>9214</v>
      </c>
    </row>
    <row r="1438" spans="1:14" s="1" customFormat="1" x14ac:dyDescent="0.35">
      <c r="A1438" s="1" t="s">
        <v>4492</v>
      </c>
      <c r="B1438" s="1" t="s">
        <v>3822</v>
      </c>
      <c r="C1438" s="1" t="s">
        <v>4076</v>
      </c>
      <c r="D1438" s="1" t="s">
        <v>9213</v>
      </c>
      <c r="E1438" s="1" t="str">
        <f>"2805"</f>
        <v>2805</v>
      </c>
      <c r="F1438" s="1" t="str">
        <f>"016279670"</f>
        <v>016279670</v>
      </c>
      <c r="G1438" s="1" t="s">
        <v>4158</v>
      </c>
      <c r="H1438" s="1" t="s">
        <v>15</v>
      </c>
      <c r="I1438" s="1" t="str">
        <f>"1"</f>
        <v>1</v>
      </c>
      <c r="J1438" s="3" t="str">
        <f>"14944"</f>
        <v>14944</v>
      </c>
      <c r="K1438" s="4">
        <v>46046</v>
      </c>
      <c r="L1438" s="4">
        <v>46060</v>
      </c>
      <c r="M1438" s="1" t="s">
        <v>9212</v>
      </c>
      <c r="N1438" s="1" t="s">
        <v>9205</v>
      </c>
    </row>
    <row r="1439" spans="1:14" s="1" customFormat="1" x14ac:dyDescent="0.35">
      <c r="A1439" s="1" t="s">
        <v>4492</v>
      </c>
      <c r="B1439" s="1" t="s">
        <v>3822</v>
      </c>
      <c r="C1439" s="1" t="s">
        <v>4076</v>
      </c>
      <c r="D1439" s="1" t="s">
        <v>9211</v>
      </c>
      <c r="E1439" s="1" t="str">
        <f>"2805"</f>
        <v>2805</v>
      </c>
      <c r="F1439" s="1" t="str">
        <f>"016279670"</f>
        <v>016279670</v>
      </c>
      <c r="G1439" s="1" t="s">
        <v>4158</v>
      </c>
      <c r="H1439" s="1" t="s">
        <v>15</v>
      </c>
      <c r="I1439" s="1" t="str">
        <f>"1"</f>
        <v>1</v>
      </c>
      <c r="J1439" s="3" t="str">
        <f>"14944"</f>
        <v>14944</v>
      </c>
      <c r="K1439" s="4">
        <v>46046</v>
      </c>
      <c r="L1439" s="4">
        <v>46060</v>
      </c>
      <c r="M1439" s="1" t="s">
        <v>9210</v>
      </c>
      <c r="N1439" s="1" t="s">
        <v>9205</v>
      </c>
    </row>
    <row r="1440" spans="1:14" s="1" customFormat="1" x14ac:dyDescent="0.35">
      <c r="A1440" s="1" t="s">
        <v>4492</v>
      </c>
      <c r="B1440" s="1" t="s">
        <v>3822</v>
      </c>
      <c r="C1440" s="1" t="s">
        <v>4076</v>
      </c>
      <c r="D1440" s="1" t="s">
        <v>9209</v>
      </c>
      <c r="E1440" s="1" t="str">
        <f>"2805"</f>
        <v>2805</v>
      </c>
      <c r="F1440" s="1" t="str">
        <f>"016279670"</f>
        <v>016279670</v>
      </c>
      <c r="G1440" s="1" t="s">
        <v>4158</v>
      </c>
      <c r="H1440" s="1" t="s">
        <v>15</v>
      </c>
      <c r="I1440" s="1" t="str">
        <f>"1"</f>
        <v>1</v>
      </c>
      <c r="J1440" s="3" t="str">
        <f>"14944"</f>
        <v>14944</v>
      </c>
      <c r="K1440" s="4">
        <v>46046</v>
      </c>
      <c r="L1440" s="4">
        <v>46060</v>
      </c>
      <c r="M1440" s="1" t="s">
        <v>9208</v>
      </c>
      <c r="N1440" s="1" t="s">
        <v>9205</v>
      </c>
    </row>
    <row r="1441" spans="1:14" s="1" customFormat="1" x14ac:dyDescent="0.35">
      <c r="A1441" s="1" t="s">
        <v>4492</v>
      </c>
      <c r="B1441" s="1" t="s">
        <v>3822</v>
      </c>
      <c r="C1441" s="1" t="s">
        <v>4076</v>
      </c>
      <c r="D1441" s="1" t="s">
        <v>9207</v>
      </c>
      <c r="E1441" s="1" t="str">
        <f>"2805"</f>
        <v>2805</v>
      </c>
      <c r="F1441" s="1" t="str">
        <f>"016279670"</f>
        <v>016279670</v>
      </c>
      <c r="G1441" s="1" t="s">
        <v>4158</v>
      </c>
      <c r="H1441" s="1" t="s">
        <v>15</v>
      </c>
      <c r="I1441" s="1" t="str">
        <f>"1"</f>
        <v>1</v>
      </c>
      <c r="J1441" s="3" t="str">
        <f>"14944"</f>
        <v>14944</v>
      </c>
      <c r="K1441" s="4">
        <v>46046</v>
      </c>
      <c r="L1441" s="4">
        <v>46060</v>
      </c>
      <c r="M1441" s="1" t="s">
        <v>9206</v>
      </c>
      <c r="N1441" s="1" t="s">
        <v>9205</v>
      </c>
    </row>
    <row r="1442" spans="1:14" s="1" customFormat="1" x14ac:dyDescent="0.35">
      <c r="A1442" s="1" t="s">
        <v>4492</v>
      </c>
      <c r="B1442" s="1" t="s">
        <v>3822</v>
      </c>
      <c r="C1442" s="1" t="s">
        <v>4076</v>
      </c>
      <c r="D1442" s="1" t="s">
        <v>9204</v>
      </c>
      <c r="E1442" s="1" t="str">
        <f>"2805"</f>
        <v>2805</v>
      </c>
      <c r="F1442" s="1" t="str">
        <f>"016279171"</f>
        <v>016279171</v>
      </c>
      <c r="G1442" s="1" t="s">
        <v>1158</v>
      </c>
      <c r="H1442" s="1" t="s">
        <v>15</v>
      </c>
      <c r="I1442" s="1" t="str">
        <f>"1"</f>
        <v>1</v>
      </c>
      <c r="J1442" s="3">
        <v>10256.290000000001</v>
      </c>
      <c r="K1442" s="4">
        <v>46050</v>
      </c>
      <c r="L1442" s="4">
        <v>46060</v>
      </c>
      <c r="M1442" s="1" t="s">
        <v>9203</v>
      </c>
      <c r="N1442" s="1" t="s">
        <v>4078</v>
      </c>
    </row>
    <row r="1443" spans="1:14" s="1" customFormat="1" x14ac:dyDescent="0.35">
      <c r="A1443" s="1" t="s">
        <v>4492</v>
      </c>
      <c r="B1443" s="1" t="s">
        <v>3822</v>
      </c>
      <c r="C1443" s="1" t="s">
        <v>4076</v>
      </c>
      <c r="D1443" s="1" t="s">
        <v>9202</v>
      </c>
      <c r="E1443" s="1" t="str">
        <f>"2310"</f>
        <v>2310</v>
      </c>
      <c r="F1443" s="1" t="str">
        <f>"016544105"</f>
        <v>016544105</v>
      </c>
      <c r="G1443" s="1" t="s">
        <v>232</v>
      </c>
      <c r="H1443" s="1" t="s">
        <v>15</v>
      </c>
      <c r="I1443" s="1" t="str">
        <f>"1"</f>
        <v>1</v>
      </c>
      <c r="J1443" s="3">
        <v>31905.14</v>
      </c>
      <c r="K1443" s="4">
        <v>46083</v>
      </c>
      <c r="L1443" s="4">
        <v>46087</v>
      </c>
      <c r="M1443" s="1" t="s">
        <v>9201</v>
      </c>
      <c r="N1443" s="1" t="s">
        <v>9198</v>
      </c>
    </row>
    <row r="1444" spans="1:14" s="1" customFormat="1" x14ac:dyDescent="0.35">
      <c r="A1444" s="1" t="s">
        <v>4492</v>
      </c>
      <c r="B1444" s="1" t="s">
        <v>3822</v>
      </c>
      <c r="C1444" s="1" t="s">
        <v>4076</v>
      </c>
      <c r="D1444" s="1" t="s">
        <v>9200</v>
      </c>
      <c r="E1444" s="1" t="str">
        <f>"2310"</f>
        <v>2310</v>
      </c>
      <c r="F1444" s="1" t="str">
        <f>"016544105"</f>
        <v>016544105</v>
      </c>
      <c r="G1444" s="1" t="s">
        <v>232</v>
      </c>
      <c r="H1444" s="1" t="s">
        <v>15</v>
      </c>
      <c r="I1444" s="1" t="str">
        <f>"1"</f>
        <v>1</v>
      </c>
      <c r="J1444" s="3">
        <v>31905.14</v>
      </c>
      <c r="K1444" s="4">
        <v>46083</v>
      </c>
      <c r="L1444" s="4">
        <v>46087</v>
      </c>
      <c r="M1444" s="1" t="s">
        <v>9199</v>
      </c>
      <c r="N1444" s="1" t="s">
        <v>9198</v>
      </c>
    </row>
    <row r="1445" spans="1:14" s="1" customFormat="1" x14ac:dyDescent="0.35">
      <c r="A1445" s="1" t="s">
        <v>4492</v>
      </c>
      <c r="B1445" s="1" t="s">
        <v>3822</v>
      </c>
      <c r="C1445" s="1" t="s">
        <v>4076</v>
      </c>
      <c r="D1445" s="1" t="s">
        <v>9197</v>
      </c>
      <c r="E1445" s="1" t="str">
        <f>"5180"</f>
        <v>5180</v>
      </c>
      <c r="F1445" s="1" t="str">
        <f>"015487634"</f>
        <v>015487634</v>
      </c>
      <c r="G1445" s="1" t="s">
        <v>1831</v>
      </c>
      <c r="H1445" s="1" t="s">
        <v>257</v>
      </c>
      <c r="I1445" s="1" t="str">
        <f>"3"</f>
        <v>3</v>
      </c>
      <c r="J1445" s="3" t="str">
        <f>"2048"</f>
        <v>2048</v>
      </c>
      <c r="K1445" s="4">
        <v>46104</v>
      </c>
      <c r="L1445" s="4">
        <v>46108</v>
      </c>
      <c r="M1445" s="1" t="s">
        <v>9196</v>
      </c>
      <c r="N1445" s="1" t="s">
        <v>9195</v>
      </c>
    </row>
    <row r="1446" spans="1:14" s="1" customFormat="1" x14ac:dyDescent="0.35">
      <c r="A1446" s="1" t="s">
        <v>4492</v>
      </c>
      <c r="B1446" s="1" t="s">
        <v>2196</v>
      </c>
      <c r="C1446" s="1" t="s">
        <v>9192</v>
      </c>
      <c r="D1446" s="1" t="s">
        <v>9194</v>
      </c>
      <c r="E1446" s="1" t="str">
        <f>"5855"</f>
        <v>5855</v>
      </c>
      <c r="F1446" s="1" t="str">
        <f>"015330555"</f>
        <v>015330555</v>
      </c>
      <c r="G1446" s="1" t="s">
        <v>476</v>
      </c>
      <c r="H1446" s="1" t="s">
        <v>15</v>
      </c>
      <c r="I1446" s="1" t="str">
        <f>"9"</f>
        <v>9</v>
      </c>
      <c r="J1446" s="3" t="str">
        <f>"1800"</f>
        <v>1800</v>
      </c>
      <c r="K1446" s="4">
        <v>46034</v>
      </c>
      <c r="L1446" s="4">
        <v>46038</v>
      </c>
      <c r="M1446" s="1" t="s">
        <v>9193</v>
      </c>
      <c r="N1446" s="1" t="s">
        <v>9190</v>
      </c>
    </row>
    <row r="1447" spans="1:14" s="1" customFormat="1" x14ac:dyDescent="0.35">
      <c r="A1447" s="1" t="s">
        <v>4492</v>
      </c>
      <c r="B1447" s="1" t="s">
        <v>2196</v>
      </c>
      <c r="C1447" s="1" t="s">
        <v>9192</v>
      </c>
      <c r="D1447" s="1" t="s">
        <v>9191</v>
      </c>
      <c r="E1447" s="1" t="str">
        <f>"5855"</f>
        <v>5855</v>
      </c>
      <c r="F1447" s="1" t="str">
        <f>"014200817"</f>
        <v>014200817</v>
      </c>
      <c r="G1447" s="1" t="s">
        <v>952</v>
      </c>
      <c r="H1447" s="1" t="s">
        <v>15</v>
      </c>
      <c r="I1447" s="1" t="str">
        <f>"7"</f>
        <v>7</v>
      </c>
      <c r="J1447" s="3">
        <v>1675.66</v>
      </c>
      <c r="K1447" s="4">
        <v>46034</v>
      </c>
      <c r="L1447" s="4">
        <v>46036</v>
      </c>
      <c r="M1447" s="1" t="s">
        <v>4556</v>
      </c>
      <c r="N1447" s="1" t="s">
        <v>9190</v>
      </c>
    </row>
    <row r="1448" spans="1:14" s="1" customFormat="1" x14ac:dyDescent="0.35">
      <c r="A1448" s="1" t="s">
        <v>4492</v>
      </c>
      <c r="B1448" s="1" t="s">
        <v>692</v>
      </c>
      <c r="C1448" s="1" t="s">
        <v>790</v>
      </c>
      <c r="D1448" s="1" t="s">
        <v>9189</v>
      </c>
      <c r="E1448" s="1" t="str">
        <f>"7010"</f>
        <v>7010</v>
      </c>
      <c r="F1448" s="1" t="s">
        <v>1203</v>
      </c>
      <c r="G1448" s="1" t="s">
        <v>1204</v>
      </c>
      <c r="H1448" s="1" t="s">
        <v>15</v>
      </c>
      <c r="I1448" s="1" t="str">
        <f>"3"</f>
        <v>3</v>
      </c>
      <c r="J1448" s="3" t="str">
        <f>"1384"</f>
        <v>1384</v>
      </c>
      <c r="K1448" s="4">
        <v>46034</v>
      </c>
      <c r="L1448" s="4">
        <v>46036</v>
      </c>
      <c r="M1448" s="1" t="s">
        <v>4524</v>
      </c>
      <c r="N1448" s="1" t="s">
        <v>9188</v>
      </c>
    </row>
    <row r="1449" spans="1:14" s="1" customFormat="1" x14ac:dyDescent="0.35">
      <c r="A1449" s="1" t="s">
        <v>4492</v>
      </c>
      <c r="B1449" s="1" t="s">
        <v>692</v>
      </c>
      <c r="C1449" s="1" t="s">
        <v>790</v>
      </c>
      <c r="D1449" s="1" t="s">
        <v>9187</v>
      </c>
      <c r="E1449" s="1" t="str">
        <f>"5965"</f>
        <v>5965</v>
      </c>
      <c r="F1449" s="1" t="s">
        <v>7497</v>
      </c>
      <c r="G1449" s="1" t="s">
        <v>7496</v>
      </c>
      <c r="H1449" s="1" t="s">
        <v>15</v>
      </c>
      <c r="I1449" s="1" t="str">
        <f>"10"</f>
        <v>10</v>
      </c>
      <c r="J1449" s="3">
        <v>733.58</v>
      </c>
      <c r="K1449" s="4">
        <v>46042</v>
      </c>
      <c r="L1449" s="4">
        <v>46043</v>
      </c>
      <c r="M1449" s="1" t="s">
        <v>4524</v>
      </c>
      <c r="N1449" s="1" t="s">
        <v>9186</v>
      </c>
    </row>
    <row r="1450" spans="1:14" s="1" customFormat="1" x14ac:dyDescent="0.35">
      <c r="A1450" s="1" t="s">
        <v>4492</v>
      </c>
      <c r="B1450" s="1" t="s">
        <v>4456</v>
      </c>
      <c r="C1450" s="1" t="s">
        <v>9185</v>
      </c>
      <c r="D1450" s="1" t="s">
        <v>9184</v>
      </c>
      <c r="E1450" s="1" t="str">
        <f>"5855"</f>
        <v>5855</v>
      </c>
      <c r="F1450" s="1" t="str">
        <f>"015345931"</f>
        <v>015345931</v>
      </c>
      <c r="G1450" s="1" t="s">
        <v>742</v>
      </c>
      <c r="H1450" s="1" t="s">
        <v>15</v>
      </c>
      <c r="I1450" s="1" t="str">
        <f>"18"</f>
        <v>18</v>
      </c>
      <c r="J1450" s="3" t="str">
        <f>"970"</f>
        <v>970</v>
      </c>
      <c r="K1450" s="4">
        <v>46083</v>
      </c>
      <c r="L1450" s="4">
        <v>46087</v>
      </c>
      <c r="M1450" s="1" t="s">
        <v>9183</v>
      </c>
      <c r="N1450" s="1" t="s">
        <v>9182</v>
      </c>
    </row>
    <row r="1451" spans="1:14" s="1" customFormat="1" x14ac:dyDescent="0.35">
      <c r="A1451" s="1" t="s">
        <v>4492</v>
      </c>
      <c r="B1451" s="1" t="s">
        <v>3356</v>
      </c>
      <c r="C1451" s="1" t="s">
        <v>3400</v>
      </c>
      <c r="D1451" s="1" t="s">
        <v>9181</v>
      </c>
      <c r="E1451" s="1" t="str">
        <f>"3805"</f>
        <v>3805</v>
      </c>
      <c r="F1451" s="1" t="s">
        <v>1020</v>
      </c>
      <c r="G1451" s="1" t="s">
        <v>1021</v>
      </c>
      <c r="H1451" s="1" t="s">
        <v>15</v>
      </c>
      <c r="I1451" s="1" t="str">
        <f>"1"</f>
        <v>1</v>
      </c>
      <c r="J1451" s="3" t="str">
        <f>"96950"</f>
        <v>96950</v>
      </c>
      <c r="K1451" s="4">
        <v>46025</v>
      </c>
      <c r="L1451" s="4">
        <v>46027</v>
      </c>
      <c r="M1451" s="1" t="s">
        <v>9180</v>
      </c>
      <c r="N1451" s="1" t="s">
        <v>9179</v>
      </c>
    </row>
    <row r="1452" spans="1:14" s="1" customFormat="1" x14ac:dyDescent="0.35">
      <c r="A1452" s="1" t="s">
        <v>4492</v>
      </c>
      <c r="B1452" s="1" t="s">
        <v>3356</v>
      </c>
      <c r="C1452" s="1" t="s">
        <v>3400</v>
      </c>
      <c r="D1452" s="1" t="s">
        <v>9178</v>
      </c>
      <c r="E1452" s="1" t="str">
        <f>"4020"</f>
        <v>4020</v>
      </c>
      <c r="F1452" s="1" t="str">
        <f>"002336560"</f>
        <v>002336560</v>
      </c>
      <c r="G1452" s="1" t="s">
        <v>9177</v>
      </c>
      <c r="H1452" s="1" t="s">
        <v>963</v>
      </c>
      <c r="I1452" s="1" t="str">
        <f>"1"</f>
        <v>1</v>
      </c>
      <c r="J1452" s="3">
        <v>199.27</v>
      </c>
      <c r="K1452" s="4">
        <v>46040</v>
      </c>
      <c r="L1452" s="4">
        <v>46044</v>
      </c>
      <c r="M1452" s="1" t="s">
        <v>9176</v>
      </c>
      <c r="N1452" s="1" t="s">
        <v>9175</v>
      </c>
    </row>
    <row r="1453" spans="1:14" s="1" customFormat="1" x14ac:dyDescent="0.35">
      <c r="A1453" s="1" t="s">
        <v>4492</v>
      </c>
      <c r="B1453" s="1" t="s">
        <v>3356</v>
      </c>
      <c r="C1453" s="1" t="s">
        <v>3400</v>
      </c>
      <c r="D1453" s="1" t="s">
        <v>9174</v>
      </c>
      <c r="E1453" s="1" t="str">
        <f>"4010"</f>
        <v>4010</v>
      </c>
      <c r="F1453" s="1" t="str">
        <f>"011850406"</f>
        <v>011850406</v>
      </c>
      <c r="G1453" s="1" t="s">
        <v>9173</v>
      </c>
      <c r="H1453" s="1" t="s">
        <v>15</v>
      </c>
      <c r="I1453" s="1" t="str">
        <f>"6"</f>
        <v>6</v>
      </c>
      <c r="J1453" s="3">
        <v>247.75</v>
      </c>
      <c r="K1453" s="4">
        <v>46040</v>
      </c>
      <c r="L1453" s="4">
        <v>46044</v>
      </c>
      <c r="M1453" s="1" t="s">
        <v>9172</v>
      </c>
      <c r="N1453" s="1" t="s">
        <v>9171</v>
      </c>
    </row>
    <row r="1454" spans="1:14" s="1" customFormat="1" x14ac:dyDescent="0.35">
      <c r="A1454" s="1" t="s">
        <v>4492</v>
      </c>
      <c r="B1454" s="1" t="s">
        <v>3356</v>
      </c>
      <c r="C1454" s="1" t="s">
        <v>3400</v>
      </c>
      <c r="D1454" s="1" t="s">
        <v>9170</v>
      </c>
      <c r="E1454" s="1" t="str">
        <f>"3510"</f>
        <v>3510</v>
      </c>
      <c r="F1454" s="1" t="str">
        <f>"016212316"</f>
        <v>016212316</v>
      </c>
      <c r="G1454" s="1" t="s">
        <v>5947</v>
      </c>
      <c r="H1454" s="1" t="s">
        <v>15</v>
      </c>
      <c r="I1454" s="1" t="str">
        <f>"3"</f>
        <v>3</v>
      </c>
      <c r="J1454" s="3">
        <v>2976.03</v>
      </c>
      <c r="K1454" s="4">
        <v>46056</v>
      </c>
      <c r="L1454" s="4">
        <v>46056</v>
      </c>
      <c r="M1454" s="1" t="s">
        <v>4524</v>
      </c>
      <c r="N1454" s="1" t="s">
        <v>9169</v>
      </c>
    </row>
    <row r="1455" spans="1:14" s="1" customFormat="1" x14ac:dyDescent="0.35">
      <c r="A1455" s="1" t="s">
        <v>4492</v>
      </c>
      <c r="B1455" s="1" t="s">
        <v>3356</v>
      </c>
      <c r="C1455" s="1" t="s">
        <v>3400</v>
      </c>
      <c r="D1455" s="1" t="s">
        <v>9168</v>
      </c>
      <c r="E1455" s="1" t="str">
        <f>"6530"</f>
        <v>6530</v>
      </c>
      <c r="F1455" s="1" t="str">
        <f>"013386094"</f>
        <v>013386094</v>
      </c>
      <c r="G1455" s="1" t="s">
        <v>926</v>
      </c>
      <c r="H1455" s="1" t="s">
        <v>15</v>
      </c>
      <c r="I1455" s="1" t="str">
        <f>"3"</f>
        <v>3</v>
      </c>
      <c r="J1455" s="3">
        <v>2494.0700000000002</v>
      </c>
      <c r="K1455" s="4">
        <v>46056</v>
      </c>
      <c r="L1455" s="4">
        <v>46067</v>
      </c>
      <c r="M1455" s="1" t="s">
        <v>9167</v>
      </c>
      <c r="N1455" s="1" t="s">
        <v>9166</v>
      </c>
    </row>
    <row r="1456" spans="1:14" s="1" customFormat="1" x14ac:dyDescent="0.35">
      <c r="A1456" s="1" t="s">
        <v>4492</v>
      </c>
      <c r="B1456" s="1" t="s">
        <v>3356</v>
      </c>
      <c r="C1456" s="1" t="s">
        <v>3400</v>
      </c>
      <c r="D1456" s="1" t="s">
        <v>9165</v>
      </c>
      <c r="E1456" s="1" t="str">
        <f>"5140"</f>
        <v>5140</v>
      </c>
      <c r="F1456" s="1" t="s">
        <v>364</v>
      </c>
      <c r="G1456" s="1" t="s">
        <v>365</v>
      </c>
      <c r="H1456" s="1" t="s">
        <v>15</v>
      </c>
      <c r="I1456" s="1" t="str">
        <f>"1"</f>
        <v>1</v>
      </c>
      <c r="J1456" s="3" t="str">
        <f>"100"</f>
        <v>100</v>
      </c>
      <c r="K1456" s="4">
        <v>46056</v>
      </c>
      <c r="L1456" s="4">
        <v>46057</v>
      </c>
      <c r="M1456" s="1" t="s">
        <v>4524</v>
      </c>
      <c r="N1456" s="1" t="s">
        <v>9164</v>
      </c>
    </row>
    <row r="1457" spans="1:14" s="1" customFormat="1" x14ac:dyDescent="0.35">
      <c r="A1457" s="1" t="s">
        <v>4492</v>
      </c>
      <c r="B1457" s="1" t="s">
        <v>3356</v>
      </c>
      <c r="C1457" s="1" t="s">
        <v>3400</v>
      </c>
      <c r="D1457" s="1" t="s">
        <v>9163</v>
      </c>
      <c r="E1457" s="1" t="str">
        <f>"5110"</f>
        <v>5110</v>
      </c>
      <c r="F1457" s="1" t="str">
        <f>"014167827"</f>
        <v>014167827</v>
      </c>
      <c r="G1457" s="1" t="s">
        <v>9162</v>
      </c>
      <c r="H1457" s="1" t="s">
        <v>15</v>
      </c>
      <c r="I1457" s="1" t="str">
        <f>"8"</f>
        <v>8</v>
      </c>
      <c r="J1457" s="3">
        <v>95.91</v>
      </c>
      <c r="K1457" s="4">
        <v>46056</v>
      </c>
      <c r="L1457" s="4">
        <v>46060</v>
      </c>
      <c r="M1457" s="1" t="s">
        <v>9161</v>
      </c>
      <c r="N1457" s="1" t="s">
        <v>9160</v>
      </c>
    </row>
    <row r="1458" spans="1:14" s="1" customFormat="1" x14ac:dyDescent="0.35">
      <c r="A1458" s="1" t="s">
        <v>4492</v>
      </c>
      <c r="B1458" s="1" t="s">
        <v>3356</v>
      </c>
      <c r="C1458" s="1" t="s">
        <v>3400</v>
      </c>
      <c r="D1458" s="1" t="s">
        <v>9159</v>
      </c>
      <c r="E1458" s="1" t="str">
        <f>"2330"</f>
        <v>2330</v>
      </c>
      <c r="F1458" s="1" t="s">
        <v>104</v>
      </c>
      <c r="G1458" s="1" t="s">
        <v>105</v>
      </c>
      <c r="H1458" s="1" t="s">
        <v>15</v>
      </c>
      <c r="I1458" s="1" t="str">
        <f>"1"</f>
        <v>1</v>
      </c>
      <c r="J1458" s="3" t="str">
        <f>"15000"</f>
        <v>15000</v>
      </c>
      <c r="K1458" s="4">
        <v>46082</v>
      </c>
      <c r="L1458" s="4">
        <v>46087</v>
      </c>
      <c r="M1458" s="1" t="s">
        <v>9158</v>
      </c>
      <c r="N1458" s="1" t="s">
        <v>9157</v>
      </c>
    </row>
    <row r="1459" spans="1:14" s="1" customFormat="1" x14ac:dyDescent="0.35">
      <c r="A1459" s="1" t="s">
        <v>4492</v>
      </c>
      <c r="B1459" s="1" t="s">
        <v>3356</v>
      </c>
      <c r="C1459" s="1" t="s">
        <v>3400</v>
      </c>
      <c r="D1459" s="1" t="s">
        <v>9156</v>
      </c>
      <c r="E1459" s="1" t="str">
        <f>"6310"</f>
        <v>6310</v>
      </c>
      <c r="F1459" s="1" t="s">
        <v>1713</v>
      </c>
      <c r="G1459" s="1" t="s">
        <v>1714</v>
      </c>
      <c r="H1459" s="1" t="s">
        <v>15</v>
      </c>
      <c r="I1459" s="1" t="str">
        <f>"1"</f>
        <v>1</v>
      </c>
      <c r="J1459" s="3" t="str">
        <f>"6857"</f>
        <v>6857</v>
      </c>
      <c r="K1459" s="4">
        <v>46083</v>
      </c>
      <c r="L1459" s="4">
        <v>46095</v>
      </c>
      <c r="M1459" s="1" t="s">
        <v>9155</v>
      </c>
      <c r="N1459" s="1" t="s">
        <v>9154</v>
      </c>
    </row>
    <row r="1460" spans="1:14" s="1" customFormat="1" x14ac:dyDescent="0.35">
      <c r="A1460" s="1" t="s">
        <v>4492</v>
      </c>
      <c r="B1460" s="1" t="s">
        <v>3356</v>
      </c>
      <c r="C1460" s="1" t="s">
        <v>3400</v>
      </c>
      <c r="D1460" s="1" t="s">
        <v>9153</v>
      </c>
      <c r="E1460" s="1" t="str">
        <f>"2340"</f>
        <v>2340</v>
      </c>
      <c r="F1460" s="1" t="s">
        <v>1071</v>
      </c>
      <c r="G1460" s="1" t="s">
        <v>1072</v>
      </c>
      <c r="H1460" s="1" t="s">
        <v>15</v>
      </c>
      <c r="I1460" s="1" t="str">
        <f>"1"</f>
        <v>1</v>
      </c>
      <c r="J1460" s="3" t="str">
        <f>"5000"</f>
        <v>5000</v>
      </c>
      <c r="K1460" s="4">
        <v>46095</v>
      </c>
      <c r="L1460" s="4">
        <v>46100</v>
      </c>
      <c r="M1460" s="1" t="s">
        <v>9152</v>
      </c>
      <c r="N1460" s="1" t="s">
        <v>9151</v>
      </c>
    </row>
    <row r="1461" spans="1:14" s="1" customFormat="1" x14ac:dyDescent="0.35">
      <c r="A1461" s="1" t="s">
        <v>4492</v>
      </c>
      <c r="B1461" s="1" t="s">
        <v>3356</v>
      </c>
      <c r="C1461" s="1" t="s">
        <v>3400</v>
      </c>
      <c r="D1461" s="1" t="s">
        <v>9150</v>
      </c>
      <c r="E1461" s="1" t="str">
        <f>"2360"</f>
        <v>2360</v>
      </c>
      <c r="F1461" s="1" t="str">
        <f>"016631082"</f>
        <v>016631082</v>
      </c>
      <c r="G1461" s="1" t="s">
        <v>1275</v>
      </c>
      <c r="H1461" s="1" t="s">
        <v>15</v>
      </c>
      <c r="I1461" s="1" t="str">
        <f>"1"</f>
        <v>1</v>
      </c>
      <c r="J1461" s="3" t="str">
        <f>"77060"</f>
        <v>77060</v>
      </c>
      <c r="K1461" s="4">
        <v>46083</v>
      </c>
      <c r="L1461" s="4">
        <v>46087</v>
      </c>
      <c r="M1461" s="1" t="s">
        <v>9149</v>
      </c>
      <c r="N1461" s="1" t="s">
        <v>9148</v>
      </c>
    </row>
    <row r="1462" spans="1:14" s="1" customFormat="1" x14ac:dyDescent="0.35">
      <c r="A1462" s="1" t="s">
        <v>4492</v>
      </c>
      <c r="B1462" s="1" t="s">
        <v>3356</v>
      </c>
      <c r="C1462" s="1" t="s">
        <v>3501</v>
      </c>
      <c r="D1462" s="1" t="s">
        <v>9147</v>
      </c>
      <c r="E1462" s="1" t="str">
        <f>"3805"</f>
        <v>3805</v>
      </c>
      <c r="F1462" s="1" t="s">
        <v>1020</v>
      </c>
      <c r="G1462" s="1" t="s">
        <v>1021</v>
      </c>
      <c r="H1462" s="1" t="s">
        <v>15</v>
      </c>
      <c r="I1462" s="1" t="str">
        <f>"1"</f>
        <v>1</v>
      </c>
      <c r="J1462" s="3" t="str">
        <f>"7500"</f>
        <v>7500</v>
      </c>
      <c r="K1462" s="4">
        <v>46030</v>
      </c>
      <c r="L1462" s="4">
        <v>46039</v>
      </c>
      <c r="M1462" s="1" t="s">
        <v>9146</v>
      </c>
      <c r="N1462" s="1" t="s">
        <v>9145</v>
      </c>
    </row>
    <row r="1463" spans="1:14" s="1" customFormat="1" x14ac:dyDescent="0.35">
      <c r="A1463" s="1" t="s">
        <v>4492</v>
      </c>
      <c r="B1463" s="1" t="s">
        <v>3356</v>
      </c>
      <c r="C1463" s="1" t="s">
        <v>3501</v>
      </c>
      <c r="D1463" s="1" t="s">
        <v>9144</v>
      </c>
      <c r="E1463" s="1" t="str">
        <f>"2320"</f>
        <v>2320</v>
      </c>
      <c r="F1463" s="1" t="s">
        <v>4526</v>
      </c>
      <c r="G1463" s="1" t="s">
        <v>4525</v>
      </c>
      <c r="H1463" s="1" t="s">
        <v>15</v>
      </c>
      <c r="I1463" s="1" t="str">
        <f>"1"</f>
        <v>1</v>
      </c>
      <c r="J1463" s="3">
        <v>610434.26</v>
      </c>
      <c r="K1463" s="4">
        <v>46056</v>
      </c>
      <c r="L1463" s="4">
        <v>46056</v>
      </c>
      <c r="M1463" s="1" t="s">
        <v>4524</v>
      </c>
      <c r="N1463" s="1" t="s">
        <v>9143</v>
      </c>
    </row>
    <row r="1464" spans="1:14" s="1" customFormat="1" x14ac:dyDescent="0.35">
      <c r="A1464" s="1" t="s">
        <v>4492</v>
      </c>
      <c r="B1464" s="1" t="s">
        <v>3356</v>
      </c>
      <c r="C1464" s="1" t="s">
        <v>3501</v>
      </c>
      <c r="D1464" s="1" t="s">
        <v>9142</v>
      </c>
      <c r="E1464" s="1" t="str">
        <f>"2410"</f>
        <v>2410</v>
      </c>
      <c r="F1464" s="1" t="str">
        <f>"002335749"</f>
        <v>002335749</v>
      </c>
      <c r="G1464" s="1" t="s">
        <v>7650</v>
      </c>
      <c r="H1464" s="1" t="s">
        <v>15</v>
      </c>
      <c r="I1464" s="1" t="str">
        <f>"1"</f>
        <v>1</v>
      </c>
      <c r="J1464" s="3">
        <v>101747.1</v>
      </c>
      <c r="K1464" s="4">
        <v>46084</v>
      </c>
      <c r="L1464" s="4">
        <v>46087</v>
      </c>
      <c r="M1464" s="1" t="s">
        <v>9141</v>
      </c>
      <c r="N1464" s="1" t="s">
        <v>9140</v>
      </c>
    </row>
    <row r="1465" spans="1:14" s="1" customFormat="1" x14ac:dyDescent="0.35">
      <c r="A1465" s="1" t="s">
        <v>4492</v>
      </c>
      <c r="B1465" s="1" t="s">
        <v>3268</v>
      </c>
      <c r="C1465" s="1" t="s">
        <v>9136</v>
      </c>
      <c r="D1465" s="1" t="s">
        <v>9139</v>
      </c>
      <c r="E1465" s="1" t="str">
        <f>"5855"</f>
        <v>5855</v>
      </c>
      <c r="F1465" s="1" t="str">
        <f>"015345931"</f>
        <v>015345931</v>
      </c>
      <c r="G1465" s="1" t="s">
        <v>742</v>
      </c>
      <c r="H1465" s="1" t="s">
        <v>15</v>
      </c>
      <c r="I1465" s="1" t="str">
        <f>"6"</f>
        <v>6</v>
      </c>
      <c r="J1465" s="3" t="str">
        <f>"970"</f>
        <v>970</v>
      </c>
      <c r="K1465" s="4">
        <v>46079</v>
      </c>
      <c r="L1465" s="4">
        <v>46088</v>
      </c>
      <c r="M1465" s="1" t="s">
        <v>9138</v>
      </c>
      <c r="N1465" s="1" t="s">
        <v>9137</v>
      </c>
    </row>
    <row r="1466" spans="1:14" s="1" customFormat="1" x14ac:dyDescent="0.35">
      <c r="A1466" s="1" t="s">
        <v>4492</v>
      </c>
      <c r="B1466" s="1" t="s">
        <v>3268</v>
      </c>
      <c r="C1466" s="1" t="s">
        <v>9136</v>
      </c>
      <c r="D1466" s="1" t="s">
        <v>9135</v>
      </c>
      <c r="E1466" s="1" t="str">
        <f>"5855"</f>
        <v>5855</v>
      </c>
      <c r="F1466" s="1" t="str">
        <f>"015847217"</f>
        <v>015847217</v>
      </c>
      <c r="G1466" s="1" t="s">
        <v>614</v>
      </c>
      <c r="H1466" s="1" t="s">
        <v>15</v>
      </c>
      <c r="I1466" s="1" t="str">
        <f>"14"</f>
        <v>14</v>
      </c>
      <c r="J1466" s="3" t="str">
        <f>"34084"</f>
        <v>34084</v>
      </c>
      <c r="K1466" s="4">
        <v>46076</v>
      </c>
      <c r="L1466" s="4">
        <v>46087</v>
      </c>
      <c r="M1466" s="1" t="s">
        <v>9134</v>
      </c>
      <c r="N1466" s="1" t="s">
        <v>9133</v>
      </c>
    </row>
    <row r="1467" spans="1:14" s="1" customFormat="1" x14ac:dyDescent="0.35">
      <c r="A1467" s="1" t="s">
        <v>4492</v>
      </c>
      <c r="B1467" s="1" t="s">
        <v>1303</v>
      </c>
      <c r="C1467" s="1" t="s">
        <v>1338</v>
      </c>
      <c r="D1467" s="1" t="s">
        <v>9132</v>
      </c>
      <c r="E1467" s="1" t="str">
        <f>"5180"</f>
        <v>5180</v>
      </c>
      <c r="F1467" s="1" t="str">
        <f>"015068287"</f>
        <v>015068287</v>
      </c>
      <c r="G1467" s="1" t="s">
        <v>2584</v>
      </c>
      <c r="H1467" s="1" t="s">
        <v>168</v>
      </c>
      <c r="I1467" s="1" t="str">
        <f>"1"</f>
        <v>1</v>
      </c>
      <c r="J1467" s="3" t="str">
        <f>"1774"</f>
        <v>1774</v>
      </c>
      <c r="K1467" s="4">
        <v>46022</v>
      </c>
      <c r="L1467" s="4">
        <v>46028</v>
      </c>
      <c r="M1467" s="1" t="s">
        <v>9131</v>
      </c>
      <c r="N1467" s="1" t="s">
        <v>9130</v>
      </c>
    </row>
    <row r="1468" spans="1:14" s="1" customFormat="1" x14ac:dyDescent="0.35">
      <c r="A1468" s="1" t="s">
        <v>4492</v>
      </c>
      <c r="B1468" s="1" t="s">
        <v>1303</v>
      </c>
      <c r="C1468" s="1" t="s">
        <v>1338</v>
      </c>
      <c r="D1468" s="1" t="s">
        <v>9129</v>
      </c>
      <c r="E1468" s="1" t="str">
        <f>"5180"</f>
        <v>5180</v>
      </c>
      <c r="F1468" s="1" t="str">
        <f>"015068287"</f>
        <v>015068287</v>
      </c>
      <c r="G1468" s="1" t="s">
        <v>2584</v>
      </c>
      <c r="H1468" s="1" t="s">
        <v>168</v>
      </c>
      <c r="I1468" s="1" t="str">
        <f>"1"</f>
        <v>1</v>
      </c>
      <c r="J1468" s="3" t="str">
        <f>"1774"</f>
        <v>1774</v>
      </c>
      <c r="K1468" s="4">
        <v>46022</v>
      </c>
      <c r="L1468" s="4">
        <v>46028</v>
      </c>
      <c r="M1468" s="1" t="s">
        <v>9128</v>
      </c>
      <c r="N1468" s="1" t="s">
        <v>9127</v>
      </c>
    </row>
    <row r="1469" spans="1:14" s="1" customFormat="1" x14ac:dyDescent="0.35">
      <c r="A1469" s="1" t="s">
        <v>4492</v>
      </c>
      <c r="B1469" s="1" t="s">
        <v>1303</v>
      </c>
      <c r="C1469" s="1" t="s">
        <v>1338</v>
      </c>
      <c r="D1469" s="1" t="s">
        <v>9126</v>
      </c>
      <c r="E1469" s="1" t="str">
        <f>"6545"</f>
        <v>6545</v>
      </c>
      <c r="F1469" s="1" t="str">
        <f>"015300929"</f>
        <v>015300929</v>
      </c>
      <c r="G1469" s="1" t="s">
        <v>167</v>
      </c>
      <c r="H1469" s="1" t="s">
        <v>168</v>
      </c>
      <c r="I1469" s="1" t="str">
        <f>"9"</f>
        <v>9</v>
      </c>
      <c r="J1469" s="3">
        <v>48.71</v>
      </c>
      <c r="K1469" s="4">
        <v>46037</v>
      </c>
      <c r="L1469" s="4">
        <v>46044</v>
      </c>
      <c r="M1469" s="1" t="s">
        <v>9125</v>
      </c>
      <c r="N1469" s="1" t="s">
        <v>9124</v>
      </c>
    </row>
    <row r="1470" spans="1:14" s="1" customFormat="1" x14ac:dyDescent="0.35">
      <c r="A1470" s="1" t="s">
        <v>4492</v>
      </c>
      <c r="B1470" s="1" t="s">
        <v>1303</v>
      </c>
      <c r="C1470" s="1" t="s">
        <v>1338</v>
      </c>
      <c r="D1470" s="1" t="s">
        <v>9123</v>
      </c>
      <c r="E1470" s="1" t="str">
        <f>"6545"</f>
        <v>6545</v>
      </c>
      <c r="F1470" s="1" t="str">
        <f>"015300929"</f>
        <v>015300929</v>
      </c>
      <c r="G1470" s="1" t="s">
        <v>167</v>
      </c>
      <c r="H1470" s="1" t="s">
        <v>168</v>
      </c>
      <c r="I1470" s="1" t="str">
        <f>"8"</f>
        <v>8</v>
      </c>
      <c r="J1470" s="3">
        <v>48.71</v>
      </c>
      <c r="K1470" s="4">
        <v>46037</v>
      </c>
      <c r="L1470" s="4">
        <v>46044</v>
      </c>
      <c r="M1470" s="1" t="s">
        <v>9122</v>
      </c>
      <c r="N1470" s="1" t="s">
        <v>9121</v>
      </c>
    </row>
    <row r="1471" spans="1:14" s="1" customFormat="1" x14ac:dyDescent="0.35">
      <c r="A1471" s="1" t="s">
        <v>4492</v>
      </c>
      <c r="B1471" s="1" t="s">
        <v>1303</v>
      </c>
      <c r="C1471" s="1" t="s">
        <v>1338</v>
      </c>
      <c r="D1471" s="1" t="s">
        <v>9120</v>
      </c>
      <c r="E1471" s="1" t="str">
        <f>"6545"</f>
        <v>6545</v>
      </c>
      <c r="F1471" s="1" t="str">
        <f>"015300929"</f>
        <v>015300929</v>
      </c>
      <c r="G1471" s="1" t="s">
        <v>167</v>
      </c>
      <c r="H1471" s="1" t="s">
        <v>168</v>
      </c>
      <c r="I1471" s="1" t="str">
        <f>"45"</f>
        <v>45</v>
      </c>
      <c r="J1471" s="3">
        <v>48.71</v>
      </c>
      <c r="K1471" s="4">
        <v>46077</v>
      </c>
      <c r="L1471" s="4">
        <v>46086</v>
      </c>
      <c r="M1471" s="1" t="s">
        <v>9119</v>
      </c>
      <c r="N1471" s="1" t="s">
        <v>9114</v>
      </c>
    </row>
    <row r="1472" spans="1:14" s="1" customFormat="1" x14ac:dyDescent="0.35">
      <c r="A1472" s="1" t="s">
        <v>4492</v>
      </c>
      <c r="B1472" s="1" t="s">
        <v>1303</v>
      </c>
      <c r="C1472" s="1" t="s">
        <v>1338</v>
      </c>
      <c r="D1472" s="1" t="s">
        <v>9118</v>
      </c>
      <c r="E1472" s="1" t="str">
        <f>"6545"</f>
        <v>6545</v>
      </c>
      <c r="F1472" s="1" t="str">
        <f>"016092699"</f>
        <v>016092699</v>
      </c>
      <c r="G1472" s="1" t="s">
        <v>1350</v>
      </c>
      <c r="H1472" s="1" t="s">
        <v>257</v>
      </c>
      <c r="I1472" s="1" t="str">
        <f>"13"</f>
        <v>13</v>
      </c>
      <c r="J1472" s="3">
        <v>8495.23</v>
      </c>
      <c r="K1472" s="4">
        <v>46077</v>
      </c>
      <c r="L1472" s="4">
        <v>46088</v>
      </c>
      <c r="M1472" s="1" t="s">
        <v>9117</v>
      </c>
      <c r="N1472" s="1" t="s">
        <v>1351</v>
      </c>
    </row>
    <row r="1473" spans="1:14" s="1" customFormat="1" x14ac:dyDescent="0.35">
      <c r="A1473" s="1" t="s">
        <v>4492</v>
      </c>
      <c r="B1473" s="1" t="s">
        <v>1303</v>
      </c>
      <c r="C1473" s="1" t="s">
        <v>1338</v>
      </c>
      <c r="D1473" s="1" t="s">
        <v>9116</v>
      </c>
      <c r="E1473" s="1" t="str">
        <f>"6545"</f>
        <v>6545</v>
      </c>
      <c r="F1473" s="1" t="str">
        <f>"015841582"</f>
        <v>015841582</v>
      </c>
      <c r="G1473" s="1" t="s">
        <v>990</v>
      </c>
      <c r="H1473" s="1" t="s">
        <v>168</v>
      </c>
      <c r="I1473" s="1" t="str">
        <f>"46"</f>
        <v>46</v>
      </c>
      <c r="J1473" s="3">
        <v>103.24</v>
      </c>
      <c r="K1473" s="4">
        <v>46103</v>
      </c>
      <c r="L1473" s="4">
        <v>46108</v>
      </c>
      <c r="M1473" s="1" t="s">
        <v>9115</v>
      </c>
      <c r="N1473" s="1" t="s">
        <v>9114</v>
      </c>
    </row>
    <row r="1474" spans="1:14" s="1" customFormat="1" x14ac:dyDescent="0.35">
      <c r="A1474" s="1" t="s">
        <v>4492</v>
      </c>
      <c r="B1474" s="1" t="s">
        <v>1989</v>
      </c>
      <c r="C1474" s="1" t="s">
        <v>2055</v>
      </c>
      <c r="D1474" s="1" t="s">
        <v>9113</v>
      </c>
      <c r="E1474" s="1" t="str">
        <f>"2320"</f>
        <v>2320</v>
      </c>
      <c r="F1474" s="1" t="s">
        <v>100</v>
      </c>
      <c r="G1474" s="1" t="s">
        <v>101</v>
      </c>
      <c r="H1474" s="1" t="s">
        <v>15</v>
      </c>
      <c r="I1474" s="1" t="str">
        <f>"1"</f>
        <v>1</v>
      </c>
      <c r="J1474" s="3" t="str">
        <f>"22500"</f>
        <v>22500</v>
      </c>
      <c r="K1474" s="4">
        <v>46003</v>
      </c>
      <c r="L1474" s="4">
        <v>46026</v>
      </c>
      <c r="M1474" s="1" t="s">
        <v>9112</v>
      </c>
      <c r="N1474" s="1" t="s">
        <v>9111</v>
      </c>
    </row>
    <row r="1475" spans="1:14" s="1" customFormat="1" x14ac:dyDescent="0.35">
      <c r="A1475" s="1" t="s">
        <v>4492</v>
      </c>
      <c r="B1475" s="1" t="s">
        <v>1989</v>
      </c>
      <c r="C1475" s="1" t="s">
        <v>2055</v>
      </c>
      <c r="D1475" s="1" t="s">
        <v>9110</v>
      </c>
      <c r="E1475" s="1" t="str">
        <f>"5965"</f>
        <v>5965</v>
      </c>
      <c r="F1475" s="1" t="str">
        <f>"015727946"</f>
        <v>015727946</v>
      </c>
      <c r="G1475" s="1" t="s">
        <v>209</v>
      </c>
      <c r="H1475" s="1" t="s">
        <v>168</v>
      </c>
      <c r="I1475" s="1" t="str">
        <f>"2"</f>
        <v>2</v>
      </c>
      <c r="J1475" s="3">
        <v>1583.47</v>
      </c>
      <c r="K1475" s="4">
        <v>46019</v>
      </c>
      <c r="L1475" s="4">
        <v>46028</v>
      </c>
      <c r="M1475" s="1" t="s">
        <v>9109</v>
      </c>
      <c r="N1475" s="1" t="s">
        <v>9108</v>
      </c>
    </row>
    <row r="1476" spans="1:14" s="1" customFormat="1" x14ac:dyDescent="0.35">
      <c r="A1476" s="1" t="s">
        <v>4492</v>
      </c>
      <c r="B1476" s="1" t="s">
        <v>1989</v>
      </c>
      <c r="C1476" s="1" t="s">
        <v>2055</v>
      </c>
      <c r="D1476" s="1" t="s">
        <v>9107</v>
      </c>
      <c r="E1476" s="1" t="str">
        <f>"2330"</f>
        <v>2330</v>
      </c>
      <c r="F1476" s="1" t="s">
        <v>104</v>
      </c>
      <c r="G1476" s="1" t="s">
        <v>105</v>
      </c>
      <c r="H1476" s="1" t="s">
        <v>15</v>
      </c>
      <c r="I1476" s="1" t="str">
        <f>"1"</f>
        <v>1</v>
      </c>
      <c r="J1476" s="3" t="str">
        <f>"5000"</f>
        <v>5000</v>
      </c>
      <c r="K1476" s="4">
        <v>46021</v>
      </c>
      <c r="L1476" s="4">
        <v>46032</v>
      </c>
      <c r="M1476" s="1" t="s">
        <v>9106</v>
      </c>
      <c r="N1476" s="1" t="s">
        <v>9105</v>
      </c>
    </row>
    <row r="1477" spans="1:14" s="1" customFormat="1" x14ac:dyDescent="0.35">
      <c r="A1477" s="1" t="s">
        <v>4492</v>
      </c>
      <c r="B1477" s="1" t="s">
        <v>1989</v>
      </c>
      <c r="C1477" s="1" t="s">
        <v>2055</v>
      </c>
      <c r="D1477" s="1" t="s">
        <v>9104</v>
      </c>
      <c r="E1477" s="1" t="str">
        <f>"5895"</f>
        <v>5895</v>
      </c>
      <c r="F1477" s="1" t="str">
        <f>"015984531"</f>
        <v>015984531</v>
      </c>
      <c r="G1477" s="1" t="s">
        <v>1373</v>
      </c>
      <c r="H1477" s="1" t="s">
        <v>168</v>
      </c>
      <c r="I1477" s="1" t="str">
        <f>"18"</f>
        <v>18</v>
      </c>
      <c r="J1477" s="3">
        <v>763.74</v>
      </c>
      <c r="K1477" s="4">
        <v>46083</v>
      </c>
      <c r="L1477" s="4">
        <v>46087</v>
      </c>
      <c r="M1477" s="1" t="s">
        <v>9103</v>
      </c>
      <c r="N1477" s="1" t="s">
        <v>9097</v>
      </c>
    </row>
    <row r="1478" spans="1:14" s="1" customFormat="1" x14ac:dyDescent="0.35">
      <c r="A1478" s="1" t="s">
        <v>4492</v>
      </c>
      <c r="B1478" s="1" t="s">
        <v>1989</v>
      </c>
      <c r="C1478" s="1" t="s">
        <v>2055</v>
      </c>
      <c r="D1478" s="1" t="s">
        <v>9102</v>
      </c>
      <c r="E1478" s="1" t="str">
        <f>"6310"</f>
        <v>6310</v>
      </c>
      <c r="F1478" s="1" t="s">
        <v>1713</v>
      </c>
      <c r="G1478" s="1" t="s">
        <v>1714</v>
      </c>
      <c r="H1478" s="1" t="s">
        <v>15</v>
      </c>
      <c r="I1478" s="1" t="str">
        <f>"1"</f>
        <v>1</v>
      </c>
      <c r="J1478" s="3" t="str">
        <f>"6857"</f>
        <v>6857</v>
      </c>
      <c r="K1478" s="4">
        <v>46083</v>
      </c>
      <c r="L1478" s="4">
        <v>46095</v>
      </c>
      <c r="M1478" s="1" t="s">
        <v>9101</v>
      </c>
      <c r="N1478" s="1" t="s">
        <v>9100</v>
      </c>
    </row>
    <row r="1479" spans="1:14" s="1" customFormat="1" x14ac:dyDescent="0.35">
      <c r="A1479" s="1" t="s">
        <v>4492</v>
      </c>
      <c r="B1479" s="1" t="s">
        <v>1989</v>
      </c>
      <c r="C1479" s="1" t="s">
        <v>2055</v>
      </c>
      <c r="D1479" s="1" t="s">
        <v>9099</v>
      </c>
      <c r="E1479" s="1" t="str">
        <f>"5895"</f>
        <v>5895</v>
      </c>
      <c r="F1479" s="1" t="str">
        <f>"015984531"</f>
        <v>015984531</v>
      </c>
      <c r="G1479" s="1" t="s">
        <v>1373</v>
      </c>
      <c r="H1479" s="1" t="s">
        <v>168</v>
      </c>
      <c r="I1479" s="1" t="str">
        <f>"4"</f>
        <v>4</v>
      </c>
      <c r="J1479" s="3">
        <v>763.74</v>
      </c>
      <c r="K1479" s="4">
        <v>46083</v>
      </c>
      <c r="L1479" s="4">
        <v>46087</v>
      </c>
      <c r="M1479" s="1" t="s">
        <v>9098</v>
      </c>
      <c r="N1479" s="1" t="s">
        <v>9097</v>
      </c>
    </row>
    <row r="1480" spans="1:14" s="1" customFormat="1" x14ac:dyDescent="0.35">
      <c r="A1480" s="1" t="s">
        <v>4492</v>
      </c>
      <c r="B1480" s="1" t="s">
        <v>1989</v>
      </c>
      <c r="C1480" s="1" t="s">
        <v>2055</v>
      </c>
      <c r="D1480" s="1" t="s">
        <v>9096</v>
      </c>
      <c r="E1480" s="1" t="str">
        <f>"6650"</f>
        <v>6650</v>
      </c>
      <c r="F1480" s="1" t="s">
        <v>1576</v>
      </c>
      <c r="G1480" s="1" t="s">
        <v>1577</v>
      </c>
      <c r="H1480" s="1" t="s">
        <v>15</v>
      </c>
      <c r="I1480" s="1" t="str">
        <f>"2"</f>
        <v>2</v>
      </c>
      <c r="J1480" s="3">
        <v>208.47</v>
      </c>
      <c r="K1480" s="4">
        <v>46088</v>
      </c>
      <c r="L1480" s="4">
        <v>46095</v>
      </c>
      <c r="M1480" s="1" t="s">
        <v>9095</v>
      </c>
      <c r="N1480" s="1" t="s">
        <v>9094</v>
      </c>
    </row>
    <row r="1481" spans="1:14" s="1" customFormat="1" x14ac:dyDescent="0.35">
      <c r="A1481" s="1" t="s">
        <v>4492</v>
      </c>
      <c r="B1481" s="1" t="s">
        <v>1989</v>
      </c>
      <c r="C1481" s="1" t="s">
        <v>2055</v>
      </c>
      <c r="D1481" s="1" t="s">
        <v>9093</v>
      </c>
      <c r="E1481" s="1" t="str">
        <f>"2320"</f>
        <v>2320</v>
      </c>
      <c r="F1481" s="1" t="s">
        <v>100</v>
      </c>
      <c r="G1481" s="1" t="s">
        <v>101</v>
      </c>
      <c r="H1481" s="1" t="s">
        <v>15</v>
      </c>
      <c r="I1481" s="1" t="str">
        <f>"1"</f>
        <v>1</v>
      </c>
      <c r="J1481" s="3" t="str">
        <f>"52500"</f>
        <v>52500</v>
      </c>
      <c r="K1481" s="4">
        <v>46094</v>
      </c>
      <c r="L1481" s="4">
        <v>46103</v>
      </c>
      <c r="M1481" s="1" t="s">
        <v>9092</v>
      </c>
      <c r="N1481" s="1" t="s">
        <v>9089</v>
      </c>
    </row>
    <row r="1482" spans="1:14" s="1" customFormat="1" x14ac:dyDescent="0.35">
      <c r="A1482" s="1" t="s">
        <v>4492</v>
      </c>
      <c r="B1482" s="1" t="s">
        <v>1989</v>
      </c>
      <c r="C1482" s="1" t="s">
        <v>2055</v>
      </c>
      <c r="D1482" s="1" t="s">
        <v>9091</v>
      </c>
      <c r="E1482" s="1" t="str">
        <f>"2320"</f>
        <v>2320</v>
      </c>
      <c r="F1482" s="1" t="s">
        <v>100</v>
      </c>
      <c r="G1482" s="1" t="s">
        <v>101</v>
      </c>
      <c r="H1482" s="1" t="s">
        <v>15</v>
      </c>
      <c r="I1482" s="1" t="str">
        <f>"1"</f>
        <v>1</v>
      </c>
      <c r="J1482" s="3" t="str">
        <f>"52500"</f>
        <v>52500</v>
      </c>
      <c r="K1482" s="4">
        <v>46095</v>
      </c>
      <c r="L1482" s="4">
        <v>46103</v>
      </c>
      <c r="M1482" s="1" t="s">
        <v>9090</v>
      </c>
      <c r="N1482" s="1" t="s">
        <v>9089</v>
      </c>
    </row>
    <row r="1483" spans="1:14" s="1" customFormat="1" x14ac:dyDescent="0.35">
      <c r="A1483" s="1" t="s">
        <v>4492</v>
      </c>
      <c r="B1483" s="1" t="s">
        <v>1989</v>
      </c>
      <c r="C1483" s="1" t="s">
        <v>2055</v>
      </c>
      <c r="D1483" s="1" t="s">
        <v>9088</v>
      </c>
      <c r="E1483" s="1" t="str">
        <f>"7010"</f>
        <v>7010</v>
      </c>
      <c r="F1483" s="1" t="s">
        <v>1203</v>
      </c>
      <c r="G1483" s="1" t="s">
        <v>1204</v>
      </c>
      <c r="H1483" s="1" t="s">
        <v>15</v>
      </c>
      <c r="I1483" s="1" t="str">
        <f>"4"</f>
        <v>4</v>
      </c>
      <c r="J1483" s="3" t="str">
        <f>"1182"</f>
        <v>1182</v>
      </c>
      <c r="K1483" s="4">
        <v>46096</v>
      </c>
      <c r="L1483" s="4">
        <v>46109</v>
      </c>
      <c r="M1483" s="1" t="s">
        <v>9087</v>
      </c>
      <c r="N1483" s="1" t="s">
        <v>9086</v>
      </c>
    </row>
    <row r="1484" spans="1:14" s="1" customFormat="1" x14ac:dyDescent="0.35">
      <c r="A1484" s="1" t="s">
        <v>4492</v>
      </c>
      <c r="B1484" s="1" t="s">
        <v>1989</v>
      </c>
      <c r="C1484" s="1" t="s">
        <v>2055</v>
      </c>
      <c r="D1484" s="1" t="s">
        <v>9085</v>
      </c>
      <c r="E1484" s="1" t="str">
        <f>"5180"</f>
        <v>5180</v>
      </c>
      <c r="F1484" s="1" t="str">
        <f>"015878129"</f>
        <v>015878129</v>
      </c>
      <c r="G1484" s="1" t="s">
        <v>322</v>
      </c>
      <c r="H1484" s="1" t="s">
        <v>15</v>
      </c>
      <c r="I1484" s="1" t="str">
        <f>"4"</f>
        <v>4</v>
      </c>
      <c r="J1484" s="3">
        <v>1720.12</v>
      </c>
      <c r="K1484" s="4">
        <v>46096</v>
      </c>
      <c r="L1484" s="4">
        <v>46109</v>
      </c>
      <c r="M1484" s="1" t="s">
        <v>9084</v>
      </c>
      <c r="N1484" s="1" t="s">
        <v>9083</v>
      </c>
    </row>
    <row r="1485" spans="1:14" s="1" customFormat="1" x14ac:dyDescent="0.35">
      <c r="A1485" s="1" t="s">
        <v>4492</v>
      </c>
      <c r="B1485" s="1" t="s">
        <v>1989</v>
      </c>
      <c r="C1485" s="1" t="s">
        <v>2055</v>
      </c>
      <c r="D1485" s="1" t="s">
        <v>9082</v>
      </c>
      <c r="E1485" s="1" t="str">
        <f>"2310"</f>
        <v>2310</v>
      </c>
      <c r="F1485" s="1" t="s">
        <v>4332</v>
      </c>
      <c r="G1485" s="1" t="s">
        <v>4333</v>
      </c>
      <c r="H1485" s="1" t="s">
        <v>15</v>
      </c>
      <c r="I1485" s="1" t="str">
        <f>"1"</f>
        <v>1</v>
      </c>
      <c r="J1485" s="3">
        <v>26812.5</v>
      </c>
      <c r="K1485" s="4">
        <v>46096</v>
      </c>
      <c r="L1485" s="4">
        <v>46109</v>
      </c>
      <c r="M1485" s="1" t="s">
        <v>9081</v>
      </c>
      <c r="N1485" s="1" t="s">
        <v>9080</v>
      </c>
    </row>
    <row r="1486" spans="1:14" s="1" customFormat="1" x14ac:dyDescent="0.35">
      <c r="A1486" s="1" t="s">
        <v>4492</v>
      </c>
      <c r="B1486" s="1" t="s">
        <v>1989</v>
      </c>
      <c r="C1486" s="1" t="s">
        <v>2055</v>
      </c>
      <c r="D1486" s="1" t="s">
        <v>9079</v>
      </c>
      <c r="E1486" s="1" t="str">
        <f>"7025"</f>
        <v>7025</v>
      </c>
      <c r="F1486" s="1" t="s">
        <v>7564</v>
      </c>
      <c r="G1486" s="1" t="s">
        <v>7563</v>
      </c>
      <c r="H1486" s="1" t="s">
        <v>15</v>
      </c>
      <c r="I1486" s="1" t="str">
        <f>"20"</f>
        <v>20</v>
      </c>
      <c r="J1486" s="3" t="str">
        <f>"30"</f>
        <v>30</v>
      </c>
      <c r="K1486" s="4">
        <v>46098</v>
      </c>
      <c r="L1486" s="4">
        <v>46100</v>
      </c>
      <c r="M1486" s="1" t="s">
        <v>9078</v>
      </c>
      <c r="N1486" s="1" t="s">
        <v>9075</v>
      </c>
    </row>
    <row r="1487" spans="1:14" s="1" customFormat="1" x14ac:dyDescent="0.35">
      <c r="A1487" s="1" t="s">
        <v>4492</v>
      </c>
      <c r="B1487" s="1" t="s">
        <v>1989</v>
      </c>
      <c r="C1487" s="1" t="s">
        <v>2055</v>
      </c>
      <c r="D1487" s="1" t="s">
        <v>9077</v>
      </c>
      <c r="E1487" s="1" t="str">
        <f>"7025"</f>
        <v>7025</v>
      </c>
      <c r="F1487" s="1" t="s">
        <v>7564</v>
      </c>
      <c r="G1487" s="1" t="s">
        <v>7563</v>
      </c>
      <c r="H1487" s="1" t="s">
        <v>15</v>
      </c>
      <c r="I1487" s="1" t="str">
        <f>"10"</f>
        <v>10</v>
      </c>
      <c r="J1487" s="3" t="str">
        <f>"30"</f>
        <v>30</v>
      </c>
      <c r="K1487" s="4">
        <v>46098</v>
      </c>
      <c r="L1487" s="4">
        <v>46101</v>
      </c>
      <c r="M1487" s="1" t="s">
        <v>9076</v>
      </c>
      <c r="N1487" s="1" t="s">
        <v>9075</v>
      </c>
    </row>
    <row r="1488" spans="1:14" s="1" customFormat="1" x14ac:dyDescent="0.35">
      <c r="A1488" s="1" t="s">
        <v>4492</v>
      </c>
      <c r="B1488" s="1" t="s">
        <v>1989</v>
      </c>
      <c r="C1488" s="1" t="s">
        <v>2055</v>
      </c>
      <c r="D1488" s="1" t="s">
        <v>9074</v>
      </c>
      <c r="E1488" s="1" t="str">
        <f>"6130"</f>
        <v>6130</v>
      </c>
      <c r="F1488" s="1" t="str">
        <f>"017071839"</f>
        <v>017071839</v>
      </c>
      <c r="G1488" s="1" t="s">
        <v>5724</v>
      </c>
      <c r="H1488" s="1" t="s">
        <v>15</v>
      </c>
      <c r="I1488" s="1" t="str">
        <f>"3"</f>
        <v>3</v>
      </c>
      <c r="J1488" s="3" t="str">
        <f>"169"</f>
        <v>169</v>
      </c>
      <c r="K1488" s="4">
        <v>46105</v>
      </c>
      <c r="L1488" s="4">
        <v>46109</v>
      </c>
      <c r="M1488" s="1" t="s">
        <v>9073</v>
      </c>
      <c r="N1488" s="1" t="s">
        <v>9072</v>
      </c>
    </row>
    <row r="1489" spans="1:14" s="1" customFormat="1" x14ac:dyDescent="0.35">
      <c r="A1489" s="1" t="s">
        <v>4492</v>
      </c>
      <c r="B1489" s="1" t="s">
        <v>1989</v>
      </c>
      <c r="C1489" s="1" t="s">
        <v>2055</v>
      </c>
      <c r="D1489" s="1" t="s">
        <v>9071</v>
      </c>
      <c r="E1489" s="1" t="str">
        <f>"4240"</f>
        <v>4240</v>
      </c>
      <c r="F1489" s="1" t="str">
        <f>"015253095"</f>
        <v>015253095</v>
      </c>
      <c r="G1489" s="1" t="s">
        <v>3426</v>
      </c>
      <c r="H1489" s="1" t="s">
        <v>15</v>
      </c>
      <c r="I1489" s="1" t="str">
        <f>"10"</f>
        <v>10</v>
      </c>
      <c r="J1489" s="3">
        <v>129.01</v>
      </c>
      <c r="K1489" s="4">
        <v>46103</v>
      </c>
      <c r="L1489" s="4">
        <v>46105</v>
      </c>
      <c r="M1489" s="1" t="s">
        <v>9070</v>
      </c>
      <c r="N1489" s="1" t="s">
        <v>9069</v>
      </c>
    </row>
    <row r="1490" spans="1:14" s="1" customFormat="1" x14ac:dyDescent="0.35">
      <c r="A1490" s="1" t="s">
        <v>4492</v>
      </c>
      <c r="B1490" s="1" t="s">
        <v>1013</v>
      </c>
      <c r="C1490" s="1" t="s">
        <v>1054</v>
      </c>
      <c r="D1490" s="1" t="s">
        <v>9068</v>
      </c>
      <c r="E1490" s="1" t="str">
        <f>"3510"</f>
        <v>3510</v>
      </c>
      <c r="F1490" s="1" t="str">
        <f>"016212316"</f>
        <v>016212316</v>
      </c>
      <c r="G1490" s="1" t="s">
        <v>5947</v>
      </c>
      <c r="H1490" s="1" t="s">
        <v>15</v>
      </c>
      <c r="I1490" s="1" t="str">
        <f>"1"</f>
        <v>1</v>
      </c>
      <c r="J1490" s="3">
        <v>2976.03</v>
      </c>
      <c r="K1490" s="4">
        <v>46056</v>
      </c>
      <c r="L1490" s="4">
        <v>46056</v>
      </c>
      <c r="M1490" s="1" t="s">
        <v>4524</v>
      </c>
      <c r="N1490" s="1" t="s">
        <v>9067</v>
      </c>
    </row>
    <row r="1491" spans="1:14" s="1" customFormat="1" x14ac:dyDescent="0.35">
      <c r="A1491" s="1" t="s">
        <v>4492</v>
      </c>
      <c r="B1491" s="1" t="s">
        <v>1013</v>
      </c>
      <c r="C1491" s="1" t="s">
        <v>1054</v>
      </c>
      <c r="D1491" s="1" t="s">
        <v>9066</v>
      </c>
      <c r="E1491" s="1" t="str">
        <f>"2340"</f>
        <v>2340</v>
      </c>
      <c r="F1491" s="1" t="s">
        <v>1071</v>
      </c>
      <c r="G1491" s="1" t="s">
        <v>1072</v>
      </c>
      <c r="H1491" s="1" t="s">
        <v>15</v>
      </c>
      <c r="I1491" s="1" t="str">
        <f>"1"</f>
        <v>1</v>
      </c>
      <c r="J1491" s="3">
        <v>14227.95</v>
      </c>
      <c r="K1491" s="4">
        <v>46062</v>
      </c>
      <c r="L1491" s="4">
        <v>46063</v>
      </c>
      <c r="M1491" s="1" t="s">
        <v>9065</v>
      </c>
      <c r="N1491" s="1" t="s">
        <v>9064</v>
      </c>
    </row>
    <row r="1492" spans="1:14" s="1" customFormat="1" x14ac:dyDescent="0.35">
      <c r="A1492" s="1" t="s">
        <v>4492</v>
      </c>
      <c r="B1492" s="1" t="s">
        <v>1989</v>
      </c>
      <c r="C1492" s="1" t="s">
        <v>9063</v>
      </c>
      <c r="D1492" s="1" t="s">
        <v>9062</v>
      </c>
      <c r="E1492" s="1" t="str">
        <f>"2330"</f>
        <v>2330</v>
      </c>
      <c r="F1492" s="1" t="str">
        <f>"016272944"</f>
        <v>016272944</v>
      </c>
      <c r="G1492" s="1" t="s">
        <v>2101</v>
      </c>
      <c r="H1492" s="1" t="s">
        <v>15</v>
      </c>
      <c r="I1492" s="1" t="str">
        <f>"1"</f>
        <v>1</v>
      </c>
      <c r="J1492" s="3">
        <v>79463.929999999993</v>
      </c>
      <c r="K1492" s="4">
        <v>46098</v>
      </c>
      <c r="L1492" s="4">
        <v>46106</v>
      </c>
      <c r="M1492" s="1" t="s">
        <v>9061</v>
      </c>
      <c r="N1492" s="1" t="s">
        <v>9060</v>
      </c>
    </row>
    <row r="1493" spans="1:14" s="1" customFormat="1" x14ac:dyDescent="0.35">
      <c r="A1493" s="1" t="s">
        <v>4492</v>
      </c>
      <c r="B1493" s="1" t="s">
        <v>3268</v>
      </c>
      <c r="C1493" s="1" t="s">
        <v>9057</v>
      </c>
      <c r="D1493" s="1" t="s">
        <v>9059</v>
      </c>
      <c r="E1493" s="1" t="str">
        <f>"2310"</f>
        <v>2310</v>
      </c>
      <c r="F1493" s="1" t="str">
        <f>"014998019"</f>
        <v>014998019</v>
      </c>
      <c r="G1493" s="1" t="s">
        <v>4671</v>
      </c>
      <c r="H1493" s="1" t="s">
        <v>15</v>
      </c>
      <c r="I1493" s="1" t="str">
        <f>"1"</f>
        <v>1</v>
      </c>
      <c r="J1493" s="3" t="str">
        <f>"165000"</f>
        <v>165000</v>
      </c>
      <c r="K1493" s="4">
        <v>46071</v>
      </c>
      <c r="L1493" s="4">
        <v>46072</v>
      </c>
      <c r="M1493" s="1" t="s">
        <v>4524</v>
      </c>
      <c r="N1493" s="1" t="s">
        <v>9058</v>
      </c>
    </row>
    <row r="1494" spans="1:14" s="1" customFormat="1" x14ac:dyDescent="0.35">
      <c r="A1494" s="1" t="s">
        <v>4492</v>
      </c>
      <c r="B1494" s="1" t="s">
        <v>3268</v>
      </c>
      <c r="C1494" s="1" t="s">
        <v>9057</v>
      </c>
      <c r="D1494" s="1" t="s">
        <v>9056</v>
      </c>
      <c r="E1494" s="1" t="str">
        <f>"2310"</f>
        <v>2310</v>
      </c>
      <c r="F1494" s="1" t="str">
        <f>"014998019"</f>
        <v>014998019</v>
      </c>
      <c r="G1494" s="1" t="s">
        <v>4671</v>
      </c>
      <c r="H1494" s="1" t="s">
        <v>15</v>
      </c>
      <c r="I1494" s="1" t="str">
        <f>"1"</f>
        <v>1</v>
      </c>
      <c r="J1494" s="3" t="str">
        <f>"165000"</f>
        <v>165000</v>
      </c>
      <c r="K1494" s="4">
        <v>46097</v>
      </c>
      <c r="L1494" s="4">
        <v>46097</v>
      </c>
      <c r="M1494" s="1" t="s">
        <v>4524</v>
      </c>
      <c r="N1494" s="1" t="s">
        <v>9055</v>
      </c>
    </row>
    <row r="1495" spans="1:14" s="1" customFormat="1" x14ac:dyDescent="0.35">
      <c r="A1495" s="1" t="s">
        <v>4492</v>
      </c>
      <c r="B1495" s="1" t="s">
        <v>1516</v>
      </c>
      <c r="C1495" s="1" t="s">
        <v>9054</v>
      </c>
      <c r="D1495" s="1" t="s">
        <v>9053</v>
      </c>
      <c r="E1495" s="1" t="str">
        <f>"5855"</f>
        <v>5855</v>
      </c>
      <c r="F1495" s="1" t="str">
        <f>"015345931"</f>
        <v>015345931</v>
      </c>
      <c r="G1495" s="1" t="s">
        <v>742</v>
      </c>
      <c r="H1495" s="1" t="s">
        <v>15</v>
      </c>
      <c r="I1495" s="1" t="str">
        <f>"15"</f>
        <v>15</v>
      </c>
      <c r="J1495" s="3" t="str">
        <f>"970"</f>
        <v>970</v>
      </c>
      <c r="K1495" s="4">
        <v>46057</v>
      </c>
      <c r="L1495" s="4">
        <v>46093</v>
      </c>
      <c r="M1495" s="1" t="s">
        <v>9052</v>
      </c>
      <c r="N1495" s="1" t="s">
        <v>9051</v>
      </c>
    </row>
    <row r="1496" spans="1:14" s="1" customFormat="1" x14ac:dyDescent="0.35">
      <c r="A1496" s="1" t="s">
        <v>4492</v>
      </c>
      <c r="B1496" s="1" t="s">
        <v>3356</v>
      </c>
      <c r="C1496" s="1" t="s">
        <v>9047</v>
      </c>
      <c r="D1496" s="1" t="s">
        <v>9050</v>
      </c>
      <c r="E1496" s="1" t="str">
        <f>"2330"</f>
        <v>2330</v>
      </c>
      <c r="F1496" s="1" t="str">
        <f>"010911714"</f>
        <v>010911714</v>
      </c>
      <c r="G1496" s="1" t="s">
        <v>3511</v>
      </c>
      <c r="H1496" s="1" t="s">
        <v>15</v>
      </c>
      <c r="I1496" s="1" t="str">
        <f>"1"</f>
        <v>1</v>
      </c>
      <c r="J1496" s="3" t="str">
        <f>"3918"</f>
        <v>3918</v>
      </c>
      <c r="K1496" s="4">
        <v>46076</v>
      </c>
      <c r="L1496" s="4">
        <v>46087</v>
      </c>
      <c r="M1496" s="1" t="s">
        <v>9049</v>
      </c>
      <c r="N1496" s="1" t="s">
        <v>9048</v>
      </c>
    </row>
    <row r="1497" spans="1:14" s="1" customFormat="1" x14ac:dyDescent="0.35">
      <c r="A1497" s="1" t="s">
        <v>4492</v>
      </c>
      <c r="B1497" s="1" t="s">
        <v>3356</v>
      </c>
      <c r="C1497" s="1" t="s">
        <v>9047</v>
      </c>
      <c r="D1497" s="1" t="s">
        <v>9046</v>
      </c>
      <c r="E1497" s="1" t="str">
        <f>"2420"</f>
        <v>2420</v>
      </c>
      <c r="F1497" s="1" t="str">
        <f>"010630254"</f>
        <v>010630254</v>
      </c>
      <c r="G1497" s="1" t="s">
        <v>183</v>
      </c>
      <c r="H1497" s="1" t="s">
        <v>15</v>
      </c>
      <c r="I1497" s="1" t="str">
        <f>"1"</f>
        <v>1</v>
      </c>
      <c r="J1497" s="3" t="str">
        <f>"140000"</f>
        <v>140000</v>
      </c>
      <c r="K1497" s="4">
        <v>46076</v>
      </c>
      <c r="L1497" s="4">
        <v>46087</v>
      </c>
      <c r="M1497" s="1" t="s">
        <v>9045</v>
      </c>
      <c r="N1497" s="1" t="s">
        <v>9044</v>
      </c>
    </row>
    <row r="1498" spans="1:14" s="1" customFormat="1" x14ac:dyDescent="0.35">
      <c r="A1498" s="1" t="s">
        <v>4492</v>
      </c>
      <c r="B1498" s="1" t="s">
        <v>2368</v>
      </c>
      <c r="C1498" s="1" t="s">
        <v>9043</v>
      </c>
      <c r="D1498" s="1" t="s">
        <v>9042</v>
      </c>
      <c r="E1498" s="1" t="str">
        <f>"2320"</f>
        <v>2320</v>
      </c>
      <c r="F1498" s="1" t="s">
        <v>1016</v>
      </c>
      <c r="G1498" s="1" t="s">
        <v>1017</v>
      </c>
      <c r="H1498" s="1" t="s">
        <v>15</v>
      </c>
      <c r="I1498" s="1" t="str">
        <f>"1"</f>
        <v>1</v>
      </c>
      <c r="J1498" s="3">
        <v>25765.1</v>
      </c>
      <c r="K1498" s="4">
        <v>46027</v>
      </c>
      <c r="L1498" s="4">
        <v>46039</v>
      </c>
      <c r="M1498" s="1" t="s">
        <v>9041</v>
      </c>
      <c r="N1498" s="1" t="s">
        <v>9040</v>
      </c>
    </row>
    <row r="1499" spans="1:14" s="1" customFormat="1" x14ac:dyDescent="0.35">
      <c r="A1499" s="1" t="s">
        <v>4492</v>
      </c>
      <c r="B1499" s="1" t="s">
        <v>73</v>
      </c>
      <c r="C1499" s="1" t="s">
        <v>9039</v>
      </c>
      <c r="D1499" s="1" t="s">
        <v>9038</v>
      </c>
      <c r="E1499" s="1" t="str">
        <f>"6117"</f>
        <v>6117</v>
      </c>
      <c r="F1499" s="1" t="str">
        <f>"016410930"</f>
        <v>016410930</v>
      </c>
      <c r="G1499" s="1" t="s">
        <v>9037</v>
      </c>
      <c r="H1499" s="1" t="s">
        <v>15</v>
      </c>
      <c r="I1499" s="1" t="str">
        <f>"4"</f>
        <v>4</v>
      </c>
      <c r="J1499" s="3">
        <v>10545.81</v>
      </c>
      <c r="K1499" s="4">
        <v>45898</v>
      </c>
      <c r="L1499" s="4">
        <v>46035</v>
      </c>
      <c r="M1499" s="1" t="s">
        <v>9036</v>
      </c>
      <c r="N1499" s="1" t="s">
        <v>9035</v>
      </c>
    </row>
    <row r="1500" spans="1:14" s="1" customFormat="1" x14ac:dyDescent="0.35">
      <c r="A1500" s="1" t="s">
        <v>4492</v>
      </c>
      <c r="B1500" s="1" t="s">
        <v>3822</v>
      </c>
      <c r="C1500" s="1" t="s">
        <v>9027</v>
      </c>
      <c r="D1500" s="1" t="s">
        <v>9034</v>
      </c>
      <c r="E1500" s="1" t="str">
        <f>"8115"</f>
        <v>8115</v>
      </c>
      <c r="F1500" s="1" t="str">
        <f>"001682275"</f>
        <v>001682275</v>
      </c>
      <c r="G1500" s="1" t="s">
        <v>431</v>
      </c>
      <c r="H1500" s="1" t="s">
        <v>15</v>
      </c>
      <c r="I1500" s="1" t="str">
        <f>"1"</f>
        <v>1</v>
      </c>
      <c r="J1500" s="3" t="str">
        <f>"1324"</f>
        <v>1324</v>
      </c>
      <c r="K1500" s="4">
        <v>46063</v>
      </c>
      <c r="L1500" s="4">
        <v>46065</v>
      </c>
      <c r="M1500" s="1" t="s">
        <v>9033</v>
      </c>
      <c r="N1500" s="1" t="s">
        <v>9028</v>
      </c>
    </row>
    <row r="1501" spans="1:14" s="1" customFormat="1" x14ac:dyDescent="0.35">
      <c r="A1501" s="1" t="s">
        <v>4492</v>
      </c>
      <c r="B1501" s="1" t="s">
        <v>3822</v>
      </c>
      <c r="C1501" s="1" t="s">
        <v>9027</v>
      </c>
      <c r="D1501" s="1" t="s">
        <v>9032</v>
      </c>
      <c r="E1501" s="1" t="str">
        <f>"8115"</f>
        <v>8115</v>
      </c>
      <c r="F1501" s="1" t="str">
        <f>"001682275"</f>
        <v>001682275</v>
      </c>
      <c r="G1501" s="1" t="s">
        <v>431</v>
      </c>
      <c r="H1501" s="1" t="s">
        <v>15</v>
      </c>
      <c r="I1501" s="1" t="str">
        <f>"1"</f>
        <v>1</v>
      </c>
      <c r="J1501" s="3" t="str">
        <f>"1324"</f>
        <v>1324</v>
      </c>
      <c r="K1501" s="4">
        <v>46063</v>
      </c>
      <c r="L1501" s="4">
        <v>46064</v>
      </c>
      <c r="M1501" s="1" t="s">
        <v>9031</v>
      </c>
      <c r="N1501" s="1" t="s">
        <v>9028</v>
      </c>
    </row>
    <row r="1502" spans="1:14" s="1" customFormat="1" x14ac:dyDescent="0.35">
      <c r="A1502" s="1" t="s">
        <v>4492</v>
      </c>
      <c r="B1502" s="1" t="s">
        <v>3822</v>
      </c>
      <c r="C1502" s="1" t="s">
        <v>9027</v>
      </c>
      <c r="D1502" s="1" t="s">
        <v>9030</v>
      </c>
      <c r="E1502" s="1" t="str">
        <f>"8115"</f>
        <v>8115</v>
      </c>
      <c r="F1502" s="1" t="str">
        <f>"001682275"</f>
        <v>001682275</v>
      </c>
      <c r="G1502" s="1" t="s">
        <v>431</v>
      </c>
      <c r="H1502" s="1" t="s">
        <v>15</v>
      </c>
      <c r="I1502" s="1" t="str">
        <f>"1"</f>
        <v>1</v>
      </c>
      <c r="J1502" s="3" t="str">
        <f>"1324"</f>
        <v>1324</v>
      </c>
      <c r="K1502" s="4">
        <v>46063</v>
      </c>
      <c r="L1502" s="4">
        <v>46065</v>
      </c>
      <c r="M1502" s="1" t="s">
        <v>9029</v>
      </c>
      <c r="N1502" s="1" t="s">
        <v>9028</v>
      </c>
    </row>
    <row r="1503" spans="1:14" s="1" customFormat="1" x14ac:dyDescent="0.35">
      <c r="A1503" s="1" t="s">
        <v>4492</v>
      </c>
      <c r="B1503" s="1" t="s">
        <v>3822</v>
      </c>
      <c r="C1503" s="1" t="s">
        <v>9027</v>
      </c>
      <c r="D1503" s="1" t="s">
        <v>9026</v>
      </c>
      <c r="E1503" s="1" t="str">
        <f>"6545"</f>
        <v>6545</v>
      </c>
      <c r="F1503" s="1" t="str">
        <f>"016899365"</f>
        <v>016899365</v>
      </c>
      <c r="G1503" s="1" t="s">
        <v>5556</v>
      </c>
      <c r="H1503" s="1" t="s">
        <v>168</v>
      </c>
      <c r="I1503" s="1" t="str">
        <f>"1"</f>
        <v>1</v>
      </c>
      <c r="J1503" s="3">
        <v>3729.93</v>
      </c>
      <c r="K1503" s="4">
        <v>46064</v>
      </c>
      <c r="L1503" s="4">
        <v>46086</v>
      </c>
      <c r="M1503" s="1" t="s">
        <v>9025</v>
      </c>
      <c r="N1503" s="1" t="s">
        <v>9024</v>
      </c>
    </row>
    <row r="1504" spans="1:14" s="1" customFormat="1" x14ac:dyDescent="0.35">
      <c r="A1504" s="1" t="s">
        <v>4492</v>
      </c>
      <c r="B1504" s="1" t="s">
        <v>1989</v>
      </c>
      <c r="C1504" s="1" t="s">
        <v>9020</v>
      </c>
      <c r="D1504" s="1" t="s">
        <v>9023</v>
      </c>
      <c r="E1504" s="1" t="str">
        <f>"8145"</f>
        <v>8145</v>
      </c>
      <c r="F1504" s="1" t="s">
        <v>2635</v>
      </c>
      <c r="G1504" s="1" t="s">
        <v>2636</v>
      </c>
      <c r="H1504" s="1" t="s">
        <v>15</v>
      </c>
      <c r="I1504" s="1" t="str">
        <f>"2"</f>
        <v>2</v>
      </c>
      <c r="J1504" s="3" t="str">
        <f>"100"</f>
        <v>100</v>
      </c>
      <c r="K1504" s="4">
        <v>46084</v>
      </c>
      <c r="L1504" s="4">
        <v>46085</v>
      </c>
      <c r="M1504" s="1" t="s">
        <v>4524</v>
      </c>
      <c r="N1504" s="1" t="s">
        <v>9022</v>
      </c>
    </row>
    <row r="1505" spans="1:14" s="1" customFormat="1" x14ac:dyDescent="0.35">
      <c r="A1505" s="1" t="s">
        <v>4492</v>
      </c>
      <c r="B1505" s="1" t="s">
        <v>1989</v>
      </c>
      <c r="C1505" s="1" t="s">
        <v>9020</v>
      </c>
      <c r="D1505" s="1" t="s">
        <v>9021</v>
      </c>
      <c r="E1505" s="1" t="str">
        <f>"8145"</f>
        <v>8145</v>
      </c>
      <c r="F1505" s="1" t="s">
        <v>2635</v>
      </c>
      <c r="G1505" s="1" t="s">
        <v>2636</v>
      </c>
      <c r="H1505" s="1" t="s">
        <v>15</v>
      </c>
      <c r="I1505" s="1" t="str">
        <f>"1"</f>
        <v>1</v>
      </c>
      <c r="J1505" s="3" t="str">
        <f>"8000"</f>
        <v>8000</v>
      </c>
      <c r="K1505" s="4">
        <v>46084</v>
      </c>
      <c r="L1505" s="4">
        <v>46085</v>
      </c>
      <c r="M1505" s="1" t="s">
        <v>4524</v>
      </c>
      <c r="N1505" s="1" t="s">
        <v>9018</v>
      </c>
    </row>
    <row r="1506" spans="1:14" s="1" customFormat="1" x14ac:dyDescent="0.35">
      <c r="A1506" s="1" t="s">
        <v>4492</v>
      </c>
      <c r="B1506" s="1" t="s">
        <v>1989</v>
      </c>
      <c r="C1506" s="1" t="s">
        <v>9020</v>
      </c>
      <c r="D1506" s="1" t="s">
        <v>9019</v>
      </c>
      <c r="E1506" s="1" t="str">
        <f>"8145"</f>
        <v>8145</v>
      </c>
      <c r="F1506" s="1" t="s">
        <v>2635</v>
      </c>
      <c r="G1506" s="1" t="s">
        <v>2636</v>
      </c>
      <c r="H1506" s="1" t="s">
        <v>15</v>
      </c>
      <c r="I1506" s="1" t="str">
        <f>"1"</f>
        <v>1</v>
      </c>
      <c r="J1506" s="3" t="str">
        <f>"8000"</f>
        <v>8000</v>
      </c>
      <c r="K1506" s="4">
        <v>46084</v>
      </c>
      <c r="L1506" s="4">
        <v>46085</v>
      </c>
      <c r="M1506" s="1" t="s">
        <v>4524</v>
      </c>
      <c r="N1506" s="1" t="s">
        <v>9018</v>
      </c>
    </row>
    <row r="1507" spans="1:14" s="1" customFormat="1" x14ac:dyDescent="0.35">
      <c r="A1507" s="1" t="s">
        <v>4492</v>
      </c>
      <c r="B1507" s="1" t="s">
        <v>435</v>
      </c>
      <c r="C1507" s="1" t="s">
        <v>9007</v>
      </c>
      <c r="D1507" s="1" t="s">
        <v>9017</v>
      </c>
      <c r="E1507" s="1" t="str">
        <f>"7035"</f>
        <v>7035</v>
      </c>
      <c r="F1507" s="1" t="s">
        <v>1207</v>
      </c>
      <c r="G1507" s="1" t="s">
        <v>1208</v>
      </c>
      <c r="H1507" s="1" t="s">
        <v>15</v>
      </c>
      <c r="I1507" s="1" t="str">
        <f>"20"</f>
        <v>20</v>
      </c>
      <c r="J1507" s="3" t="str">
        <f>"1300"</f>
        <v>1300</v>
      </c>
      <c r="K1507" s="4">
        <v>45973</v>
      </c>
      <c r="L1507" s="4">
        <v>46070</v>
      </c>
      <c r="M1507" s="1" t="s">
        <v>9016</v>
      </c>
      <c r="N1507" s="1" t="s">
        <v>9015</v>
      </c>
    </row>
    <row r="1508" spans="1:14" s="1" customFormat="1" x14ac:dyDescent="0.35">
      <c r="A1508" s="1" t="s">
        <v>4492</v>
      </c>
      <c r="B1508" s="1" t="s">
        <v>435</v>
      </c>
      <c r="C1508" s="1" t="s">
        <v>9007</v>
      </c>
      <c r="D1508" s="1" t="s">
        <v>9014</v>
      </c>
      <c r="E1508" s="1" t="str">
        <f>"7025"</f>
        <v>7025</v>
      </c>
      <c r="F1508" s="1" t="s">
        <v>9010</v>
      </c>
      <c r="G1508" s="1" t="s">
        <v>9009</v>
      </c>
      <c r="H1508" s="1" t="s">
        <v>15</v>
      </c>
      <c r="I1508" s="1" t="str">
        <f>"3"</f>
        <v>3</v>
      </c>
      <c r="J1508" s="3">
        <v>1603.75</v>
      </c>
      <c r="K1508" s="4">
        <v>45993</v>
      </c>
      <c r="L1508" s="4">
        <v>46036</v>
      </c>
      <c r="M1508" s="1" t="s">
        <v>9013</v>
      </c>
      <c r="N1508" s="1" t="s">
        <v>9012</v>
      </c>
    </row>
    <row r="1509" spans="1:14" s="1" customFormat="1" x14ac:dyDescent="0.35">
      <c r="A1509" s="1" t="s">
        <v>4492</v>
      </c>
      <c r="B1509" s="1" t="s">
        <v>435</v>
      </c>
      <c r="C1509" s="1" t="s">
        <v>9007</v>
      </c>
      <c r="D1509" s="1" t="s">
        <v>9011</v>
      </c>
      <c r="E1509" s="1" t="str">
        <f>"7025"</f>
        <v>7025</v>
      </c>
      <c r="F1509" s="1" t="s">
        <v>9010</v>
      </c>
      <c r="G1509" s="1" t="s">
        <v>9009</v>
      </c>
      <c r="H1509" s="1" t="s">
        <v>15</v>
      </c>
      <c r="I1509" s="1" t="str">
        <f>"1"</f>
        <v>1</v>
      </c>
      <c r="J1509" s="3">
        <v>8373.34</v>
      </c>
      <c r="K1509" s="4">
        <v>45993</v>
      </c>
      <c r="L1509" s="4">
        <v>46036</v>
      </c>
      <c r="M1509" s="1" t="s">
        <v>9008</v>
      </c>
      <c r="N1509" s="1" t="s">
        <v>9004</v>
      </c>
    </row>
    <row r="1510" spans="1:14" s="1" customFormat="1" x14ac:dyDescent="0.35">
      <c r="A1510" s="1" t="s">
        <v>4492</v>
      </c>
      <c r="B1510" s="1" t="s">
        <v>435</v>
      </c>
      <c r="C1510" s="1" t="s">
        <v>9007</v>
      </c>
      <c r="D1510" s="1" t="s">
        <v>9006</v>
      </c>
      <c r="E1510" s="1" t="str">
        <f>"7035"</f>
        <v>7035</v>
      </c>
      <c r="F1510" s="1" t="s">
        <v>1207</v>
      </c>
      <c r="G1510" s="1" t="s">
        <v>1208</v>
      </c>
      <c r="H1510" s="1" t="s">
        <v>15</v>
      </c>
      <c r="I1510" s="1" t="str">
        <f>"14"</f>
        <v>14</v>
      </c>
      <c r="J1510" s="3" t="str">
        <f>"100"</f>
        <v>100</v>
      </c>
      <c r="K1510" s="4">
        <v>45993</v>
      </c>
      <c r="L1510" s="4">
        <v>46027</v>
      </c>
      <c r="M1510" s="1" t="s">
        <v>9005</v>
      </c>
      <c r="N1510" s="1" t="s">
        <v>9004</v>
      </c>
    </row>
    <row r="1511" spans="1:14" s="1" customFormat="1" x14ac:dyDescent="0.35">
      <c r="A1511" s="1" t="s">
        <v>4492</v>
      </c>
      <c r="B1511" s="1" t="s">
        <v>73</v>
      </c>
      <c r="C1511" s="1" t="s">
        <v>9000</v>
      </c>
      <c r="D1511" s="1" t="s">
        <v>9003</v>
      </c>
      <c r="E1511" s="1" t="str">
        <f>"2310"</f>
        <v>2310</v>
      </c>
      <c r="F1511" s="1" t="str">
        <f>"014998019"</f>
        <v>014998019</v>
      </c>
      <c r="G1511" s="1" t="s">
        <v>4671</v>
      </c>
      <c r="H1511" s="1" t="s">
        <v>15</v>
      </c>
      <c r="I1511" s="1" t="str">
        <f>"1"</f>
        <v>1</v>
      </c>
      <c r="J1511" s="3" t="str">
        <f>"165000"</f>
        <v>165000</v>
      </c>
      <c r="K1511" s="4">
        <v>46079</v>
      </c>
      <c r="L1511" s="4">
        <v>46095</v>
      </c>
      <c r="M1511" s="1" t="s">
        <v>9002</v>
      </c>
      <c r="N1511" s="1" t="s">
        <v>9001</v>
      </c>
    </row>
    <row r="1512" spans="1:14" s="1" customFormat="1" x14ac:dyDescent="0.35">
      <c r="A1512" s="1" t="s">
        <v>4492</v>
      </c>
      <c r="B1512" s="1" t="s">
        <v>73</v>
      </c>
      <c r="C1512" s="1" t="s">
        <v>9000</v>
      </c>
      <c r="D1512" s="1" t="s">
        <v>8999</v>
      </c>
      <c r="E1512" s="1" t="str">
        <f>"2360"</f>
        <v>2360</v>
      </c>
      <c r="F1512" s="1" t="str">
        <f>"016631015"</f>
        <v>016631015</v>
      </c>
      <c r="G1512" s="1" t="s">
        <v>1275</v>
      </c>
      <c r="H1512" s="1" t="s">
        <v>15</v>
      </c>
      <c r="I1512" s="1" t="str">
        <f>"1"</f>
        <v>1</v>
      </c>
      <c r="J1512" s="3" t="str">
        <f>"126462"</f>
        <v>126462</v>
      </c>
      <c r="K1512" s="4">
        <v>46078</v>
      </c>
      <c r="L1512" s="4">
        <v>46088</v>
      </c>
      <c r="M1512" s="1" t="s">
        <v>8998</v>
      </c>
      <c r="N1512" s="1" t="s">
        <v>8997</v>
      </c>
    </row>
    <row r="1513" spans="1:14" s="1" customFormat="1" x14ac:dyDescent="0.35">
      <c r="A1513" s="1" t="s">
        <v>4492</v>
      </c>
      <c r="B1513" s="1" t="s">
        <v>3822</v>
      </c>
      <c r="C1513" s="1" t="s">
        <v>8996</v>
      </c>
      <c r="D1513" s="1" t="s">
        <v>8995</v>
      </c>
      <c r="E1513" s="1" t="str">
        <f>"2340"</f>
        <v>2340</v>
      </c>
      <c r="F1513" s="1" t="str">
        <f>"015746673"</f>
        <v>015746673</v>
      </c>
      <c r="G1513" s="1" t="s">
        <v>1926</v>
      </c>
      <c r="H1513" s="1" t="s">
        <v>15</v>
      </c>
      <c r="I1513" s="1" t="str">
        <f>"1"</f>
        <v>1</v>
      </c>
      <c r="J1513" s="3" t="str">
        <f>"11365"</f>
        <v>11365</v>
      </c>
      <c r="K1513" s="4">
        <v>46076</v>
      </c>
      <c r="L1513" s="4">
        <v>46088</v>
      </c>
      <c r="M1513" s="1" t="s">
        <v>8994</v>
      </c>
      <c r="N1513" s="1" t="s">
        <v>8993</v>
      </c>
    </row>
    <row r="1514" spans="1:14" s="1" customFormat="1" x14ac:dyDescent="0.35">
      <c r="A1514" s="1" t="s">
        <v>4492</v>
      </c>
      <c r="B1514" s="1" t="s">
        <v>3356</v>
      </c>
      <c r="C1514" s="1" t="s">
        <v>3509</v>
      </c>
      <c r="D1514" s="1" t="s">
        <v>8992</v>
      </c>
      <c r="E1514" s="1" t="str">
        <f>"2310"</f>
        <v>2310</v>
      </c>
      <c r="F1514" s="1" t="str">
        <f>"014998019"</f>
        <v>014998019</v>
      </c>
      <c r="G1514" s="1" t="s">
        <v>4671</v>
      </c>
      <c r="H1514" s="1" t="s">
        <v>15</v>
      </c>
      <c r="I1514" s="1" t="str">
        <f>"1"</f>
        <v>1</v>
      </c>
      <c r="J1514" s="3" t="str">
        <f>"165000"</f>
        <v>165000</v>
      </c>
      <c r="K1514" s="4">
        <v>46079</v>
      </c>
      <c r="L1514" s="4">
        <v>46095</v>
      </c>
      <c r="M1514" s="1" t="s">
        <v>8991</v>
      </c>
      <c r="N1514" s="1" t="s">
        <v>8990</v>
      </c>
    </row>
    <row r="1515" spans="1:14" s="1" customFormat="1" x14ac:dyDescent="0.35">
      <c r="A1515" s="1" t="s">
        <v>4492</v>
      </c>
      <c r="B1515" s="1" t="s">
        <v>3356</v>
      </c>
      <c r="C1515" s="1" t="s">
        <v>3509</v>
      </c>
      <c r="D1515" s="1" t="s">
        <v>8989</v>
      </c>
      <c r="E1515" s="1" t="str">
        <f>"3830"</f>
        <v>3830</v>
      </c>
      <c r="F1515" s="1" t="s">
        <v>1544</v>
      </c>
      <c r="G1515" s="1" t="s">
        <v>1545</v>
      </c>
      <c r="H1515" s="1" t="s">
        <v>15</v>
      </c>
      <c r="I1515" s="1" t="str">
        <f>"4"</f>
        <v>4</v>
      </c>
      <c r="J1515" s="3" t="str">
        <f>"500"</f>
        <v>500</v>
      </c>
      <c r="K1515" s="4">
        <v>46076</v>
      </c>
      <c r="L1515" s="4">
        <v>46077</v>
      </c>
      <c r="M1515" s="1" t="s">
        <v>4556</v>
      </c>
      <c r="N1515" s="1" t="s">
        <v>8988</v>
      </c>
    </row>
    <row r="1516" spans="1:14" s="1" customFormat="1" x14ac:dyDescent="0.35">
      <c r="A1516" s="1" t="s">
        <v>4492</v>
      </c>
      <c r="B1516" s="1" t="s">
        <v>3356</v>
      </c>
      <c r="C1516" s="1" t="s">
        <v>3509</v>
      </c>
      <c r="D1516" s="1" t="s">
        <v>8987</v>
      </c>
      <c r="E1516" s="1" t="str">
        <f>"3830"</f>
        <v>3830</v>
      </c>
      <c r="F1516" s="1" t="s">
        <v>1544</v>
      </c>
      <c r="G1516" s="1" t="s">
        <v>1545</v>
      </c>
      <c r="H1516" s="1" t="s">
        <v>15</v>
      </c>
      <c r="I1516" s="1" t="str">
        <f>"4"</f>
        <v>4</v>
      </c>
      <c r="J1516" s="3" t="str">
        <f>"500"</f>
        <v>500</v>
      </c>
      <c r="K1516" s="4">
        <v>46077</v>
      </c>
      <c r="L1516" s="4">
        <v>46093</v>
      </c>
      <c r="M1516" s="1" t="s">
        <v>8986</v>
      </c>
      <c r="N1516" s="1" t="s">
        <v>8985</v>
      </c>
    </row>
    <row r="1517" spans="1:14" s="1" customFormat="1" x14ac:dyDescent="0.35">
      <c r="A1517" s="1" t="s">
        <v>4492</v>
      </c>
      <c r="B1517" s="1" t="s">
        <v>3356</v>
      </c>
      <c r="C1517" s="1" t="s">
        <v>3509</v>
      </c>
      <c r="D1517" s="1" t="s">
        <v>8984</v>
      </c>
      <c r="E1517" s="1" t="str">
        <f>"2330"</f>
        <v>2330</v>
      </c>
      <c r="F1517" s="1" t="str">
        <f>"010911710"</f>
        <v>010911710</v>
      </c>
      <c r="G1517" s="1" t="s">
        <v>3511</v>
      </c>
      <c r="H1517" s="1" t="s">
        <v>15</v>
      </c>
      <c r="I1517" s="1" t="str">
        <f>"1"</f>
        <v>1</v>
      </c>
      <c r="J1517" s="3" t="str">
        <f>"4200"</f>
        <v>4200</v>
      </c>
      <c r="K1517" s="4">
        <v>46082</v>
      </c>
      <c r="L1517" s="4">
        <v>46095</v>
      </c>
      <c r="M1517" s="1" t="s">
        <v>8983</v>
      </c>
      <c r="N1517" s="1" t="s">
        <v>8982</v>
      </c>
    </row>
    <row r="1518" spans="1:14" s="1" customFormat="1" x14ac:dyDescent="0.35">
      <c r="A1518" s="1" t="s">
        <v>4492</v>
      </c>
      <c r="B1518" s="1" t="s">
        <v>3356</v>
      </c>
      <c r="C1518" s="1" t="s">
        <v>3509</v>
      </c>
      <c r="D1518" s="1" t="s">
        <v>8981</v>
      </c>
      <c r="E1518" s="1" t="str">
        <f>"2330"</f>
        <v>2330</v>
      </c>
      <c r="F1518" s="1" t="s">
        <v>104</v>
      </c>
      <c r="G1518" s="1" t="s">
        <v>105</v>
      </c>
      <c r="H1518" s="1" t="s">
        <v>15</v>
      </c>
      <c r="I1518" s="1" t="str">
        <f>"1"</f>
        <v>1</v>
      </c>
      <c r="J1518" s="3">
        <v>62760.99</v>
      </c>
      <c r="K1518" s="4">
        <v>46083</v>
      </c>
      <c r="L1518" s="4">
        <v>46087</v>
      </c>
      <c r="M1518" s="1" t="s">
        <v>8980</v>
      </c>
      <c r="N1518" s="1" t="s">
        <v>8979</v>
      </c>
    </row>
    <row r="1519" spans="1:14" s="1" customFormat="1" x14ac:dyDescent="0.35">
      <c r="A1519" s="1" t="s">
        <v>4492</v>
      </c>
      <c r="B1519" s="1" t="s">
        <v>3356</v>
      </c>
      <c r="C1519" s="1" t="s">
        <v>3509</v>
      </c>
      <c r="D1519" s="1" t="s">
        <v>8978</v>
      </c>
      <c r="E1519" s="1" t="str">
        <f>"2320"</f>
        <v>2320</v>
      </c>
      <c r="F1519" s="1" t="s">
        <v>100</v>
      </c>
      <c r="G1519" s="1" t="s">
        <v>101</v>
      </c>
      <c r="H1519" s="1" t="s">
        <v>15</v>
      </c>
      <c r="I1519" s="1" t="str">
        <f>"1"</f>
        <v>1</v>
      </c>
      <c r="J1519" s="3" t="str">
        <f>"80000"</f>
        <v>80000</v>
      </c>
      <c r="K1519" s="4">
        <v>46083</v>
      </c>
      <c r="L1519" s="4">
        <v>46095</v>
      </c>
      <c r="M1519" s="1" t="s">
        <v>8977</v>
      </c>
      <c r="N1519" s="1" t="s">
        <v>8976</v>
      </c>
    </row>
    <row r="1520" spans="1:14" s="1" customFormat="1" x14ac:dyDescent="0.35">
      <c r="A1520" s="1" t="s">
        <v>4492</v>
      </c>
      <c r="B1520" s="1" t="s">
        <v>3356</v>
      </c>
      <c r="C1520" s="1" t="s">
        <v>3509</v>
      </c>
      <c r="D1520" s="1" t="s">
        <v>8975</v>
      </c>
      <c r="E1520" s="1" t="str">
        <f>"2330"</f>
        <v>2330</v>
      </c>
      <c r="F1520" s="1" t="s">
        <v>104</v>
      </c>
      <c r="G1520" s="1" t="s">
        <v>105</v>
      </c>
      <c r="H1520" s="1" t="s">
        <v>15</v>
      </c>
      <c r="I1520" s="1" t="str">
        <f>"1"</f>
        <v>1</v>
      </c>
      <c r="J1520" s="3" t="str">
        <f>"45080"</f>
        <v>45080</v>
      </c>
      <c r="K1520" s="4">
        <v>46087</v>
      </c>
      <c r="L1520" s="4">
        <v>46095</v>
      </c>
      <c r="M1520" s="1" t="s">
        <v>8974</v>
      </c>
      <c r="N1520" s="1" t="s">
        <v>8973</v>
      </c>
    </row>
    <row r="1521" spans="1:14" s="1" customFormat="1" x14ac:dyDescent="0.35">
      <c r="A1521" s="1" t="s">
        <v>4492</v>
      </c>
      <c r="B1521" s="1" t="s">
        <v>73</v>
      </c>
      <c r="C1521" s="1" t="s">
        <v>8968</v>
      </c>
      <c r="D1521" s="1" t="s">
        <v>8972</v>
      </c>
      <c r="E1521" s="1" t="str">
        <f>"5855"</f>
        <v>5855</v>
      </c>
      <c r="F1521" s="1" t="str">
        <f>"015137561"</f>
        <v>015137561</v>
      </c>
      <c r="G1521" s="1" t="s">
        <v>4264</v>
      </c>
      <c r="H1521" s="1" t="s">
        <v>15</v>
      </c>
      <c r="I1521" s="1" t="str">
        <f>"1"</f>
        <v>1</v>
      </c>
      <c r="J1521" s="3">
        <v>3309.75</v>
      </c>
      <c r="K1521" s="4">
        <v>46084</v>
      </c>
      <c r="L1521" s="4">
        <v>46089</v>
      </c>
      <c r="M1521" s="1" t="s">
        <v>4524</v>
      </c>
      <c r="N1521" s="1" t="s">
        <v>8969</v>
      </c>
    </row>
    <row r="1522" spans="1:14" s="1" customFormat="1" x14ac:dyDescent="0.35">
      <c r="A1522" s="1" t="s">
        <v>4492</v>
      </c>
      <c r="B1522" s="1" t="s">
        <v>73</v>
      </c>
      <c r="C1522" s="1" t="s">
        <v>8968</v>
      </c>
      <c r="D1522" s="1" t="s">
        <v>8971</v>
      </c>
      <c r="E1522" s="1" t="str">
        <f>"5855"</f>
        <v>5855</v>
      </c>
      <c r="F1522" s="1" t="str">
        <f>"015137561"</f>
        <v>015137561</v>
      </c>
      <c r="G1522" s="1" t="s">
        <v>4264</v>
      </c>
      <c r="H1522" s="1" t="s">
        <v>15</v>
      </c>
      <c r="I1522" s="1" t="str">
        <f>"1"</f>
        <v>1</v>
      </c>
      <c r="J1522" s="3">
        <v>3309.75</v>
      </c>
      <c r="K1522" s="4">
        <v>46084</v>
      </c>
      <c r="L1522" s="4">
        <v>46089</v>
      </c>
      <c r="M1522" s="1" t="s">
        <v>4524</v>
      </c>
      <c r="N1522" s="1" t="s">
        <v>8969</v>
      </c>
    </row>
    <row r="1523" spans="1:14" s="1" customFormat="1" x14ac:dyDescent="0.35">
      <c r="A1523" s="1" t="s">
        <v>4492</v>
      </c>
      <c r="B1523" s="1" t="s">
        <v>73</v>
      </c>
      <c r="C1523" s="1" t="s">
        <v>8968</v>
      </c>
      <c r="D1523" s="1" t="s">
        <v>8970</v>
      </c>
      <c r="E1523" s="1" t="str">
        <f>"5855"</f>
        <v>5855</v>
      </c>
      <c r="F1523" s="1" t="str">
        <f>"015137561"</f>
        <v>015137561</v>
      </c>
      <c r="G1523" s="1" t="s">
        <v>4264</v>
      </c>
      <c r="H1523" s="1" t="s">
        <v>15</v>
      </c>
      <c r="I1523" s="1" t="str">
        <f>"1"</f>
        <v>1</v>
      </c>
      <c r="J1523" s="3">
        <v>3309.75</v>
      </c>
      <c r="K1523" s="4">
        <v>46084</v>
      </c>
      <c r="L1523" s="4">
        <v>46089</v>
      </c>
      <c r="M1523" s="1" t="s">
        <v>4524</v>
      </c>
      <c r="N1523" s="1" t="s">
        <v>8969</v>
      </c>
    </row>
    <row r="1524" spans="1:14" s="1" customFormat="1" x14ac:dyDescent="0.35">
      <c r="A1524" s="1" t="s">
        <v>4492</v>
      </c>
      <c r="B1524" s="1" t="s">
        <v>73</v>
      </c>
      <c r="C1524" s="1" t="s">
        <v>8968</v>
      </c>
      <c r="D1524" s="1" t="s">
        <v>8967</v>
      </c>
      <c r="E1524" s="1" t="str">
        <f>"2320"</f>
        <v>2320</v>
      </c>
      <c r="F1524" s="1" t="s">
        <v>100</v>
      </c>
      <c r="G1524" s="1" t="s">
        <v>101</v>
      </c>
      <c r="H1524" s="1" t="s">
        <v>15</v>
      </c>
      <c r="I1524" s="1" t="str">
        <f>"1"</f>
        <v>1</v>
      </c>
      <c r="J1524" s="3" t="str">
        <f>"33000"</f>
        <v>33000</v>
      </c>
      <c r="K1524" s="4">
        <v>46084</v>
      </c>
      <c r="L1524" s="4">
        <v>46095</v>
      </c>
      <c r="M1524" s="1" t="s">
        <v>4524</v>
      </c>
      <c r="N1524" s="1" t="s">
        <v>8966</v>
      </c>
    </row>
    <row r="1525" spans="1:14" s="1" customFormat="1" x14ac:dyDescent="0.35">
      <c r="A1525" s="1" t="s">
        <v>4492</v>
      </c>
      <c r="B1525" s="1" t="s">
        <v>3268</v>
      </c>
      <c r="C1525" s="1" t="s">
        <v>8963</v>
      </c>
      <c r="D1525" s="1" t="s">
        <v>8965</v>
      </c>
      <c r="E1525" s="1" t="str">
        <f>"3930"</f>
        <v>3930</v>
      </c>
      <c r="F1525" s="1" t="str">
        <f>"014172886"</f>
        <v>014172886</v>
      </c>
      <c r="G1525" s="1" t="s">
        <v>124</v>
      </c>
      <c r="H1525" s="1" t="s">
        <v>15</v>
      </c>
      <c r="I1525" s="1" t="str">
        <f>"1"</f>
        <v>1</v>
      </c>
      <c r="J1525" s="3" t="str">
        <f>"100199"</f>
        <v>100199</v>
      </c>
      <c r="K1525" s="4">
        <v>46027</v>
      </c>
      <c r="L1525" s="4">
        <v>46039</v>
      </c>
      <c r="M1525" s="1" t="s">
        <v>4524</v>
      </c>
      <c r="N1525" s="1" t="s">
        <v>8964</v>
      </c>
    </row>
    <row r="1526" spans="1:14" s="1" customFormat="1" x14ac:dyDescent="0.35">
      <c r="A1526" s="1" t="s">
        <v>4492</v>
      </c>
      <c r="B1526" s="1" t="s">
        <v>3268</v>
      </c>
      <c r="C1526" s="1" t="s">
        <v>8963</v>
      </c>
      <c r="D1526" s="1" t="s">
        <v>8962</v>
      </c>
      <c r="E1526" s="1" t="str">
        <f>"2340"</f>
        <v>2340</v>
      </c>
      <c r="F1526" s="1" t="s">
        <v>354</v>
      </c>
      <c r="G1526" s="1" t="s">
        <v>355</v>
      </c>
      <c r="H1526" s="1" t="s">
        <v>15</v>
      </c>
      <c r="I1526" s="1" t="str">
        <f>"1"</f>
        <v>1</v>
      </c>
      <c r="J1526" s="3" t="str">
        <f>"4000"</f>
        <v>4000</v>
      </c>
      <c r="K1526" s="4">
        <v>46063</v>
      </c>
      <c r="L1526" s="4">
        <v>46063</v>
      </c>
      <c r="M1526" s="1" t="s">
        <v>4524</v>
      </c>
      <c r="N1526" s="1" t="s">
        <v>8961</v>
      </c>
    </row>
    <row r="1527" spans="1:14" s="1" customFormat="1" x14ac:dyDescent="0.35">
      <c r="A1527" s="1" t="s">
        <v>4492</v>
      </c>
      <c r="B1527" s="1" t="s">
        <v>692</v>
      </c>
      <c r="C1527" s="1" t="s">
        <v>8960</v>
      </c>
      <c r="D1527" s="1" t="s">
        <v>8959</v>
      </c>
      <c r="E1527" s="1" t="str">
        <f>"5855"</f>
        <v>5855</v>
      </c>
      <c r="F1527" s="1" t="str">
        <f>"016943200"</f>
        <v>016943200</v>
      </c>
      <c r="G1527" s="1" t="s">
        <v>5814</v>
      </c>
      <c r="H1527" s="1" t="s">
        <v>15</v>
      </c>
      <c r="I1527" s="1" t="str">
        <f>"6"</f>
        <v>6</v>
      </c>
      <c r="J1527" s="3" t="str">
        <f>"35000"</f>
        <v>35000</v>
      </c>
      <c r="K1527" s="4">
        <v>46095</v>
      </c>
      <c r="L1527" s="4">
        <v>46103</v>
      </c>
      <c r="M1527" s="1" t="s">
        <v>8958</v>
      </c>
      <c r="N1527" s="1" t="s">
        <v>8957</v>
      </c>
    </row>
    <row r="1528" spans="1:14" s="1" customFormat="1" x14ac:dyDescent="0.35">
      <c r="A1528" s="1" t="s">
        <v>4492</v>
      </c>
      <c r="B1528" s="1" t="s">
        <v>3822</v>
      </c>
      <c r="C1528" s="1" t="s">
        <v>4093</v>
      </c>
      <c r="D1528" s="1" t="s">
        <v>8956</v>
      </c>
      <c r="E1528" s="1" t="str">
        <f>"6115"</f>
        <v>6115</v>
      </c>
      <c r="F1528" s="1" t="str">
        <f>"017240888"</f>
        <v>017240888</v>
      </c>
      <c r="G1528" s="1" t="s">
        <v>4013</v>
      </c>
      <c r="H1528" s="1" t="s">
        <v>15</v>
      </c>
      <c r="I1528" s="1" t="str">
        <f>"3"</f>
        <v>3</v>
      </c>
      <c r="J1528" s="3">
        <v>12089.42</v>
      </c>
      <c r="K1528" s="4">
        <v>46020</v>
      </c>
      <c r="L1528" s="4">
        <v>46025</v>
      </c>
      <c r="M1528" s="1" t="s">
        <v>8955</v>
      </c>
      <c r="N1528" s="1" t="s">
        <v>8954</v>
      </c>
    </row>
    <row r="1529" spans="1:14" s="1" customFormat="1" x14ac:dyDescent="0.35">
      <c r="A1529" s="1" t="s">
        <v>4492</v>
      </c>
      <c r="B1529" s="1" t="s">
        <v>3822</v>
      </c>
      <c r="C1529" s="1" t="s">
        <v>4093</v>
      </c>
      <c r="D1529" s="1" t="s">
        <v>8953</v>
      </c>
      <c r="E1529" s="1" t="str">
        <f>"6685"</f>
        <v>6685</v>
      </c>
      <c r="F1529" s="1" t="str">
        <f>"014257336"</f>
        <v>014257336</v>
      </c>
      <c r="G1529" s="1" t="s">
        <v>4121</v>
      </c>
      <c r="H1529" s="1" t="s">
        <v>15</v>
      </c>
      <c r="I1529" s="1" t="str">
        <f>"4"</f>
        <v>4</v>
      </c>
      <c r="J1529" s="3">
        <v>83.7</v>
      </c>
      <c r="K1529" s="4">
        <v>46013</v>
      </c>
      <c r="L1529" s="4">
        <v>46030</v>
      </c>
      <c r="M1529" s="1" t="s">
        <v>8952</v>
      </c>
      <c r="N1529" s="1" t="s">
        <v>8951</v>
      </c>
    </row>
    <row r="1530" spans="1:14" s="1" customFormat="1" x14ac:dyDescent="0.35">
      <c r="A1530" s="1" t="s">
        <v>4492</v>
      </c>
      <c r="B1530" s="1" t="s">
        <v>3822</v>
      </c>
      <c r="C1530" s="1" t="s">
        <v>4093</v>
      </c>
      <c r="D1530" s="1" t="s">
        <v>8950</v>
      </c>
      <c r="E1530" s="1" t="str">
        <f>"3439"</f>
        <v>3439</v>
      </c>
      <c r="F1530" s="1" t="str">
        <f>"014875079"</f>
        <v>014875079</v>
      </c>
      <c r="G1530" s="1" t="s">
        <v>8949</v>
      </c>
      <c r="H1530" s="1" t="s">
        <v>15</v>
      </c>
      <c r="I1530" s="1" t="str">
        <f>"4"</f>
        <v>4</v>
      </c>
      <c r="J1530" s="3">
        <v>36.18</v>
      </c>
      <c r="K1530" s="4">
        <v>46042</v>
      </c>
      <c r="L1530" s="4">
        <v>46051</v>
      </c>
      <c r="M1530" s="1" t="s">
        <v>8948</v>
      </c>
      <c r="N1530" s="1" t="s">
        <v>8947</v>
      </c>
    </row>
    <row r="1531" spans="1:14" s="1" customFormat="1" x14ac:dyDescent="0.35">
      <c r="A1531" s="1" t="s">
        <v>4492</v>
      </c>
      <c r="B1531" s="1" t="s">
        <v>3822</v>
      </c>
      <c r="C1531" s="1" t="s">
        <v>4093</v>
      </c>
      <c r="D1531" s="1" t="s">
        <v>8946</v>
      </c>
      <c r="E1531" s="1" t="str">
        <f>"4940"</f>
        <v>4940</v>
      </c>
      <c r="F1531" s="1" t="str">
        <f>"014573482"</f>
        <v>014573482</v>
      </c>
      <c r="G1531" s="1" t="s">
        <v>8945</v>
      </c>
      <c r="H1531" s="1" t="s">
        <v>15</v>
      </c>
      <c r="I1531" s="1" t="str">
        <f>"3"</f>
        <v>3</v>
      </c>
      <c r="J1531" s="3">
        <v>2007.41</v>
      </c>
      <c r="K1531" s="4">
        <v>46042</v>
      </c>
      <c r="L1531" s="4">
        <v>46108</v>
      </c>
      <c r="M1531" s="1" t="s">
        <v>8944</v>
      </c>
      <c r="N1531" s="1" t="s">
        <v>8943</v>
      </c>
    </row>
    <row r="1532" spans="1:14" s="1" customFormat="1" x14ac:dyDescent="0.35">
      <c r="A1532" s="1" t="s">
        <v>4492</v>
      </c>
      <c r="B1532" s="1" t="s">
        <v>3822</v>
      </c>
      <c r="C1532" s="1" t="s">
        <v>4093</v>
      </c>
      <c r="D1532" s="1" t="s">
        <v>8942</v>
      </c>
      <c r="E1532" s="1" t="str">
        <f>"5120"</f>
        <v>5120</v>
      </c>
      <c r="F1532" s="1" t="s">
        <v>3859</v>
      </c>
      <c r="G1532" s="1" t="s">
        <v>3860</v>
      </c>
      <c r="H1532" s="1" t="s">
        <v>15</v>
      </c>
      <c r="I1532" s="1" t="str">
        <f>"5"</f>
        <v>5</v>
      </c>
      <c r="J1532" s="3">
        <v>131.85</v>
      </c>
      <c r="K1532" s="4">
        <v>46042</v>
      </c>
      <c r="L1532" s="4">
        <v>46092</v>
      </c>
      <c r="M1532" s="1" t="s">
        <v>8941</v>
      </c>
      <c r="N1532" s="1" t="s">
        <v>8940</v>
      </c>
    </row>
    <row r="1533" spans="1:14" s="1" customFormat="1" x14ac:dyDescent="0.35">
      <c r="A1533" s="1" t="s">
        <v>4492</v>
      </c>
      <c r="B1533" s="1" t="s">
        <v>3822</v>
      </c>
      <c r="C1533" s="1" t="s">
        <v>4093</v>
      </c>
      <c r="D1533" s="1" t="s">
        <v>8939</v>
      </c>
      <c r="E1533" s="1" t="str">
        <f>"2540"</f>
        <v>2540</v>
      </c>
      <c r="F1533" s="1" t="str">
        <f>"010853588"</f>
        <v>010853588</v>
      </c>
      <c r="G1533" s="1" t="s">
        <v>8938</v>
      </c>
      <c r="H1533" s="1" t="s">
        <v>15</v>
      </c>
      <c r="I1533" s="1" t="str">
        <f>"1"</f>
        <v>1</v>
      </c>
      <c r="J1533" s="3">
        <v>459.54</v>
      </c>
      <c r="K1533" s="4">
        <v>46050</v>
      </c>
      <c r="L1533" s="4">
        <v>46071</v>
      </c>
      <c r="M1533" s="1" t="s">
        <v>8937</v>
      </c>
      <c r="N1533" s="1" t="s">
        <v>8936</v>
      </c>
    </row>
    <row r="1534" spans="1:14" s="1" customFormat="1" x14ac:dyDescent="0.35">
      <c r="A1534" s="1" t="s">
        <v>4492</v>
      </c>
      <c r="B1534" s="1" t="s">
        <v>3822</v>
      </c>
      <c r="C1534" s="1" t="s">
        <v>4093</v>
      </c>
      <c r="D1534" s="1" t="s">
        <v>8935</v>
      </c>
      <c r="E1534" s="1" t="str">
        <f>"8105"</f>
        <v>8105</v>
      </c>
      <c r="F1534" s="1" t="s">
        <v>2565</v>
      </c>
      <c r="G1534" s="1" t="s">
        <v>2566</v>
      </c>
      <c r="H1534" s="1" t="s">
        <v>15</v>
      </c>
      <c r="I1534" s="1" t="str">
        <f>"106"</f>
        <v>106</v>
      </c>
      <c r="J1534" s="3" t="str">
        <f>"50"</f>
        <v>50</v>
      </c>
      <c r="K1534" s="4">
        <v>46080</v>
      </c>
      <c r="L1534" s="4">
        <v>46087</v>
      </c>
      <c r="M1534" s="1" t="s">
        <v>8934</v>
      </c>
      <c r="N1534" s="1" t="s">
        <v>8933</v>
      </c>
    </row>
    <row r="1535" spans="1:14" s="1" customFormat="1" x14ac:dyDescent="0.35">
      <c r="A1535" s="1" t="s">
        <v>4492</v>
      </c>
      <c r="B1535" s="1" t="s">
        <v>3822</v>
      </c>
      <c r="C1535" s="1" t="s">
        <v>4093</v>
      </c>
      <c r="D1535" s="1" t="s">
        <v>8932</v>
      </c>
      <c r="E1535" s="1" t="str">
        <f>"2310"</f>
        <v>2310</v>
      </c>
      <c r="F1535" s="1" t="str">
        <f>"016544105"</f>
        <v>016544105</v>
      </c>
      <c r="G1535" s="1" t="s">
        <v>232</v>
      </c>
      <c r="H1535" s="1" t="s">
        <v>15</v>
      </c>
      <c r="I1535" s="1" t="str">
        <f>"1"</f>
        <v>1</v>
      </c>
      <c r="J1535" s="3">
        <v>31905.14</v>
      </c>
      <c r="K1535" s="4">
        <v>46083</v>
      </c>
      <c r="L1535" s="4">
        <v>46087</v>
      </c>
      <c r="M1535" s="1" t="s">
        <v>8931</v>
      </c>
      <c r="N1535" s="1" t="s">
        <v>8928</v>
      </c>
    </row>
    <row r="1536" spans="1:14" s="1" customFormat="1" x14ac:dyDescent="0.35">
      <c r="A1536" s="1" t="s">
        <v>4492</v>
      </c>
      <c r="B1536" s="1" t="s">
        <v>3822</v>
      </c>
      <c r="C1536" s="1" t="s">
        <v>4093</v>
      </c>
      <c r="D1536" s="1" t="s">
        <v>8930</v>
      </c>
      <c r="E1536" s="1" t="str">
        <f>"2310"</f>
        <v>2310</v>
      </c>
      <c r="F1536" s="1" t="str">
        <f>"016544105"</f>
        <v>016544105</v>
      </c>
      <c r="G1536" s="1" t="s">
        <v>232</v>
      </c>
      <c r="H1536" s="1" t="s">
        <v>15</v>
      </c>
      <c r="I1536" s="1" t="str">
        <f>"1"</f>
        <v>1</v>
      </c>
      <c r="J1536" s="3">
        <v>31905.14</v>
      </c>
      <c r="K1536" s="4">
        <v>46083</v>
      </c>
      <c r="L1536" s="4">
        <v>46087</v>
      </c>
      <c r="M1536" s="1" t="s">
        <v>8929</v>
      </c>
      <c r="N1536" s="1" t="s">
        <v>8928</v>
      </c>
    </row>
    <row r="1537" spans="1:14" s="1" customFormat="1" x14ac:dyDescent="0.35">
      <c r="A1537" s="1" t="s">
        <v>4492</v>
      </c>
      <c r="B1537" s="1" t="s">
        <v>3822</v>
      </c>
      <c r="C1537" s="1" t="s">
        <v>4093</v>
      </c>
      <c r="D1537" s="1" t="s">
        <v>8927</v>
      </c>
      <c r="E1537" s="1" t="str">
        <f>"5180"</f>
        <v>5180</v>
      </c>
      <c r="F1537" s="1" t="str">
        <f>"005961474"</f>
        <v>005961474</v>
      </c>
      <c r="G1537" s="1" t="s">
        <v>1143</v>
      </c>
      <c r="H1537" s="1" t="s">
        <v>168</v>
      </c>
      <c r="I1537" s="1" t="str">
        <f>"1"</f>
        <v>1</v>
      </c>
      <c r="J1537" s="3" t="str">
        <f>"5688"</f>
        <v>5688</v>
      </c>
      <c r="K1537" s="4">
        <v>46085</v>
      </c>
      <c r="L1537" s="4">
        <v>46106</v>
      </c>
      <c r="M1537" s="1" t="s">
        <v>8926</v>
      </c>
      <c r="N1537" s="1" t="s">
        <v>8925</v>
      </c>
    </row>
    <row r="1538" spans="1:14" s="1" customFormat="1" x14ac:dyDescent="0.35">
      <c r="A1538" s="1" t="s">
        <v>4492</v>
      </c>
      <c r="B1538" s="1" t="s">
        <v>3822</v>
      </c>
      <c r="C1538" s="1" t="s">
        <v>4093</v>
      </c>
      <c r="D1538" s="1" t="s">
        <v>8924</v>
      </c>
      <c r="E1538" s="1" t="str">
        <f>"5120"</f>
        <v>5120</v>
      </c>
      <c r="F1538" s="1" t="s">
        <v>2085</v>
      </c>
      <c r="G1538" s="1" t="s">
        <v>2086</v>
      </c>
      <c r="H1538" s="1" t="s">
        <v>15</v>
      </c>
      <c r="I1538" s="1" t="str">
        <f>"4"</f>
        <v>4</v>
      </c>
      <c r="J1538" s="3">
        <v>497.76</v>
      </c>
      <c r="K1538" s="4">
        <v>46094</v>
      </c>
      <c r="L1538" s="4">
        <v>46099</v>
      </c>
      <c r="M1538" s="1" t="s">
        <v>8923</v>
      </c>
      <c r="N1538" s="1" t="s">
        <v>8922</v>
      </c>
    </row>
    <row r="1539" spans="1:14" s="1" customFormat="1" x14ac:dyDescent="0.35">
      <c r="A1539" s="1" t="s">
        <v>4492</v>
      </c>
      <c r="B1539" s="1" t="s">
        <v>1975</v>
      </c>
      <c r="C1539" s="1" t="s">
        <v>1976</v>
      </c>
      <c r="D1539" s="1" t="s">
        <v>8921</v>
      </c>
      <c r="E1539" s="1" t="str">
        <f>"5985"</f>
        <v>5985</v>
      </c>
      <c r="F1539" s="1" t="str">
        <f>"015905551"</f>
        <v>015905551</v>
      </c>
      <c r="G1539" s="1" t="s">
        <v>8920</v>
      </c>
      <c r="H1539" s="1" t="s">
        <v>15</v>
      </c>
      <c r="I1539" s="1" t="str">
        <f>"1"</f>
        <v>1</v>
      </c>
      <c r="J1539" s="3" t="str">
        <f>"54089"</f>
        <v>54089</v>
      </c>
      <c r="K1539" s="4">
        <v>46090</v>
      </c>
      <c r="L1539" s="4">
        <v>46091</v>
      </c>
      <c r="M1539" s="1" t="s">
        <v>4524</v>
      </c>
      <c r="N1539" s="1" t="s">
        <v>8919</v>
      </c>
    </row>
    <row r="1540" spans="1:14" s="1" customFormat="1" x14ac:dyDescent="0.35">
      <c r="A1540" s="1" t="s">
        <v>4492</v>
      </c>
      <c r="B1540" s="1" t="s">
        <v>1975</v>
      </c>
      <c r="C1540" s="1" t="s">
        <v>1976</v>
      </c>
      <c r="D1540" s="1" t="s">
        <v>8918</v>
      </c>
      <c r="E1540" s="1" t="str">
        <f>"5985"</f>
        <v>5985</v>
      </c>
      <c r="F1540" s="1" t="str">
        <f>"015852699"</f>
        <v>015852699</v>
      </c>
      <c r="G1540" s="1" t="s">
        <v>8917</v>
      </c>
      <c r="H1540" s="1" t="s">
        <v>15</v>
      </c>
      <c r="I1540" s="1" t="str">
        <f>"1"</f>
        <v>1</v>
      </c>
      <c r="J1540" s="3">
        <v>99.08</v>
      </c>
      <c r="K1540" s="4">
        <v>46090</v>
      </c>
      <c r="L1540" s="4">
        <v>46103</v>
      </c>
      <c r="M1540" s="1" t="s">
        <v>8916</v>
      </c>
      <c r="N1540" s="1" t="s">
        <v>8915</v>
      </c>
    </row>
    <row r="1541" spans="1:14" s="1" customFormat="1" x14ac:dyDescent="0.35">
      <c r="A1541" s="1" t="s">
        <v>4492</v>
      </c>
      <c r="B1541" s="1" t="s">
        <v>1516</v>
      </c>
      <c r="C1541" s="1" t="s">
        <v>1520</v>
      </c>
      <c r="D1541" s="1" t="s">
        <v>8914</v>
      </c>
      <c r="E1541" s="1" t="str">
        <f>"7010"</f>
        <v>7010</v>
      </c>
      <c r="F1541" s="1" t="str">
        <f>"016936827"</f>
        <v>016936827</v>
      </c>
      <c r="G1541" s="1" t="s">
        <v>8913</v>
      </c>
      <c r="H1541" s="1" t="s">
        <v>15</v>
      </c>
      <c r="I1541" s="1" t="str">
        <f>"6"</f>
        <v>6</v>
      </c>
      <c r="J1541" s="3">
        <v>4059.53</v>
      </c>
      <c r="K1541" s="4">
        <v>46005</v>
      </c>
      <c r="L1541" s="4">
        <v>46035</v>
      </c>
      <c r="M1541" s="1" t="s">
        <v>8912</v>
      </c>
      <c r="N1541" s="1" t="s">
        <v>8911</v>
      </c>
    </row>
    <row r="1542" spans="1:14" s="1" customFormat="1" x14ac:dyDescent="0.35">
      <c r="A1542" s="1" t="s">
        <v>4492</v>
      </c>
      <c r="B1542" s="1" t="s">
        <v>1516</v>
      </c>
      <c r="C1542" s="1" t="s">
        <v>1520</v>
      </c>
      <c r="D1542" s="1" t="s">
        <v>8910</v>
      </c>
      <c r="E1542" s="1" t="str">
        <f>"3805"</f>
        <v>3805</v>
      </c>
      <c r="F1542" s="1" t="s">
        <v>1020</v>
      </c>
      <c r="G1542" s="1" t="s">
        <v>1021</v>
      </c>
      <c r="H1542" s="1" t="s">
        <v>15</v>
      </c>
      <c r="I1542" s="1" t="str">
        <f>"1"</f>
        <v>1</v>
      </c>
      <c r="J1542" s="3" t="str">
        <f>"7500"</f>
        <v>7500</v>
      </c>
      <c r="K1542" s="4">
        <v>46033</v>
      </c>
      <c r="L1542" s="4">
        <v>46086</v>
      </c>
      <c r="M1542" s="1" t="s">
        <v>8909</v>
      </c>
      <c r="N1542" s="1" t="s">
        <v>8908</v>
      </c>
    </row>
    <row r="1543" spans="1:14" s="1" customFormat="1" x14ac:dyDescent="0.35">
      <c r="A1543" s="1" t="s">
        <v>4492</v>
      </c>
      <c r="B1543" s="1" t="s">
        <v>1516</v>
      </c>
      <c r="C1543" s="1" t="s">
        <v>1520</v>
      </c>
      <c r="D1543" s="1" t="s">
        <v>8907</v>
      </c>
      <c r="E1543" s="1" t="str">
        <f>"2320"</f>
        <v>2320</v>
      </c>
      <c r="F1543" s="1" t="str">
        <f>"015016635"</f>
        <v>015016635</v>
      </c>
      <c r="G1543" s="1" t="s">
        <v>1765</v>
      </c>
      <c r="H1543" s="1" t="s">
        <v>15</v>
      </c>
      <c r="I1543" s="1" t="str">
        <f>"1"</f>
        <v>1</v>
      </c>
      <c r="J1543" s="3" t="str">
        <f>"45602"</f>
        <v>45602</v>
      </c>
      <c r="K1543" s="4">
        <v>46032</v>
      </c>
      <c r="L1543" s="4">
        <v>46035</v>
      </c>
      <c r="M1543" s="1" t="s">
        <v>8906</v>
      </c>
      <c r="N1543" s="1" t="s">
        <v>8905</v>
      </c>
    </row>
    <row r="1544" spans="1:14" s="1" customFormat="1" x14ac:dyDescent="0.35">
      <c r="A1544" s="1" t="s">
        <v>4492</v>
      </c>
      <c r="B1544" s="1" t="s">
        <v>1516</v>
      </c>
      <c r="C1544" s="1" t="s">
        <v>1520</v>
      </c>
      <c r="D1544" s="1" t="s">
        <v>8904</v>
      </c>
      <c r="E1544" s="1" t="str">
        <f>"5660"</f>
        <v>5660</v>
      </c>
      <c r="F1544" s="1" t="str">
        <f>"009215516"</f>
        <v>009215516</v>
      </c>
      <c r="G1544" s="1" t="s">
        <v>8903</v>
      </c>
      <c r="H1544" s="1" t="s">
        <v>62</v>
      </c>
      <c r="I1544" s="1" t="str">
        <f>"73"</f>
        <v>73</v>
      </c>
      <c r="J1544" s="3">
        <v>78.599999999999994</v>
      </c>
      <c r="K1544" s="4">
        <v>46037</v>
      </c>
      <c r="L1544" s="4">
        <v>46066</v>
      </c>
      <c r="M1544" s="1" t="s">
        <v>8902</v>
      </c>
      <c r="N1544" s="1" t="s">
        <v>8901</v>
      </c>
    </row>
    <row r="1545" spans="1:14" s="1" customFormat="1" x14ac:dyDescent="0.35">
      <c r="A1545" s="1" t="s">
        <v>4492</v>
      </c>
      <c r="B1545" s="1" t="s">
        <v>1516</v>
      </c>
      <c r="C1545" s="1" t="s">
        <v>1520</v>
      </c>
      <c r="D1545" s="1" t="s">
        <v>8900</v>
      </c>
      <c r="E1545" s="1" t="str">
        <f>"7830"</f>
        <v>7830</v>
      </c>
      <c r="F1545" s="1" t="s">
        <v>2008</v>
      </c>
      <c r="G1545" s="1" t="s">
        <v>2009</v>
      </c>
      <c r="H1545" s="1" t="s">
        <v>15</v>
      </c>
      <c r="I1545" s="1" t="str">
        <f>"2"</f>
        <v>2</v>
      </c>
      <c r="J1545" s="3" t="str">
        <f>"695"</f>
        <v>695</v>
      </c>
      <c r="K1545" s="4">
        <v>46037</v>
      </c>
      <c r="L1545" s="4">
        <v>46038</v>
      </c>
      <c r="M1545" s="1" t="s">
        <v>4524</v>
      </c>
      <c r="N1545" s="1" t="s">
        <v>8899</v>
      </c>
    </row>
    <row r="1546" spans="1:14" s="1" customFormat="1" x14ac:dyDescent="0.35">
      <c r="A1546" s="1" t="s">
        <v>4492</v>
      </c>
      <c r="B1546" s="1" t="s">
        <v>1516</v>
      </c>
      <c r="C1546" s="1" t="s">
        <v>1520</v>
      </c>
      <c r="D1546" s="1" t="s">
        <v>8898</v>
      </c>
      <c r="E1546" s="1" t="str">
        <f>"2320"</f>
        <v>2320</v>
      </c>
      <c r="F1546" s="1" t="s">
        <v>1016</v>
      </c>
      <c r="G1546" s="1" t="s">
        <v>1017</v>
      </c>
      <c r="H1546" s="1" t="s">
        <v>15</v>
      </c>
      <c r="I1546" s="1" t="str">
        <f>"1"</f>
        <v>1</v>
      </c>
      <c r="J1546" s="3">
        <v>25718.639999999999</v>
      </c>
      <c r="K1546" s="4">
        <v>46037</v>
      </c>
      <c r="L1546" s="4">
        <v>46046</v>
      </c>
      <c r="M1546" s="1" t="s">
        <v>8897</v>
      </c>
      <c r="N1546" s="1" t="s">
        <v>8896</v>
      </c>
    </row>
    <row r="1547" spans="1:14" s="1" customFormat="1" x14ac:dyDescent="0.35">
      <c r="A1547" s="1" t="s">
        <v>4492</v>
      </c>
      <c r="B1547" s="1" t="s">
        <v>1516</v>
      </c>
      <c r="C1547" s="1" t="s">
        <v>1520</v>
      </c>
      <c r="D1547" s="1" t="s">
        <v>8895</v>
      </c>
      <c r="E1547" s="1" t="str">
        <f>"8115"</f>
        <v>8115</v>
      </c>
      <c r="F1547" s="1" t="str">
        <f>"014747089"</f>
        <v>014747089</v>
      </c>
      <c r="G1547" s="1" t="s">
        <v>1116</v>
      </c>
      <c r="H1547" s="1" t="s">
        <v>15</v>
      </c>
      <c r="I1547" s="1" t="str">
        <f>"3"</f>
        <v>3</v>
      </c>
      <c r="J1547" s="3">
        <v>2945.84</v>
      </c>
      <c r="K1547" s="4">
        <v>46051</v>
      </c>
      <c r="L1547" s="4">
        <v>46099</v>
      </c>
      <c r="M1547" s="1" t="s">
        <v>8894</v>
      </c>
      <c r="N1547" s="1" t="s">
        <v>8893</v>
      </c>
    </row>
    <row r="1548" spans="1:14" s="1" customFormat="1" x14ac:dyDescent="0.35">
      <c r="A1548" s="1" t="s">
        <v>4492</v>
      </c>
      <c r="B1548" s="1" t="s">
        <v>1516</v>
      </c>
      <c r="C1548" s="1" t="s">
        <v>1520</v>
      </c>
      <c r="D1548" s="1" t="s">
        <v>8892</v>
      </c>
      <c r="E1548" s="1" t="str">
        <f>"2310"</f>
        <v>2310</v>
      </c>
      <c r="F1548" s="1" t="str">
        <f>"010907741"</f>
        <v>010907741</v>
      </c>
      <c r="G1548" s="1" t="s">
        <v>710</v>
      </c>
      <c r="H1548" s="1" t="s">
        <v>15</v>
      </c>
      <c r="I1548" s="1" t="str">
        <f>"1"</f>
        <v>1</v>
      </c>
      <c r="J1548" s="3" t="str">
        <f>"30027"</f>
        <v>30027</v>
      </c>
      <c r="K1548" s="4">
        <v>46039</v>
      </c>
      <c r="L1548" s="4">
        <v>46055</v>
      </c>
      <c r="M1548" s="1" t="s">
        <v>8891</v>
      </c>
      <c r="N1548" s="1" t="s">
        <v>8890</v>
      </c>
    </row>
    <row r="1549" spans="1:14" s="1" customFormat="1" x14ac:dyDescent="0.35">
      <c r="A1549" s="1" t="s">
        <v>4492</v>
      </c>
      <c r="B1549" s="1" t="s">
        <v>1516</v>
      </c>
      <c r="C1549" s="1" t="s">
        <v>1520</v>
      </c>
      <c r="D1549" s="1" t="s">
        <v>8889</v>
      </c>
      <c r="E1549" s="1" t="str">
        <f>"2310"</f>
        <v>2310</v>
      </c>
      <c r="F1549" s="1" t="str">
        <f>"010907741"</f>
        <v>010907741</v>
      </c>
      <c r="G1549" s="1" t="s">
        <v>710</v>
      </c>
      <c r="H1549" s="1" t="s">
        <v>15</v>
      </c>
      <c r="I1549" s="1" t="str">
        <f>"1"</f>
        <v>1</v>
      </c>
      <c r="J1549" s="3" t="str">
        <f>"30027"</f>
        <v>30027</v>
      </c>
      <c r="K1549" s="4">
        <v>46039</v>
      </c>
      <c r="L1549" s="4">
        <v>46055</v>
      </c>
      <c r="M1549" s="1" t="s">
        <v>8888</v>
      </c>
      <c r="N1549" s="1" t="s">
        <v>8887</v>
      </c>
    </row>
    <row r="1550" spans="1:14" s="1" customFormat="1" x14ac:dyDescent="0.35">
      <c r="A1550" s="1" t="s">
        <v>4492</v>
      </c>
      <c r="B1550" s="1" t="s">
        <v>1516</v>
      </c>
      <c r="C1550" s="1" t="s">
        <v>1520</v>
      </c>
      <c r="D1550" s="1" t="s">
        <v>8886</v>
      </c>
      <c r="E1550" s="1" t="str">
        <f>"6130"</f>
        <v>6130</v>
      </c>
      <c r="F1550" s="1" t="str">
        <f>"015403380"</f>
        <v>015403380</v>
      </c>
      <c r="G1550" s="1" t="s">
        <v>882</v>
      </c>
      <c r="H1550" s="1" t="s">
        <v>15</v>
      </c>
      <c r="I1550" s="1" t="str">
        <f>"6"</f>
        <v>6</v>
      </c>
      <c r="J1550" s="3" t="str">
        <f>"669"</f>
        <v>669</v>
      </c>
      <c r="K1550" s="4">
        <v>46039</v>
      </c>
      <c r="L1550" s="4">
        <v>46043</v>
      </c>
      <c r="M1550" s="1" t="s">
        <v>8885</v>
      </c>
      <c r="N1550" s="1" t="s">
        <v>8884</v>
      </c>
    </row>
    <row r="1551" spans="1:14" s="1" customFormat="1" x14ac:dyDescent="0.35">
      <c r="A1551" s="1" t="s">
        <v>4492</v>
      </c>
      <c r="B1551" s="1" t="s">
        <v>1516</v>
      </c>
      <c r="C1551" s="1" t="s">
        <v>1520</v>
      </c>
      <c r="D1551" s="1" t="s">
        <v>8883</v>
      </c>
      <c r="E1551" s="1" t="str">
        <f>"3805"</f>
        <v>3805</v>
      </c>
      <c r="F1551" s="1" t="str">
        <f>"010632012"</f>
        <v>010632012</v>
      </c>
      <c r="G1551" s="1" t="s">
        <v>4235</v>
      </c>
      <c r="H1551" s="1" t="s">
        <v>15</v>
      </c>
      <c r="I1551" s="1" t="str">
        <f>"1"</f>
        <v>1</v>
      </c>
      <c r="J1551" s="3" t="str">
        <f>"157800"</f>
        <v>157800</v>
      </c>
      <c r="K1551" s="4">
        <v>46040</v>
      </c>
      <c r="L1551" s="4">
        <v>46063</v>
      </c>
      <c r="M1551" s="1" t="s">
        <v>8882</v>
      </c>
      <c r="N1551" s="1" t="s">
        <v>8881</v>
      </c>
    </row>
    <row r="1552" spans="1:14" s="1" customFormat="1" x14ac:dyDescent="0.35">
      <c r="A1552" s="1" t="s">
        <v>4492</v>
      </c>
      <c r="B1552" s="1" t="s">
        <v>1516</v>
      </c>
      <c r="C1552" s="1" t="s">
        <v>1520</v>
      </c>
      <c r="D1552" s="1" t="s">
        <v>8880</v>
      </c>
      <c r="E1552" s="1" t="str">
        <f>"2310"</f>
        <v>2310</v>
      </c>
      <c r="F1552" s="1" t="str">
        <f>"014998019"</f>
        <v>014998019</v>
      </c>
      <c r="G1552" s="1" t="s">
        <v>4671</v>
      </c>
      <c r="H1552" s="1" t="s">
        <v>15</v>
      </c>
      <c r="I1552" s="1" t="str">
        <f>"1"</f>
        <v>1</v>
      </c>
      <c r="J1552" s="3" t="str">
        <f>"165000"</f>
        <v>165000</v>
      </c>
      <c r="K1552" s="4">
        <v>46043</v>
      </c>
      <c r="L1552" s="4">
        <v>46055</v>
      </c>
      <c r="M1552" s="1" t="s">
        <v>8879</v>
      </c>
      <c r="N1552" s="1" t="s">
        <v>8878</v>
      </c>
    </row>
    <row r="1553" spans="1:14" s="1" customFormat="1" x14ac:dyDescent="0.35">
      <c r="A1553" s="1" t="s">
        <v>4492</v>
      </c>
      <c r="B1553" s="1" t="s">
        <v>1516</v>
      </c>
      <c r="C1553" s="1" t="s">
        <v>1520</v>
      </c>
      <c r="D1553" s="1" t="s">
        <v>8877</v>
      </c>
      <c r="E1553" s="1" t="str">
        <f>"3805"</f>
        <v>3805</v>
      </c>
      <c r="F1553" s="1" t="s">
        <v>1020</v>
      </c>
      <c r="G1553" s="1" t="s">
        <v>1021</v>
      </c>
      <c r="H1553" s="1" t="s">
        <v>15</v>
      </c>
      <c r="I1553" s="1" t="str">
        <f>"1"</f>
        <v>1</v>
      </c>
      <c r="J1553" s="3" t="str">
        <f>"40000"</f>
        <v>40000</v>
      </c>
      <c r="K1553" s="4">
        <v>46046</v>
      </c>
      <c r="L1553" s="4">
        <v>46051</v>
      </c>
      <c r="M1553" s="1" t="s">
        <v>8876</v>
      </c>
      <c r="N1553" s="1" t="s">
        <v>8875</v>
      </c>
    </row>
    <row r="1554" spans="1:14" s="1" customFormat="1" x14ac:dyDescent="0.35">
      <c r="A1554" s="1" t="s">
        <v>4492</v>
      </c>
      <c r="B1554" s="1" t="s">
        <v>1516</v>
      </c>
      <c r="C1554" s="1" t="s">
        <v>1520</v>
      </c>
      <c r="D1554" s="1" t="s">
        <v>8874</v>
      </c>
      <c r="E1554" s="1" t="str">
        <f>"3830"</f>
        <v>3830</v>
      </c>
      <c r="F1554" s="1" t="s">
        <v>1544</v>
      </c>
      <c r="G1554" s="1" t="s">
        <v>1545</v>
      </c>
      <c r="H1554" s="1" t="s">
        <v>15</v>
      </c>
      <c r="I1554" s="1" t="str">
        <f>"1"</f>
        <v>1</v>
      </c>
      <c r="J1554" s="3" t="str">
        <f>"4000"</f>
        <v>4000</v>
      </c>
      <c r="K1554" s="4">
        <v>46046</v>
      </c>
      <c r="L1554" s="4">
        <v>46051</v>
      </c>
      <c r="M1554" s="1" t="s">
        <v>8873</v>
      </c>
      <c r="N1554" s="1" t="s">
        <v>8872</v>
      </c>
    </row>
    <row r="1555" spans="1:14" s="1" customFormat="1" x14ac:dyDescent="0.35">
      <c r="A1555" s="1" t="s">
        <v>4492</v>
      </c>
      <c r="B1555" s="1" t="s">
        <v>1516</v>
      </c>
      <c r="C1555" s="1" t="s">
        <v>1520</v>
      </c>
      <c r="D1555" s="1" t="s">
        <v>8871</v>
      </c>
      <c r="E1555" s="1" t="str">
        <f>"8145"</f>
        <v>8145</v>
      </c>
      <c r="F1555" s="1" t="s">
        <v>2635</v>
      </c>
      <c r="G1555" s="1" t="s">
        <v>2636</v>
      </c>
      <c r="H1555" s="1" t="s">
        <v>15</v>
      </c>
      <c r="I1555" s="1" t="str">
        <f>"3"</f>
        <v>3</v>
      </c>
      <c r="J1555" s="3" t="str">
        <f>"1000"</f>
        <v>1000</v>
      </c>
      <c r="K1555" s="4">
        <v>46059</v>
      </c>
      <c r="L1555" s="4">
        <v>46063</v>
      </c>
      <c r="M1555" s="1" t="s">
        <v>8870</v>
      </c>
      <c r="N1555" s="1" t="s">
        <v>8869</v>
      </c>
    </row>
    <row r="1556" spans="1:14" s="1" customFormat="1" x14ac:dyDescent="0.35">
      <c r="A1556" s="1" t="s">
        <v>4492</v>
      </c>
      <c r="B1556" s="1" t="s">
        <v>1516</v>
      </c>
      <c r="C1556" s="1" t="s">
        <v>1520</v>
      </c>
      <c r="D1556" s="1" t="s">
        <v>8868</v>
      </c>
      <c r="E1556" s="1" t="str">
        <f>"8415"</f>
        <v>8415</v>
      </c>
      <c r="F1556" s="1" t="str">
        <f>"015841414"</f>
        <v>015841414</v>
      </c>
      <c r="G1556" s="1" t="s">
        <v>771</v>
      </c>
      <c r="H1556" s="1" t="s">
        <v>15</v>
      </c>
      <c r="I1556" s="1" t="str">
        <f>"4"</f>
        <v>4</v>
      </c>
      <c r="J1556" s="3">
        <v>456.61</v>
      </c>
      <c r="K1556" s="4">
        <v>46071</v>
      </c>
      <c r="L1556" s="4">
        <v>46072</v>
      </c>
      <c r="M1556" s="1" t="s">
        <v>4524</v>
      </c>
      <c r="N1556" s="1" t="s">
        <v>1587</v>
      </c>
    </row>
    <row r="1557" spans="1:14" s="1" customFormat="1" x14ac:dyDescent="0.35">
      <c r="A1557" s="1" t="s">
        <v>4492</v>
      </c>
      <c r="B1557" s="1" t="s">
        <v>1516</v>
      </c>
      <c r="C1557" s="1" t="s">
        <v>1520</v>
      </c>
      <c r="D1557" s="1" t="s">
        <v>8867</v>
      </c>
      <c r="E1557" s="1" t="str">
        <f>"8415"</f>
        <v>8415</v>
      </c>
      <c r="F1557" s="1" t="str">
        <f>"015841417"</f>
        <v>015841417</v>
      </c>
      <c r="G1557" s="1" t="s">
        <v>771</v>
      </c>
      <c r="H1557" s="1" t="s">
        <v>15</v>
      </c>
      <c r="I1557" s="1" t="str">
        <f>"3"</f>
        <v>3</v>
      </c>
      <c r="J1557" s="3">
        <v>456.61</v>
      </c>
      <c r="K1557" s="4">
        <v>46071</v>
      </c>
      <c r="L1557" s="4">
        <v>46072</v>
      </c>
      <c r="M1557" s="1" t="s">
        <v>4524</v>
      </c>
      <c r="N1557" s="1" t="s">
        <v>1587</v>
      </c>
    </row>
    <row r="1558" spans="1:14" s="1" customFormat="1" x14ac:dyDescent="0.35">
      <c r="A1558" s="1" t="s">
        <v>4492</v>
      </c>
      <c r="B1558" s="1" t="s">
        <v>1516</v>
      </c>
      <c r="C1558" s="1" t="s">
        <v>1520</v>
      </c>
      <c r="D1558" s="1" t="s">
        <v>8866</v>
      </c>
      <c r="E1558" s="1" t="str">
        <f>"8415"</f>
        <v>8415</v>
      </c>
      <c r="F1558" s="1" t="str">
        <f>"015549632"</f>
        <v>015549632</v>
      </c>
      <c r="G1558" s="1" t="s">
        <v>2978</v>
      </c>
      <c r="H1558" s="1" t="s">
        <v>15</v>
      </c>
      <c r="I1558" s="1" t="str">
        <f>"45"</f>
        <v>45</v>
      </c>
      <c r="J1558" s="3">
        <v>12.4</v>
      </c>
      <c r="K1558" s="4">
        <v>46071</v>
      </c>
      <c r="L1558" s="4">
        <v>46072</v>
      </c>
      <c r="M1558" s="1" t="s">
        <v>4524</v>
      </c>
      <c r="N1558" s="1" t="s">
        <v>1587</v>
      </c>
    </row>
    <row r="1559" spans="1:14" s="1" customFormat="1" x14ac:dyDescent="0.35">
      <c r="A1559" s="1" t="s">
        <v>4492</v>
      </c>
      <c r="B1559" s="1" t="s">
        <v>1516</v>
      </c>
      <c r="C1559" s="1" t="s">
        <v>1520</v>
      </c>
      <c r="D1559" s="1" t="s">
        <v>8865</v>
      </c>
      <c r="E1559" s="1" t="str">
        <f>"3750"</f>
        <v>3750</v>
      </c>
      <c r="F1559" s="1" t="s">
        <v>120</v>
      </c>
      <c r="G1559" s="1" t="s">
        <v>121</v>
      </c>
      <c r="H1559" s="1" t="s">
        <v>15</v>
      </c>
      <c r="I1559" s="1" t="str">
        <f>"2"</f>
        <v>2</v>
      </c>
      <c r="J1559" s="3" t="str">
        <f>"5000"</f>
        <v>5000</v>
      </c>
      <c r="K1559" s="4">
        <v>46060</v>
      </c>
      <c r="L1559" s="4">
        <v>46063</v>
      </c>
      <c r="M1559" s="1" t="s">
        <v>8864</v>
      </c>
      <c r="N1559" s="1" t="s">
        <v>8863</v>
      </c>
    </row>
    <row r="1560" spans="1:14" s="1" customFormat="1" x14ac:dyDescent="0.35">
      <c r="A1560" s="1" t="s">
        <v>4492</v>
      </c>
      <c r="B1560" s="1" t="s">
        <v>1516</v>
      </c>
      <c r="C1560" s="1" t="s">
        <v>1520</v>
      </c>
      <c r="D1560" s="1" t="s">
        <v>8862</v>
      </c>
      <c r="E1560" s="1" t="str">
        <f>"1005"</f>
        <v>1005</v>
      </c>
      <c r="F1560" s="1" t="s">
        <v>2213</v>
      </c>
      <c r="G1560" s="1" t="s">
        <v>2214</v>
      </c>
      <c r="H1560" s="1" t="s">
        <v>15</v>
      </c>
      <c r="I1560" s="1" t="str">
        <f>"1"</f>
        <v>1</v>
      </c>
      <c r="J1560" s="3">
        <v>3224.71</v>
      </c>
      <c r="K1560" s="4">
        <v>46063</v>
      </c>
      <c r="L1560" s="4">
        <v>46065</v>
      </c>
      <c r="M1560" s="1" t="s">
        <v>8861</v>
      </c>
      <c r="N1560" s="1" t="s">
        <v>8853</v>
      </c>
    </row>
    <row r="1561" spans="1:14" s="1" customFormat="1" x14ac:dyDescent="0.35">
      <c r="A1561" s="1" t="s">
        <v>4492</v>
      </c>
      <c r="B1561" s="1" t="s">
        <v>1516</v>
      </c>
      <c r="C1561" s="1" t="s">
        <v>1520</v>
      </c>
      <c r="D1561" s="1" t="s">
        <v>8860</v>
      </c>
      <c r="E1561" s="1" t="str">
        <f>"1005"</f>
        <v>1005</v>
      </c>
      <c r="F1561" s="1" t="s">
        <v>2213</v>
      </c>
      <c r="G1561" s="1" t="s">
        <v>2214</v>
      </c>
      <c r="H1561" s="1" t="s">
        <v>15</v>
      </c>
      <c r="I1561" s="1" t="str">
        <f>"7"</f>
        <v>7</v>
      </c>
      <c r="J1561" s="3">
        <v>3224.73</v>
      </c>
      <c r="K1561" s="4">
        <v>46063</v>
      </c>
      <c r="L1561" s="4">
        <v>46064</v>
      </c>
      <c r="M1561" s="1" t="s">
        <v>4524</v>
      </c>
      <c r="N1561" s="1" t="s">
        <v>8853</v>
      </c>
    </row>
    <row r="1562" spans="1:14" s="1" customFormat="1" x14ac:dyDescent="0.35">
      <c r="A1562" s="1" t="s">
        <v>4492</v>
      </c>
      <c r="B1562" s="1" t="s">
        <v>1516</v>
      </c>
      <c r="C1562" s="1" t="s">
        <v>1520</v>
      </c>
      <c r="D1562" s="1" t="s">
        <v>8859</v>
      </c>
      <c r="E1562" s="1" t="str">
        <f>"1005"</f>
        <v>1005</v>
      </c>
      <c r="F1562" s="1" t="s">
        <v>2213</v>
      </c>
      <c r="G1562" s="1" t="s">
        <v>2214</v>
      </c>
      <c r="H1562" s="1" t="s">
        <v>15</v>
      </c>
      <c r="I1562" s="1" t="str">
        <f>"4"</f>
        <v>4</v>
      </c>
      <c r="J1562" s="3">
        <v>3791.8</v>
      </c>
      <c r="K1562" s="4">
        <v>46063</v>
      </c>
      <c r="L1562" s="4">
        <v>46064</v>
      </c>
      <c r="M1562" s="1" t="s">
        <v>4524</v>
      </c>
      <c r="N1562" s="1" t="s">
        <v>8853</v>
      </c>
    </row>
    <row r="1563" spans="1:14" s="1" customFormat="1" x14ac:dyDescent="0.35">
      <c r="A1563" s="1" t="s">
        <v>4492</v>
      </c>
      <c r="B1563" s="1" t="s">
        <v>1516</v>
      </c>
      <c r="C1563" s="1" t="s">
        <v>1520</v>
      </c>
      <c r="D1563" s="1" t="s">
        <v>8858</v>
      </c>
      <c r="E1563" s="1" t="str">
        <f>"6230"</f>
        <v>6230</v>
      </c>
      <c r="F1563" s="1" t="str">
        <f>"014954298"</f>
        <v>014954298</v>
      </c>
      <c r="G1563" s="1" t="s">
        <v>4051</v>
      </c>
      <c r="H1563" s="1" t="s">
        <v>206</v>
      </c>
      <c r="I1563" s="1" t="str">
        <f>"8"</f>
        <v>8</v>
      </c>
      <c r="J1563" s="3">
        <v>91.57</v>
      </c>
      <c r="K1563" s="4">
        <v>46063</v>
      </c>
      <c r="L1563" s="4">
        <v>46065</v>
      </c>
      <c r="M1563" s="1" t="s">
        <v>8857</v>
      </c>
      <c r="N1563" s="1" t="s">
        <v>8856</v>
      </c>
    </row>
    <row r="1564" spans="1:14" s="1" customFormat="1" x14ac:dyDescent="0.35">
      <c r="A1564" s="1" t="s">
        <v>4492</v>
      </c>
      <c r="B1564" s="1" t="s">
        <v>1516</v>
      </c>
      <c r="C1564" s="1" t="s">
        <v>1520</v>
      </c>
      <c r="D1564" s="1" t="s">
        <v>8855</v>
      </c>
      <c r="E1564" s="1" t="str">
        <f>"1005"</f>
        <v>1005</v>
      </c>
      <c r="F1564" s="1" t="s">
        <v>2213</v>
      </c>
      <c r="G1564" s="1" t="s">
        <v>2214</v>
      </c>
      <c r="H1564" s="1" t="s">
        <v>15</v>
      </c>
      <c r="I1564" s="1" t="str">
        <f>"7"</f>
        <v>7</v>
      </c>
      <c r="J1564" s="3">
        <v>3224.73</v>
      </c>
      <c r="K1564" s="4">
        <v>46063</v>
      </c>
      <c r="L1564" s="4">
        <v>46065</v>
      </c>
      <c r="M1564" s="1" t="s">
        <v>8854</v>
      </c>
      <c r="N1564" s="1" t="s">
        <v>8853</v>
      </c>
    </row>
    <row r="1565" spans="1:14" s="1" customFormat="1" x14ac:dyDescent="0.35">
      <c r="A1565" s="1" t="s">
        <v>4492</v>
      </c>
      <c r="B1565" s="1" t="s">
        <v>1516</v>
      </c>
      <c r="C1565" s="1" t="s">
        <v>1520</v>
      </c>
      <c r="D1565" s="1" t="s">
        <v>8852</v>
      </c>
      <c r="E1565" s="1" t="str">
        <f>"8465"</f>
        <v>8465</v>
      </c>
      <c r="F1565" s="1" t="str">
        <f>"015726687"</f>
        <v>015726687</v>
      </c>
      <c r="G1565" s="1" t="s">
        <v>202</v>
      </c>
      <c r="H1565" s="1" t="s">
        <v>15</v>
      </c>
      <c r="I1565" s="1" t="str">
        <f>"40"</f>
        <v>40</v>
      </c>
      <c r="J1565" s="3">
        <v>18.010000000000002</v>
      </c>
      <c r="K1565" s="4">
        <v>46068</v>
      </c>
      <c r="L1565" s="4">
        <v>46093</v>
      </c>
      <c r="M1565" s="1" t="s">
        <v>8851</v>
      </c>
      <c r="N1565" s="1" t="s">
        <v>8850</v>
      </c>
    </row>
    <row r="1566" spans="1:14" s="1" customFormat="1" x14ac:dyDescent="0.35">
      <c r="A1566" s="1" t="s">
        <v>4492</v>
      </c>
      <c r="B1566" s="1" t="s">
        <v>1516</v>
      </c>
      <c r="C1566" s="1" t="s">
        <v>1520</v>
      </c>
      <c r="D1566" s="1" t="s">
        <v>8849</v>
      </c>
      <c r="E1566" s="1" t="str">
        <f>"2310"</f>
        <v>2310</v>
      </c>
      <c r="F1566" s="1" t="str">
        <f>"014998019"</f>
        <v>014998019</v>
      </c>
      <c r="G1566" s="1" t="s">
        <v>4671</v>
      </c>
      <c r="H1566" s="1" t="s">
        <v>15</v>
      </c>
      <c r="I1566" s="1" t="str">
        <f>"1"</f>
        <v>1</v>
      </c>
      <c r="J1566" s="3" t="str">
        <f>"165000"</f>
        <v>165000</v>
      </c>
      <c r="K1566" s="4">
        <v>46079</v>
      </c>
      <c r="L1566" s="4">
        <v>46095</v>
      </c>
      <c r="M1566" s="1" t="s">
        <v>8848</v>
      </c>
      <c r="N1566" s="1" t="s">
        <v>8820</v>
      </c>
    </row>
    <row r="1567" spans="1:14" s="1" customFormat="1" x14ac:dyDescent="0.35">
      <c r="A1567" s="1" t="s">
        <v>4492</v>
      </c>
      <c r="B1567" s="1" t="s">
        <v>1516</v>
      </c>
      <c r="C1567" s="1" t="s">
        <v>1520</v>
      </c>
      <c r="D1567" s="1" t="s">
        <v>8847</v>
      </c>
      <c r="E1567" s="1" t="str">
        <f>"2310"</f>
        <v>2310</v>
      </c>
      <c r="F1567" s="1" t="str">
        <f>"010907741"</f>
        <v>010907741</v>
      </c>
      <c r="G1567" s="1" t="s">
        <v>710</v>
      </c>
      <c r="H1567" s="1" t="s">
        <v>15</v>
      </c>
      <c r="I1567" s="1" t="str">
        <f>"1"</f>
        <v>1</v>
      </c>
      <c r="J1567" s="3" t="str">
        <f>"30027"</f>
        <v>30027</v>
      </c>
      <c r="K1567" s="4">
        <v>46079</v>
      </c>
      <c r="L1567" s="4">
        <v>46088</v>
      </c>
      <c r="M1567" s="1" t="s">
        <v>8846</v>
      </c>
      <c r="N1567" s="1" t="s">
        <v>8843</v>
      </c>
    </row>
    <row r="1568" spans="1:14" s="1" customFormat="1" x14ac:dyDescent="0.35">
      <c r="A1568" s="1" t="s">
        <v>4492</v>
      </c>
      <c r="B1568" s="1" t="s">
        <v>1516</v>
      </c>
      <c r="C1568" s="1" t="s">
        <v>1520</v>
      </c>
      <c r="D1568" s="1" t="s">
        <v>8845</v>
      </c>
      <c r="E1568" s="1" t="str">
        <f>"2310"</f>
        <v>2310</v>
      </c>
      <c r="F1568" s="1" t="str">
        <f>"010907741"</f>
        <v>010907741</v>
      </c>
      <c r="G1568" s="1" t="s">
        <v>710</v>
      </c>
      <c r="H1568" s="1" t="s">
        <v>15</v>
      </c>
      <c r="I1568" s="1" t="str">
        <f>"1"</f>
        <v>1</v>
      </c>
      <c r="J1568" s="3" t="str">
        <f>"30027"</f>
        <v>30027</v>
      </c>
      <c r="K1568" s="4">
        <v>46079</v>
      </c>
      <c r="L1568" s="4">
        <v>46088</v>
      </c>
      <c r="M1568" s="1" t="s">
        <v>8844</v>
      </c>
      <c r="N1568" s="1" t="s">
        <v>8843</v>
      </c>
    </row>
    <row r="1569" spans="1:14" s="1" customFormat="1" x14ac:dyDescent="0.35">
      <c r="A1569" s="1" t="s">
        <v>4492</v>
      </c>
      <c r="B1569" s="1" t="s">
        <v>1516</v>
      </c>
      <c r="C1569" s="1" t="s">
        <v>1520</v>
      </c>
      <c r="D1569" s="1" t="s">
        <v>8842</v>
      </c>
      <c r="E1569" s="1" t="str">
        <f>"8150"</f>
        <v>8150</v>
      </c>
      <c r="F1569" s="1" t="str">
        <f>"014839123"</f>
        <v>014839123</v>
      </c>
      <c r="G1569" s="1" t="s">
        <v>387</v>
      </c>
      <c r="H1569" s="1" t="s">
        <v>15</v>
      </c>
      <c r="I1569" s="1" t="str">
        <f>"1"</f>
        <v>1</v>
      </c>
      <c r="J1569" s="3">
        <v>8131.68</v>
      </c>
      <c r="K1569" s="4">
        <v>46076</v>
      </c>
      <c r="L1569" s="4">
        <v>46087</v>
      </c>
      <c r="M1569" s="1" t="s">
        <v>8841</v>
      </c>
      <c r="N1569" s="1" t="s">
        <v>1582</v>
      </c>
    </row>
    <row r="1570" spans="1:14" s="1" customFormat="1" x14ac:dyDescent="0.35">
      <c r="A1570" s="1" t="s">
        <v>4492</v>
      </c>
      <c r="B1570" s="1" t="s">
        <v>1516</v>
      </c>
      <c r="C1570" s="1" t="s">
        <v>1520</v>
      </c>
      <c r="D1570" s="1" t="s">
        <v>8840</v>
      </c>
      <c r="E1570" s="1" t="str">
        <f>"1005"</f>
        <v>1005</v>
      </c>
      <c r="F1570" s="1" t="str">
        <f>"015344361"</f>
        <v>015344361</v>
      </c>
      <c r="G1570" s="1" t="s">
        <v>8331</v>
      </c>
      <c r="H1570" s="1" t="s">
        <v>15</v>
      </c>
      <c r="I1570" s="1" t="str">
        <f>"45"</f>
        <v>45</v>
      </c>
      <c r="J1570" s="3" t="str">
        <f>"37"</f>
        <v>37</v>
      </c>
      <c r="K1570" s="4">
        <v>46076</v>
      </c>
      <c r="L1570" s="4">
        <v>46087</v>
      </c>
      <c r="M1570" s="1" t="s">
        <v>8839</v>
      </c>
      <c r="N1570" s="1" t="s">
        <v>8838</v>
      </c>
    </row>
    <row r="1571" spans="1:14" s="1" customFormat="1" x14ac:dyDescent="0.35">
      <c r="A1571" s="1" t="s">
        <v>4492</v>
      </c>
      <c r="B1571" s="1" t="s">
        <v>1516</v>
      </c>
      <c r="C1571" s="1" t="s">
        <v>1520</v>
      </c>
      <c r="D1571" s="1" t="s">
        <v>8837</v>
      </c>
      <c r="E1571" s="1" t="str">
        <f>"6230"</f>
        <v>6230</v>
      </c>
      <c r="F1571" s="1" t="s">
        <v>3594</v>
      </c>
      <c r="G1571" s="1" t="s">
        <v>3595</v>
      </c>
      <c r="H1571" s="1" t="s">
        <v>15</v>
      </c>
      <c r="I1571" s="1" t="str">
        <f>"8"</f>
        <v>8</v>
      </c>
      <c r="J1571" s="3">
        <v>677.38</v>
      </c>
      <c r="K1571" s="4">
        <v>46083</v>
      </c>
      <c r="L1571" s="4">
        <v>46087</v>
      </c>
      <c r="M1571" s="1" t="s">
        <v>8836</v>
      </c>
      <c r="N1571" s="1" t="s">
        <v>8835</v>
      </c>
    </row>
    <row r="1572" spans="1:14" s="1" customFormat="1" x14ac:dyDescent="0.35">
      <c r="A1572" s="1" t="s">
        <v>4492</v>
      </c>
      <c r="B1572" s="1" t="s">
        <v>1516</v>
      </c>
      <c r="C1572" s="1" t="s">
        <v>1520</v>
      </c>
      <c r="D1572" s="1" t="s">
        <v>8834</v>
      </c>
      <c r="E1572" s="1" t="str">
        <f>"4210"</f>
        <v>4210</v>
      </c>
      <c r="F1572" s="1" t="str">
        <f>"015992309"</f>
        <v>015992309</v>
      </c>
      <c r="G1572" s="1" t="s">
        <v>1036</v>
      </c>
      <c r="H1572" s="1" t="s">
        <v>15</v>
      </c>
      <c r="I1572" s="1" t="str">
        <f>"1"</f>
        <v>1</v>
      </c>
      <c r="J1572" s="3" t="str">
        <f>"236650"</f>
        <v>236650</v>
      </c>
      <c r="K1572" s="4">
        <v>46074</v>
      </c>
      <c r="L1572" s="4">
        <v>46088</v>
      </c>
      <c r="M1572" s="1" t="s">
        <v>8833</v>
      </c>
      <c r="N1572" s="1" t="s">
        <v>8832</v>
      </c>
    </row>
    <row r="1573" spans="1:14" s="1" customFormat="1" x14ac:dyDescent="0.35">
      <c r="A1573" s="1" t="s">
        <v>4492</v>
      </c>
      <c r="B1573" s="1" t="s">
        <v>1516</v>
      </c>
      <c r="C1573" s="1" t="s">
        <v>1520</v>
      </c>
      <c r="D1573" s="1" t="s">
        <v>8831</v>
      </c>
      <c r="E1573" s="1" t="str">
        <f>"2420"</f>
        <v>2420</v>
      </c>
      <c r="F1573" s="1" t="s">
        <v>110</v>
      </c>
      <c r="G1573" s="1" t="s">
        <v>111</v>
      </c>
      <c r="H1573" s="1" t="s">
        <v>15</v>
      </c>
      <c r="I1573" s="1" t="str">
        <f>"1"</f>
        <v>1</v>
      </c>
      <c r="J1573" s="3" t="str">
        <f>"21000"</f>
        <v>21000</v>
      </c>
      <c r="K1573" s="4">
        <v>46076</v>
      </c>
      <c r="L1573" s="4">
        <v>46087</v>
      </c>
      <c r="M1573" s="1" t="s">
        <v>8830</v>
      </c>
      <c r="N1573" s="1" t="s">
        <v>8829</v>
      </c>
    </row>
    <row r="1574" spans="1:14" s="1" customFormat="1" x14ac:dyDescent="0.35">
      <c r="A1574" s="1" t="s">
        <v>4492</v>
      </c>
      <c r="B1574" s="1" t="s">
        <v>1516</v>
      </c>
      <c r="C1574" s="1" t="s">
        <v>1520</v>
      </c>
      <c r="D1574" s="1" t="s">
        <v>8828</v>
      </c>
      <c r="E1574" s="1" t="str">
        <f>"2420"</f>
        <v>2420</v>
      </c>
      <c r="F1574" s="1" t="str">
        <f>"010630254"</f>
        <v>010630254</v>
      </c>
      <c r="G1574" s="1" t="s">
        <v>183</v>
      </c>
      <c r="H1574" s="1" t="s">
        <v>15</v>
      </c>
      <c r="I1574" s="1" t="str">
        <f>"1"</f>
        <v>1</v>
      </c>
      <c r="J1574" s="3" t="str">
        <f>"140000"</f>
        <v>140000</v>
      </c>
      <c r="K1574" s="4">
        <v>46076</v>
      </c>
      <c r="L1574" s="4">
        <v>46087</v>
      </c>
      <c r="M1574" s="1" t="s">
        <v>8827</v>
      </c>
      <c r="N1574" s="1" t="s">
        <v>8826</v>
      </c>
    </row>
    <row r="1575" spans="1:14" s="1" customFormat="1" x14ac:dyDescent="0.35">
      <c r="A1575" s="1" t="s">
        <v>4492</v>
      </c>
      <c r="B1575" s="1" t="s">
        <v>1516</v>
      </c>
      <c r="C1575" s="1" t="s">
        <v>1520</v>
      </c>
      <c r="D1575" s="1" t="s">
        <v>8825</v>
      </c>
      <c r="E1575" s="1" t="str">
        <f>"6650"</f>
        <v>6650</v>
      </c>
      <c r="F1575" s="1" t="s">
        <v>1576</v>
      </c>
      <c r="G1575" s="1" t="s">
        <v>1577</v>
      </c>
      <c r="H1575" s="1" t="s">
        <v>15</v>
      </c>
      <c r="I1575" s="1" t="str">
        <f>"1"</f>
        <v>1</v>
      </c>
      <c r="J1575" s="3">
        <v>208.47</v>
      </c>
      <c r="K1575" s="4">
        <v>46079</v>
      </c>
      <c r="L1575" s="4">
        <v>46088</v>
      </c>
      <c r="M1575" s="1" t="s">
        <v>8824</v>
      </c>
      <c r="N1575" s="1" t="s">
        <v>8823</v>
      </c>
    </row>
    <row r="1576" spans="1:14" s="1" customFormat="1" x14ac:dyDescent="0.35">
      <c r="A1576" s="1" t="s">
        <v>4492</v>
      </c>
      <c r="B1576" s="1" t="s">
        <v>1516</v>
      </c>
      <c r="C1576" s="1" t="s">
        <v>1520</v>
      </c>
      <c r="D1576" s="1" t="s">
        <v>8822</v>
      </c>
      <c r="E1576" s="1" t="str">
        <f>"2320"</f>
        <v>2320</v>
      </c>
      <c r="F1576" s="1" t="s">
        <v>1016</v>
      </c>
      <c r="G1576" s="1" t="s">
        <v>1017</v>
      </c>
      <c r="H1576" s="1" t="s">
        <v>15</v>
      </c>
      <c r="I1576" s="1" t="str">
        <f>"1"</f>
        <v>1</v>
      </c>
      <c r="J1576" s="3" t="str">
        <f>"165000"</f>
        <v>165000</v>
      </c>
      <c r="K1576" s="4">
        <v>46079</v>
      </c>
      <c r="L1576" s="4">
        <v>46088</v>
      </c>
      <c r="M1576" s="1" t="s">
        <v>8821</v>
      </c>
      <c r="N1576" s="1" t="s">
        <v>8820</v>
      </c>
    </row>
    <row r="1577" spans="1:14" s="1" customFormat="1" x14ac:dyDescent="0.35">
      <c r="A1577" s="1" t="s">
        <v>4492</v>
      </c>
      <c r="B1577" s="1" t="s">
        <v>1516</v>
      </c>
      <c r="C1577" s="1" t="s">
        <v>1520</v>
      </c>
      <c r="D1577" s="1" t="s">
        <v>8819</v>
      </c>
      <c r="E1577" s="1" t="str">
        <f>"3830"</f>
        <v>3830</v>
      </c>
      <c r="F1577" s="1" t="s">
        <v>1544</v>
      </c>
      <c r="G1577" s="1" t="s">
        <v>1545</v>
      </c>
      <c r="H1577" s="1" t="s">
        <v>15</v>
      </c>
      <c r="I1577" s="1" t="str">
        <f>"1"</f>
        <v>1</v>
      </c>
      <c r="J1577" s="3" t="str">
        <f>"8500"</f>
        <v>8500</v>
      </c>
      <c r="K1577" s="4">
        <v>46084</v>
      </c>
      <c r="L1577" s="4">
        <v>46088</v>
      </c>
      <c r="M1577" s="1" t="s">
        <v>8818</v>
      </c>
      <c r="N1577" s="1" t="s">
        <v>8817</v>
      </c>
    </row>
    <row r="1578" spans="1:14" s="1" customFormat="1" x14ac:dyDescent="0.35">
      <c r="A1578" s="1" t="s">
        <v>4492</v>
      </c>
      <c r="B1578" s="1" t="s">
        <v>1516</v>
      </c>
      <c r="C1578" s="1" t="s">
        <v>1520</v>
      </c>
      <c r="D1578" s="1" t="s">
        <v>8816</v>
      </c>
      <c r="E1578" s="1" t="str">
        <f>"3805"</f>
        <v>3805</v>
      </c>
      <c r="F1578" s="1" t="s">
        <v>1020</v>
      </c>
      <c r="G1578" s="1" t="s">
        <v>1021</v>
      </c>
      <c r="H1578" s="1" t="s">
        <v>15</v>
      </c>
      <c r="I1578" s="1" t="str">
        <f>"1"</f>
        <v>1</v>
      </c>
      <c r="J1578" s="3" t="str">
        <f>"51602"</f>
        <v>51602</v>
      </c>
      <c r="K1578" s="4">
        <v>46084</v>
      </c>
      <c r="L1578" s="4">
        <v>46088</v>
      </c>
      <c r="M1578" s="1" t="s">
        <v>8815</v>
      </c>
      <c r="N1578" s="1" t="s">
        <v>8814</v>
      </c>
    </row>
    <row r="1579" spans="1:14" s="1" customFormat="1" x14ac:dyDescent="0.35">
      <c r="A1579" s="1" t="s">
        <v>4492</v>
      </c>
      <c r="B1579" s="1" t="s">
        <v>1516</v>
      </c>
      <c r="C1579" s="1" t="s">
        <v>1520</v>
      </c>
      <c r="D1579" s="1" t="s">
        <v>8813</v>
      </c>
      <c r="E1579" s="1" t="str">
        <f>"7490"</f>
        <v>7490</v>
      </c>
      <c r="F1579" s="1" t="str">
        <f>"016648153"</f>
        <v>016648153</v>
      </c>
      <c r="G1579" s="1" t="s">
        <v>1112</v>
      </c>
      <c r="H1579" s="1" t="s">
        <v>15</v>
      </c>
      <c r="I1579" s="1" t="str">
        <f>"1"</f>
        <v>1</v>
      </c>
      <c r="J1579" s="3">
        <v>4436.22</v>
      </c>
      <c r="K1579" s="4">
        <v>46090</v>
      </c>
      <c r="L1579" s="4">
        <v>46091</v>
      </c>
      <c r="M1579" s="1" t="s">
        <v>8812</v>
      </c>
      <c r="N1579" s="1" t="s">
        <v>8811</v>
      </c>
    </row>
    <row r="1580" spans="1:14" s="1" customFormat="1" x14ac:dyDescent="0.35">
      <c r="A1580" s="1" t="s">
        <v>4492</v>
      </c>
      <c r="B1580" s="1" t="s">
        <v>1516</v>
      </c>
      <c r="C1580" s="1" t="s">
        <v>1520</v>
      </c>
      <c r="D1580" s="1" t="s">
        <v>8810</v>
      </c>
      <c r="E1580" s="1" t="str">
        <f>"3805"</f>
        <v>3805</v>
      </c>
      <c r="F1580" s="1" t="str">
        <f>"015497814"</f>
        <v>015497814</v>
      </c>
      <c r="G1580" s="1" t="s">
        <v>420</v>
      </c>
      <c r="H1580" s="1" t="s">
        <v>15</v>
      </c>
      <c r="I1580" s="1" t="str">
        <f>"1"</f>
        <v>1</v>
      </c>
      <c r="J1580" s="3" t="str">
        <f>"123508"</f>
        <v>123508</v>
      </c>
      <c r="K1580" s="4">
        <v>46083</v>
      </c>
      <c r="L1580" s="4">
        <v>46095</v>
      </c>
      <c r="M1580" s="1" t="s">
        <v>8809</v>
      </c>
      <c r="N1580" s="1" t="s">
        <v>8808</v>
      </c>
    </row>
    <row r="1581" spans="1:14" s="1" customFormat="1" x14ac:dyDescent="0.35">
      <c r="A1581" s="1" t="s">
        <v>4492</v>
      </c>
      <c r="B1581" s="1" t="s">
        <v>1516</v>
      </c>
      <c r="C1581" s="1" t="s">
        <v>1520</v>
      </c>
      <c r="D1581" s="1" t="s">
        <v>8807</v>
      </c>
      <c r="E1581" s="1" t="str">
        <f>"1240"</f>
        <v>1240</v>
      </c>
      <c r="F1581" s="1" t="str">
        <f>"016520150"</f>
        <v>016520150</v>
      </c>
      <c r="G1581" s="1" t="s">
        <v>4579</v>
      </c>
      <c r="H1581" s="1" t="s">
        <v>15</v>
      </c>
      <c r="I1581" s="1" t="str">
        <f>"4"</f>
        <v>4</v>
      </c>
      <c r="J1581" s="3">
        <v>813.79</v>
      </c>
      <c r="K1581" s="4">
        <v>46083</v>
      </c>
      <c r="L1581" s="4">
        <v>46087</v>
      </c>
      <c r="M1581" s="1" t="s">
        <v>8806</v>
      </c>
      <c r="N1581" s="1" t="s">
        <v>8805</v>
      </c>
    </row>
    <row r="1582" spans="1:14" s="1" customFormat="1" x14ac:dyDescent="0.35">
      <c r="A1582" s="1" t="s">
        <v>4492</v>
      </c>
      <c r="B1582" s="1" t="s">
        <v>1516</v>
      </c>
      <c r="C1582" s="1" t="s">
        <v>1520</v>
      </c>
      <c r="D1582" s="1" t="s">
        <v>8804</v>
      </c>
      <c r="E1582" s="1" t="str">
        <f>"2310"</f>
        <v>2310</v>
      </c>
      <c r="F1582" s="1" t="str">
        <f>"016544105"</f>
        <v>016544105</v>
      </c>
      <c r="G1582" s="1" t="s">
        <v>232</v>
      </c>
      <c r="H1582" s="1" t="s">
        <v>15</v>
      </c>
      <c r="I1582" s="1" t="str">
        <f>"1"</f>
        <v>1</v>
      </c>
      <c r="J1582" s="3">
        <v>31905.14</v>
      </c>
      <c r="K1582" s="4">
        <v>46084</v>
      </c>
      <c r="L1582" s="4">
        <v>46087</v>
      </c>
      <c r="M1582" s="1" t="s">
        <v>8803</v>
      </c>
      <c r="N1582" s="1" t="s">
        <v>8790</v>
      </c>
    </row>
    <row r="1583" spans="1:14" s="1" customFormat="1" x14ac:dyDescent="0.35">
      <c r="A1583" s="1" t="s">
        <v>4492</v>
      </c>
      <c r="B1583" s="1" t="s">
        <v>1516</v>
      </c>
      <c r="C1583" s="1" t="s">
        <v>1520</v>
      </c>
      <c r="D1583" s="1" t="s">
        <v>8802</v>
      </c>
      <c r="E1583" s="1" t="str">
        <f>"6230"</f>
        <v>6230</v>
      </c>
      <c r="F1583" s="1" t="s">
        <v>5291</v>
      </c>
      <c r="G1583" s="1" t="s">
        <v>5290</v>
      </c>
      <c r="H1583" s="1" t="s">
        <v>15</v>
      </c>
      <c r="I1583" s="1" t="str">
        <f>"40"</f>
        <v>40</v>
      </c>
      <c r="J1583" s="3" t="str">
        <f>"195"</f>
        <v>195</v>
      </c>
      <c r="K1583" s="4">
        <v>46084</v>
      </c>
      <c r="L1583" s="4">
        <v>46087</v>
      </c>
      <c r="M1583" s="1" t="s">
        <v>8801</v>
      </c>
      <c r="N1583" s="1" t="s">
        <v>8800</v>
      </c>
    </row>
    <row r="1584" spans="1:14" s="1" customFormat="1" x14ac:dyDescent="0.35">
      <c r="A1584" s="1" t="s">
        <v>4492</v>
      </c>
      <c r="B1584" s="1" t="s">
        <v>1516</v>
      </c>
      <c r="C1584" s="1" t="s">
        <v>1520</v>
      </c>
      <c r="D1584" s="1" t="s">
        <v>8799</v>
      </c>
      <c r="E1584" s="1" t="str">
        <f>"8415"</f>
        <v>8415</v>
      </c>
      <c r="F1584" s="1" t="str">
        <f>"016411683"</f>
        <v>016411683</v>
      </c>
      <c r="G1584" s="1" t="s">
        <v>819</v>
      </c>
      <c r="H1584" s="1" t="s">
        <v>47</v>
      </c>
      <c r="I1584" s="1" t="str">
        <f>"24"</f>
        <v>24</v>
      </c>
      <c r="J1584" s="3">
        <v>100.61</v>
      </c>
      <c r="K1584" s="4">
        <v>46084</v>
      </c>
      <c r="L1584" s="4">
        <v>46087</v>
      </c>
      <c r="M1584" s="1" t="s">
        <v>8798</v>
      </c>
      <c r="N1584" s="1" t="s">
        <v>1587</v>
      </c>
    </row>
    <row r="1585" spans="1:14" s="1" customFormat="1" x14ac:dyDescent="0.35">
      <c r="A1585" s="1" t="s">
        <v>4492</v>
      </c>
      <c r="B1585" s="1" t="s">
        <v>1516</v>
      </c>
      <c r="C1585" s="1" t="s">
        <v>1520</v>
      </c>
      <c r="D1585" s="1" t="s">
        <v>8797</v>
      </c>
      <c r="E1585" s="1" t="str">
        <f>"5895"</f>
        <v>5895</v>
      </c>
      <c r="F1585" s="1" t="str">
        <f>"015984531"</f>
        <v>015984531</v>
      </c>
      <c r="G1585" s="1" t="s">
        <v>1373</v>
      </c>
      <c r="H1585" s="1" t="s">
        <v>168</v>
      </c>
      <c r="I1585" s="1" t="str">
        <f>"22"</f>
        <v>22</v>
      </c>
      <c r="J1585" s="3">
        <v>763.74</v>
      </c>
      <c r="K1585" s="4">
        <v>46084</v>
      </c>
      <c r="L1585" s="4">
        <v>46087</v>
      </c>
      <c r="M1585" s="1" t="s">
        <v>8796</v>
      </c>
      <c r="N1585" s="1" t="s">
        <v>8795</v>
      </c>
    </row>
    <row r="1586" spans="1:14" s="1" customFormat="1" x14ac:dyDescent="0.35">
      <c r="A1586" s="1" t="s">
        <v>4492</v>
      </c>
      <c r="B1586" s="1" t="s">
        <v>1516</v>
      </c>
      <c r="C1586" s="1" t="s">
        <v>1520</v>
      </c>
      <c r="D1586" s="1" t="s">
        <v>8794</v>
      </c>
      <c r="E1586" s="1" t="str">
        <f>"8415"</f>
        <v>8415</v>
      </c>
      <c r="F1586" s="1" t="str">
        <f>"016411695"</f>
        <v>016411695</v>
      </c>
      <c r="G1586" s="1" t="s">
        <v>758</v>
      </c>
      <c r="H1586" s="1" t="s">
        <v>47</v>
      </c>
      <c r="I1586" s="1" t="str">
        <f>"6"</f>
        <v>6</v>
      </c>
      <c r="J1586" s="3">
        <v>100.61</v>
      </c>
      <c r="K1586" s="4">
        <v>46084</v>
      </c>
      <c r="L1586" s="4">
        <v>46087</v>
      </c>
      <c r="M1586" s="1" t="s">
        <v>8793</v>
      </c>
      <c r="N1586" s="1" t="s">
        <v>1587</v>
      </c>
    </row>
    <row r="1587" spans="1:14" s="1" customFormat="1" x14ac:dyDescent="0.35">
      <c r="A1587" s="1" t="s">
        <v>4492</v>
      </c>
      <c r="B1587" s="1" t="s">
        <v>1516</v>
      </c>
      <c r="C1587" s="1" t="s">
        <v>1520</v>
      </c>
      <c r="D1587" s="1" t="s">
        <v>8792</v>
      </c>
      <c r="E1587" s="1" t="str">
        <f>"2310"</f>
        <v>2310</v>
      </c>
      <c r="F1587" s="1" t="str">
        <f>"016544105"</f>
        <v>016544105</v>
      </c>
      <c r="G1587" s="1" t="s">
        <v>232</v>
      </c>
      <c r="H1587" s="1" t="s">
        <v>15</v>
      </c>
      <c r="I1587" s="1" t="str">
        <f>"1"</f>
        <v>1</v>
      </c>
      <c r="J1587" s="3">
        <v>31905.14</v>
      </c>
      <c r="K1587" s="4">
        <v>46084</v>
      </c>
      <c r="L1587" s="4">
        <v>46087</v>
      </c>
      <c r="M1587" s="1" t="s">
        <v>8791</v>
      </c>
      <c r="N1587" s="1" t="s">
        <v>8790</v>
      </c>
    </row>
    <row r="1588" spans="1:14" s="1" customFormat="1" x14ac:dyDescent="0.35">
      <c r="A1588" s="1" t="s">
        <v>4492</v>
      </c>
      <c r="B1588" s="1" t="s">
        <v>1516</v>
      </c>
      <c r="C1588" s="1" t="s">
        <v>1520</v>
      </c>
      <c r="D1588" s="1" t="s">
        <v>8789</v>
      </c>
      <c r="E1588" s="1" t="str">
        <f>"7830"</f>
        <v>7830</v>
      </c>
      <c r="F1588" s="1" t="s">
        <v>2594</v>
      </c>
      <c r="G1588" s="1" t="s">
        <v>2595</v>
      </c>
      <c r="H1588" s="1" t="s">
        <v>15</v>
      </c>
      <c r="I1588" s="1" t="str">
        <f>"1"</f>
        <v>1</v>
      </c>
      <c r="J1588" s="3">
        <v>2071.8200000000002</v>
      </c>
      <c r="K1588" s="4">
        <v>46086</v>
      </c>
      <c r="L1588" s="4">
        <v>46095</v>
      </c>
      <c r="M1588" s="1" t="s">
        <v>8788</v>
      </c>
      <c r="N1588" s="1" t="s">
        <v>8787</v>
      </c>
    </row>
    <row r="1589" spans="1:14" s="1" customFormat="1" x14ac:dyDescent="0.35">
      <c r="A1589" s="1" t="s">
        <v>4492</v>
      </c>
      <c r="B1589" s="1" t="s">
        <v>1516</v>
      </c>
      <c r="C1589" s="1" t="s">
        <v>1520</v>
      </c>
      <c r="D1589" s="1" t="s">
        <v>8786</v>
      </c>
      <c r="E1589" s="1" t="str">
        <f>"8150"</f>
        <v>8150</v>
      </c>
      <c r="F1589" s="1" t="s">
        <v>8179</v>
      </c>
      <c r="G1589" s="1" t="s">
        <v>8178</v>
      </c>
      <c r="H1589" s="1" t="s">
        <v>15</v>
      </c>
      <c r="I1589" s="1" t="str">
        <f>"2"</f>
        <v>2</v>
      </c>
      <c r="J1589" s="3" t="str">
        <f>"3600"</f>
        <v>3600</v>
      </c>
      <c r="K1589" s="4">
        <v>46086</v>
      </c>
      <c r="L1589" s="4">
        <v>46087</v>
      </c>
      <c r="M1589" s="1" t="s">
        <v>4524</v>
      </c>
      <c r="N1589" s="1" t="s">
        <v>8785</v>
      </c>
    </row>
    <row r="1590" spans="1:14" s="1" customFormat="1" x14ac:dyDescent="0.35">
      <c r="A1590" s="1" t="s">
        <v>4492</v>
      </c>
      <c r="B1590" s="1" t="s">
        <v>1516</v>
      </c>
      <c r="C1590" s="1" t="s">
        <v>1520</v>
      </c>
      <c r="D1590" s="1" t="s">
        <v>8784</v>
      </c>
      <c r="E1590" s="1" t="str">
        <f>"6545"</f>
        <v>6545</v>
      </c>
      <c r="F1590" s="1" t="str">
        <f>"016859951"</f>
        <v>016859951</v>
      </c>
      <c r="G1590" s="1" t="s">
        <v>990</v>
      </c>
      <c r="H1590" s="1" t="s">
        <v>168</v>
      </c>
      <c r="I1590" s="1" t="str">
        <f>"19"</f>
        <v>19</v>
      </c>
      <c r="J1590" s="3">
        <v>264.8</v>
      </c>
      <c r="K1590" s="4">
        <v>46090</v>
      </c>
      <c r="L1590" s="4">
        <v>46093</v>
      </c>
      <c r="M1590" s="1" t="s">
        <v>8783</v>
      </c>
      <c r="N1590" s="1" t="s">
        <v>8782</v>
      </c>
    </row>
    <row r="1591" spans="1:14" s="1" customFormat="1" x14ac:dyDescent="0.35">
      <c r="A1591" s="1" t="s">
        <v>4492</v>
      </c>
      <c r="B1591" s="1" t="s">
        <v>1516</v>
      </c>
      <c r="C1591" s="1" t="s">
        <v>1520</v>
      </c>
      <c r="D1591" s="1" t="s">
        <v>8781</v>
      </c>
      <c r="E1591" s="1" t="str">
        <f>"8115"</f>
        <v>8115</v>
      </c>
      <c r="F1591" s="1" t="s">
        <v>412</v>
      </c>
      <c r="G1591" s="1" t="s">
        <v>413</v>
      </c>
      <c r="H1591" s="1" t="s">
        <v>15</v>
      </c>
      <c r="I1591" s="1" t="str">
        <f>"8"</f>
        <v>8</v>
      </c>
      <c r="J1591" s="3" t="str">
        <f>"80"</f>
        <v>80</v>
      </c>
      <c r="K1591" s="4">
        <v>46094</v>
      </c>
      <c r="L1591" s="4">
        <v>46095</v>
      </c>
      <c r="M1591" s="1" t="s">
        <v>8780</v>
      </c>
      <c r="N1591" s="1" t="s">
        <v>8779</v>
      </c>
    </row>
    <row r="1592" spans="1:14" s="1" customFormat="1" x14ac:dyDescent="0.35">
      <c r="A1592" s="1" t="s">
        <v>4492</v>
      </c>
      <c r="B1592" s="1" t="s">
        <v>1516</v>
      </c>
      <c r="C1592" s="1" t="s">
        <v>1520</v>
      </c>
      <c r="D1592" s="1" t="s">
        <v>8778</v>
      </c>
      <c r="E1592" s="1" t="str">
        <f>"2310"</f>
        <v>2310</v>
      </c>
      <c r="F1592" s="1" t="str">
        <f>"010907739"</f>
        <v>010907739</v>
      </c>
      <c r="G1592" s="1" t="s">
        <v>710</v>
      </c>
      <c r="H1592" s="1" t="s">
        <v>15</v>
      </c>
      <c r="I1592" s="1" t="str">
        <f>"1"</f>
        <v>1</v>
      </c>
      <c r="J1592" s="3" t="str">
        <f>"9176"</f>
        <v>9176</v>
      </c>
      <c r="K1592" s="4">
        <v>46100</v>
      </c>
      <c r="L1592" s="4">
        <v>46102</v>
      </c>
      <c r="M1592" s="1" t="s">
        <v>4524</v>
      </c>
      <c r="N1592" s="1" t="s">
        <v>8777</v>
      </c>
    </row>
    <row r="1593" spans="1:14" s="1" customFormat="1" x14ac:dyDescent="0.35">
      <c r="A1593" s="1" t="s">
        <v>4492</v>
      </c>
      <c r="B1593" s="1" t="s">
        <v>1516</v>
      </c>
      <c r="C1593" s="1" t="s">
        <v>1520</v>
      </c>
      <c r="D1593" s="1" t="s">
        <v>8776</v>
      </c>
      <c r="E1593" s="1" t="str">
        <f>"2310"</f>
        <v>2310</v>
      </c>
      <c r="F1593" s="1" t="s">
        <v>4332</v>
      </c>
      <c r="G1593" s="1" t="s">
        <v>4333</v>
      </c>
      <c r="H1593" s="1" t="s">
        <v>15</v>
      </c>
      <c r="I1593" s="1" t="str">
        <f>"1"</f>
        <v>1</v>
      </c>
      <c r="J1593" s="3" t="str">
        <f>"3000"</f>
        <v>3000</v>
      </c>
      <c r="K1593" s="4">
        <v>46091</v>
      </c>
      <c r="L1593" s="4">
        <v>46103</v>
      </c>
      <c r="M1593" s="1" t="s">
        <v>8775</v>
      </c>
      <c r="N1593" s="1" t="s">
        <v>8774</v>
      </c>
    </row>
    <row r="1594" spans="1:14" s="1" customFormat="1" x14ac:dyDescent="0.35">
      <c r="A1594" s="1" t="s">
        <v>4492</v>
      </c>
      <c r="B1594" s="1" t="s">
        <v>1516</v>
      </c>
      <c r="C1594" s="1" t="s">
        <v>1520</v>
      </c>
      <c r="D1594" s="1" t="s">
        <v>8773</v>
      </c>
      <c r="E1594" s="1" t="str">
        <f>"2330"</f>
        <v>2330</v>
      </c>
      <c r="F1594" s="1" t="s">
        <v>104</v>
      </c>
      <c r="G1594" s="1" t="s">
        <v>105</v>
      </c>
      <c r="H1594" s="1" t="s">
        <v>15</v>
      </c>
      <c r="I1594" s="1" t="str">
        <f>"1"</f>
        <v>1</v>
      </c>
      <c r="J1594" s="3" t="str">
        <f>"14555"</f>
        <v>14555</v>
      </c>
      <c r="K1594" s="4">
        <v>46095</v>
      </c>
      <c r="L1594" s="4">
        <v>46103</v>
      </c>
      <c r="M1594" s="1" t="s">
        <v>8772</v>
      </c>
      <c r="N1594" s="1" t="s">
        <v>8771</v>
      </c>
    </row>
    <row r="1595" spans="1:14" s="1" customFormat="1" x14ac:dyDescent="0.35">
      <c r="A1595" s="1" t="s">
        <v>4492</v>
      </c>
      <c r="B1595" s="1" t="s">
        <v>1516</v>
      </c>
      <c r="C1595" s="1" t="s">
        <v>1520</v>
      </c>
      <c r="D1595" s="1" t="s">
        <v>8770</v>
      </c>
      <c r="E1595" s="1" t="str">
        <f>"8115"</f>
        <v>8115</v>
      </c>
      <c r="F1595" s="1" t="str">
        <f>"001682275"</f>
        <v>001682275</v>
      </c>
      <c r="G1595" s="1" t="s">
        <v>431</v>
      </c>
      <c r="H1595" s="1" t="s">
        <v>15</v>
      </c>
      <c r="I1595" s="1" t="str">
        <f>"1"</f>
        <v>1</v>
      </c>
      <c r="J1595" s="3" t="str">
        <f>"1324"</f>
        <v>1324</v>
      </c>
      <c r="K1595" s="4">
        <v>46095</v>
      </c>
      <c r="L1595" s="4">
        <v>46106</v>
      </c>
      <c r="M1595" s="1" t="s">
        <v>8769</v>
      </c>
      <c r="N1595" s="1" t="s">
        <v>8768</v>
      </c>
    </row>
    <row r="1596" spans="1:14" s="1" customFormat="1" x14ac:dyDescent="0.35">
      <c r="A1596" s="1" t="s">
        <v>4492</v>
      </c>
      <c r="B1596" s="1" t="s">
        <v>1516</v>
      </c>
      <c r="C1596" s="1" t="s">
        <v>1520</v>
      </c>
      <c r="D1596" s="1" t="s">
        <v>8767</v>
      </c>
      <c r="E1596" s="1" t="str">
        <f>"2320"</f>
        <v>2320</v>
      </c>
      <c r="F1596" s="1" t="str">
        <f>"010907892"</f>
        <v>010907892</v>
      </c>
      <c r="G1596" s="1" t="s">
        <v>930</v>
      </c>
      <c r="H1596" s="1" t="s">
        <v>15</v>
      </c>
      <c r="I1596" s="1" t="str">
        <f>"2"</f>
        <v>2</v>
      </c>
      <c r="J1596" s="3" t="str">
        <f>"23000"</f>
        <v>23000</v>
      </c>
      <c r="K1596" s="4">
        <v>46095</v>
      </c>
      <c r="L1596" s="4">
        <v>46100</v>
      </c>
      <c r="M1596" s="1" t="s">
        <v>8766</v>
      </c>
      <c r="N1596" s="1" t="s">
        <v>8765</v>
      </c>
    </row>
    <row r="1597" spans="1:14" s="1" customFormat="1" x14ac:dyDescent="0.35">
      <c r="A1597" s="1" t="s">
        <v>4492</v>
      </c>
      <c r="B1597" s="1" t="s">
        <v>1516</v>
      </c>
      <c r="C1597" s="1" t="s">
        <v>1520</v>
      </c>
      <c r="D1597" s="1" t="s">
        <v>8764</v>
      </c>
      <c r="E1597" s="1" t="str">
        <f>"2310"</f>
        <v>2310</v>
      </c>
      <c r="F1597" s="1" t="s">
        <v>4332</v>
      </c>
      <c r="G1597" s="1" t="s">
        <v>4333</v>
      </c>
      <c r="H1597" s="1" t="s">
        <v>15</v>
      </c>
      <c r="I1597" s="1" t="str">
        <f>"1"</f>
        <v>1</v>
      </c>
      <c r="J1597" s="3">
        <v>26812.5</v>
      </c>
      <c r="K1597" s="4">
        <v>46097</v>
      </c>
      <c r="L1597" s="4">
        <v>46109</v>
      </c>
      <c r="M1597" s="1" t="s">
        <v>8763</v>
      </c>
      <c r="N1597" s="1" t="s">
        <v>8762</v>
      </c>
    </row>
    <row r="1598" spans="1:14" s="1" customFormat="1" x14ac:dyDescent="0.35">
      <c r="A1598" s="1" t="s">
        <v>4492</v>
      </c>
      <c r="B1598" s="1" t="s">
        <v>1516</v>
      </c>
      <c r="C1598" s="1" t="s">
        <v>1520</v>
      </c>
      <c r="D1598" s="1" t="s">
        <v>8761</v>
      </c>
      <c r="E1598" s="1" t="str">
        <f>"8415"</f>
        <v>8415</v>
      </c>
      <c r="F1598" s="1" t="s">
        <v>1944</v>
      </c>
      <c r="G1598" s="1" t="s">
        <v>1945</v>
      </c>
      <c r="H1598" s="1" t="s">
        <v>15</v>
      </c>
      <c r="I1598" s="1" t="str">
        <f>"11"</f>
        <v>11</v>
      </c>
      <c r="J1598" s="3">
        <v>265.45</v>
      </c>
      <c r="K1598" s="4">
        <v>46098</v>
      </c>
      <c r="L1598" s="4">
        <v>46099</v>
      </c>
      <c r="M1598" s="1" t="s">
        <v>4524</v>
      </c>
      <c r="N1598" s="1" t="s">
        <v>8754</v>
      </c>
    </row>
    <row r="1599" spans="1:14" s="1" customFormat="1" x14ac:dyDescent="0.35">
      <c r="A1599" s="1" t="s">
        <v>4492</v>
      </c>
      <c r="B1599" s="1" t="s">
        <v>1516</v>
      </c>
      <c r="C1599" s="1" t="s">
        <v>1520</v>
      </c>
      <c r="D1599" s="1" t="s">
        <v>8760</v>
      </c>
      <c r="E1599" s="1" t="str">
        <f>"8410"</f>
        <v>8410</v>
      </c>
      <c r="F1599" s="1" t="s">
        <v>8757</v>
      </c>
      <c r="G1599" s="1" t="s">
        <v>8756</v>
      </c>
      <c r="H1599" s="1" t="s">
        <v>15</v>
      </c>
      <c r="I1599" s="1" t="str">
        <f>"4"</f>
        <v>4</v>
      </c>
      <c r="J1599" s="3">
        <v>256.45</v>
      </c>
      <c r="K1599" s="4">
        <v>46098</v>
      </c>
      <c r="L1599" s="4">
        <v>46100</v>
      </c>
      <c r="M1599" s="1" t="s">
        <v>8759</v>
      </c>
      <c r="N1599" s="1" t="s">
        <v>8754</v>
      </c>
    </row>
    <row r="1600" spans="1:14" s="1" customFormat="1" x14ac:dyDescent="0.35">
      <c r="A1600" s="1" t="s">
        <v>4492</v>
      </c>
      <c r="B1600" s="1" t="s">
        <v>1516</v>
      </c>
      <c r="C1600" s="1" t="s">
        <v>1520</v>
      </c>
      <c r="D1600" s="1" t="s">
        <v>8758</v>
      </c>
      <c r="E1600" s="1" t="str">
        <f>"8410"</f>
        <v>8410</v>
      </c>
      <c r="F1600" s="1" t="s">
        <v>8757</v>
      </c>
      <c r="G1600" s="1" t="s">
        <v>8756</v>
      </c>
      <c r="H1600" s="1" t="s">
        <v>15</v>
      </c>
      <c r="I1600" s="1" t="str">
        <f>"17"</f>
        <v>17</v>
      </c>
      <c r="J1600" s="3">
        <v>256.45</v>
      </c>
      <c r="K1600" s="4">
        <v>46098</v>
      </c>
      <c r="L1600" s="4">
        <v>46100</v>
      </c>
      <c r="M1600" s="1" t="s">
        <v>8755</v>
      </c>
      <c r="N1600" s="1" t="s">
        <v>8754</v>
      </c>
    </row>
    <row r="1601" spans="1:14" s="1" customFormat="1" x14ac:dyDescent="0.35">
      <c r="A1601" s="1" t="s">
        <v>4492</v>
      </c>
      <c r="B1601" s="1" t="s">
        <v>1516</v>
      </c>
      <c r="C1601" s="1" t="s">
        <v>1520</v>
      </c>
      <c r="D1601" s="1" t="s">
        <v>8753</v>
      </c>
      <c r="E1601" s="1" t="str">
        <f>"8415"</f>
        <v>8415</v>
      </c>
      <c r="F1601" s="1" t="s">
        <v>1944</v>
      </c>
      <c r="G1601" s="1" t="s">
        <v>1945</v>
      </c>
      <c r="H1601" s="1" t="s">
        <v>15</v>
      </c>
      <c r="I1601" s="1" t="str">
        <f>"17"</f>
        <v>17</v>
      </c>
      <c r="J1601" s="3">
        <v>256.45</v>
      </c>
      <c r="K1601" s="4">
        <v>46105</v>
      </c>
      <c r="L1601" s="4">
        <v>46109</v>
      </c>
      <c r="M1601" s="1" t="s">
        <v>8752</v>
      </c>
      <c r="N1601" s="1" t="s">
        <v>8751</v>
      </c>
    </row>
    <row r="1602" spans="1:14" s="1" customFormat="1" x14ac:dyDescent="0.35">
      <c r="A1602" s="1" t="s">
        <v>4492</v>
      </c>
      <c r="B1602" s="1" t="s">
        <v>1516</v>
      </c>
      <c r="C1602" s="1" t="s">
        <v>1520</v>
      </c>
      <c r="D1602" s="1" t="s">
        <v>8750</v>
      </c>
      <c r="E1602" s="1" t="str">
        <f>"8465"</f>
        <v>8465</v>
      </c>
      <c r="F1602" s="1" t="str">
        <f>"016982346"</f>
        <v>016982346</v>
      </c>
      <c r="G1602" s="1" t="s">
        <v>8749</v>
      </c>
      <c r="H1602" s="1" t="s">
        <v>168</v>
      </c>
      <c r="I1602" s="1" t="str">
        <f>"10"</f>
        <v>10</v>
      </c>
      <c r="J1602" s="3">
        <v>199.39</v>
      </c>
      <c r="K1602" s="4">
        <v>46105</v>
      </c>
      <c r="L1602" s="4">
        <v>46106</v>
      </c>
      <c r="M1602" s="1" t="s">
        <v>4524</v>
      </c>
      <c r="N1602" s="1" t="s">
        <v>8748</v>
      </c>
    </row>
    <row r="1603" spans="1:14" s="1" customFormat="1" x14ac:dyDescent="0.35">
      <c r="A1603" s="1" t="s">
        <v>4492</v>
      </c>
      <c r="B1603" s="1" t="s">
        <v>1303</v>
      </c>
      <c r="C1603" s="1" t="s">
        <v>8747</v>
      </c>
      <c r="D1603" s="1" t="s">
        <v>8746</v>
      </c>
      <c r="E1603" s="1" t="str">
        <f>"6515"</f>
        <v>6515</v>
      </c>
      <c r="F1603" s="1" t="str">
        <f>"015879943"</f>
        <v>015879943</v>
      </c>
      <c r="G1603" s="1" t="s">
        <v>2250</v>
      </c>
      <c r="H1603" s="1" t="s">
        <v>15</v>
      </c>
      <c r="I1603" s="1" t="str">
        <f>"5"</f>
        <v>5</v>
      </c>
      <c r="J1603" s="3">
        <v>32.1</v>
      </c>
      <c r="K1603" s="4">
        <v>46014</v>
      </c>
      <c r="L1603" s="4">
        <v>46048</v>
      </c>
      <c r="M1603" s="1" t="s">
        <v>8745</v>
      </c>
      <c r="N1603" s="1" t="s">
        <v>8744</v>
      </c>
    </row>
    <row r="1604" spans="1:14" s="1" customFormat="1" x14ac:dyDescent="0.35">
      <c r="A1604" s="1" t="s">
        <v>4492</v>
      </c>
      <c r="B1604" s="1" t="s">
        <v>1989</v>
      </c>
      <c r="C1604" s="1" t="s">
        <v>8740</v>
      </c>
      <c r="D1604" s="1" t="s">
        <v>8743</v>
      </c>
      <c r="E1604" s="1" t="str">
        <f>"2320"</f>
        <v>2320</v>
      </c>
      <c r="F1604" s="1" t="str">
        <f>"010907882"</f>
        <v>010907882</v>
      </c>
      <c r="G1604" s="1" t="s">
        <v>930</v>
      </c>
      <c r="H1604" s="1" t="s">
        <v>15</v>
      </c>
      <c r="I1604" s="1" t="str">
        <f>"1"</f>
        <v>1</v>
      </c>
      <c r="J1604" s="3" t="str">
        <f>"9408"</f>
        <v>9408</v>
      </c>
      <c r="K1604" s="4">
        <v>46048</v>
      </c>
      <c r="L1604" s="4">
        <v>46060</v>
      </c>
      <c r="M1604" s="1" t="s">
        <v>8742</v>
      </c>
      <c r="N1604" s="1" t="s">
        <v>8741</v>
      </c>
    </row>
    <row r="1605" spans="1:14" s="1" customFormat="1" x14ac:dyDescent="0.35">
      <c r="A1605" s="1" t="s">
        <v>4492</v>
      </c>
      <c r="B1605" s="1" t="s">
        <v>1989</v>
      </c>
      <c r="C1605" s="1" t="s">
        <v>8740</v>
      </c>
      <c r="D1605" s="1" t="s">
        <v>8739</v>
      </c>
      <c r="E1605" s="1" t="str">
        <f>"6230"</f>
        <v>6230</v>
      </c>
      <c r="F1605" s="1" t="str">
        <f>"015978436"</f>
        <v>015978436</v>
      </c>
      <c r="G1605" s="1" t="s">
        <v>4634</v>
      </c>
      <c r="H1605" s="1" t="s">
        <v>15</v>
      </c>
      <c r="I1605" s="1" t="str">
        <f>"1"</f>
        <v>1</v>
      </c>
      <c r="J1605" s="3">
        <v>1422.63</v>
      </c>
      <c r="K1605" s="4">
        <v>46049</v>
      </c>
      <c r="L1605" s="4">
        <v>46050</v>
      </c>
      <c r="M1605" s="1" t="s">
        <v>8738</v>
      </c>
      <c r="N1605" s="1" t="s">
        <v>8737</v>
      </c>
    </row>
    <row r="1606" spans="1:14" s="1" customFormat="1" x14ac:dyDescent="0.35">
      <c r="A1606" s="1" t="s">
        <v>4492</v>
      </c>
      <c r="B1606" s="1" t="s">
        <v>1453</v>
      </c>
      <c r="C1606" s="1" t="s">
        <v>8718</v>
      </c>
      <c r="D1606" s="1" t="s">
        <v>8736</v>
      </c>
      <c r="E1606" s="1" t="str">
        <f>"5855"</f>
        <v>5855</v>
      </c>
      <c r="F1606" s="1" t="str">
        <f>"015847217"</f>
        <v>015847217</v>
      </c>
      <c r="G1606" s="1" t="s">
        <v>614</v>
      </c>
      <c r="H1606" s="1" t="s">
        <v>15</v>
      </c>
      <c r="I1606" s="1" t="str">
        <f>"5"</f>
        <v>5</v>
      </c>
      <c r="J1606" s="3" t="str">
        <f>"34084"</f>
        <v>34084</v>
      </c>
      <c r="K1606" s="4">
        <v>46086</v>
      </c>
      <c r="L1606" s="4">
        <v>46087</v>
      </c>
      <c r="M1606" s="1" t="s">
        <v>4524</v>
      </c>
      <c r="N1606" s="1" t="s">
        <v>8735</v>
      </c>
    </row>
    <row r="1607" spans="1:14" s="1" customFormat="1" x14ac:dyDescent="0.35">
      <c r="A1607" s="1" t="s">
        <v>4492</v>
      </c>
      <c r="B1607" s="1" t="s">
        <v>1453</v>
      </c>
      <c r="C1607" s="1" t="s">
        <v>8718</v>
      </c>
      <c r="D1607" s="1" t="s">
        <v>8734</v>
      </c>
      <c r="E1607" s="1" t="str">
        <f>"5855"</f>
        <v>5855</v>
      </c>
      <c r="F1607" s="1" t="str">
        <f>"015345931"</f>
        <v>015345931</v>
      </c>
      <c r="G1607" s="1" t="s">
        <v>742</v>
      </c>
      <c r="H1607" s="1" t="s">
        <v>15</v>
      </c>
      <c r="I1607" s="1" t="str">
        <f>"18"</f>
        <v>18</v>
      </c>
      <c r="J1607" s="3" t="str">
        <f>"970"</f>
        <v>970</v>
      </c>
      <c r="K1607" s="4">
        <v>46082</v>
      </c>
      <c r="L1607" s="4">
        <v>46087</v>
      </c>
      <c r="M1607" s="1" t="s">
        <v>4524</v>
      </c>
      <c r="N1607" s="1" t="s">
        <v>8733</v>
      </c>
    </row>
    <row r="1608" spans="1:14" s="1" customFormat="1" x14ac:dyDescent="0.35">
      <c r="A1608" s="1" t="s">
        <v>4492</v>
      </c>
      <c r="B1608" s="1" t="s">
        <v>1453</v>
      </c>
      <c r="C1608" s="1" t="s">
        <v>8718</v>
      </c>
      <c r="D1608" s="1" t="s">
        <v>8732</v>
      </c>
      <c r="E1608" s="1" t="str">
        <f>"5855"</f>
        <v>5855</v>
      </c>
      <c r="F1608" s="1" t="str">
        <f>"015847217"</f>
        <v>015847217</v>
      </c>
      <c r="G1608" s="1" t="s">
        <v>614</v>
      </c>
      <c r="H1608" s="1" t="s">
        <v>15</v>
      </c>
      <c r="I1608" s="1" t="str">
        <f>"5"</f>
        <v>5</v>
      </c>
      <c r="J1608" s="3" t="str">
        <f>"34084"</f>
        <v>34084</v>
      </c>
      <c r="K1608" s="4">
        <v>46096</v>
      </c>
      <c r="L1608" s="4">
        <v>46100</v>
      </c>
      <c r="M1608" s="1" t="s">
        <v>4524</v>
      </c>
      <c r="N1608" s="1" t="s">
        <v>8731</v>
      </c>
    </row>
    <row r="1609" spans="1:14" s="1" customFormat="1" x14ac:dyDescent="0.35">
      <c r="A1609" s="1" t="s">
        <v>4492</v>
      </c>
      <c r="B1609" s="1" t="s">
        <v>1453</v>
      </c>
      <c r="C1609" s="1" t="s">
        <v>8718</v>
      </c>
      <c r="D1609" s="1" t="s">
        <v>8730</v>
      </c>
      <c r="E1609" s="1" t="str">
        <f>"5855"</f>
        <v>5855</v>
      </c>
      <c r="F1609" s="1" t="str">
        <f>"015777174"</f>
        <v>015777174</v>
      </c>
      <c r="G1609" s="1" t="s">
        <v>952</v>
      </c>
      <c r="H1609" s="1" t="s">
        <v>15</v>
      </c>
      <c r="I1609" s="1" t="str">
        <f>"20"</f>
        <v>20</v>
      </c>
      <c r="J1609" s="3" t="str">
        <f>"1791"</f>
        <v>1791</v>
      </c>
      <c r="K1609" s="4">
        <v>46096</v>
      </c>
      <c r="L1609" s="4">
        <v>46099</v>
      </c>
      <c r="M1609" s="1" t="s">
        <v>4524</v>
      </c>
      <c r="N1609" s="1" t="s">
        <v>8729</v>
      </c>
    </row>
    <row r="1610" spans="1:14" s="1" customFormat="1" x14ac:dyDescent="0.35">
      <c r="A1610" s="1" t="s">
        <v>4492</v>
      </c>
      <c r="B1610" s="1" t="s">
        <v>1453</v>
      </c>
      <c r="C1610" s="1" t="s">
        <v>8718</v>
      </c>
      <c r="D1610" s="1" t="s">
        <v>8728</v>
      </c>
      <c r="E1610" s="1" t="str">
        <f>"5855"</f>
        <v>5855</v>
      </c>
      <c r="F1610" s="1" t="s">
        <v>985</v>
      </c>
      <c r="G1610" s="1" t="s">
        <v>986</v>
      </c>
      <c r="H1610" s="1" t="s">
        <v>15</v>
      </c>
      <c r="I1610" s="1" t="str">
        <f>"8"</f>
        <v>8</v>
      </c>
      <c r="J1610" s="3" t="str">
        <f>"3595"</f>
        <v>3595</v>
      </c>
      <c r="K1610" s="4">
        <v>46098</v>
      </c>
      <c r="L1610" s="4">
        <v>46107</v>
      </c>
      <c r="M1610" s="1" t="s">
        <v>8727</v>
      </c>
      <c r="N1610" s="1" t="s">
        <v>8726</v>
      </c>
    </row>
    <row r="1611" spans="1:14" s="1" customFormat="1" x14ac:dyDescent="0.35">
      <c r="A1611" s="1" t="s">
        <v>4492</v>
      </c>
      <c r="B1611" s="1" t="s">
        <v>1453</v>
      </c>
      <c r="C1611" s="1" t="s">
        <v>8718</v>
      </c>
      <c r="D1611" s="1" t="s">
        <v>8725</v>
      </c>
      <c r="E1611" s="1" t="str">
        <f>"5855"</f>
        <v>5855</v>
      </c>
      <c r="F1611" s="1" t="str">
        <f>"015847217"</f>
        <v>015847217</v>
      </c>
      <c r="G1611" s="1" t="s">
        <v>614</v>
      </c>
      <c r="H1611" s="1" t="s">
        <v>15</v>
      </c>
      <c r="I1611" s="1" t="str">
        <f>"5"</f>
        <v>5</v>
      </c>
      <c r="J1611" s="3" t="str">
        <f>"34084"</f>
        <v>34084</v>
      </c>
      <c r="K1611" s="4">
        <v>46100</v>
      </c>
      <c r="L1611" s="4">
        <v>46105</v>
      </c>
      <c r="M1611" s="1" t="s">
        <v>8724</v>
      </c>
      <c r="N1611" s="1" t="s">
        <v>8723</v>
      </c>
    </row>
    <row r="1612" spans="1:14" s="1" customFormat="1" x14ac:dyDescent="0.35">
      <c r="A1612" s="1" t="s">
        <v>4492</v>
      </c>
      <c r="B1612" s="1" t="s">
        <v>1453</v>
      </c>
      <c r="C1612" s="1" t="s">
        <v>8718</v>
      </c>
      <c r="D1612" s="1" t="s">
        <v>8722</v>
      </c>
      <c r="E1612" s="1" t="str">
        <f>"5855"</f>
        <v>5855</v>
      </c>
      <c r="F1612" s="1" t="str">
        <f>"015847217"</f>
        <v>015847217</v>
      </c>
      <c r="G1612" s="1" t="s">
        <v>614</v>
      </c>
      <c r="H1612" s="1" t="s">
        <v>15</v>
      </c>
      <c r="I1612" s="1" t="str">
        <f>"5"</f>
        <v>5</v>
      </c>
      <c r="J1612" s="3" t="str">
        <f>"34084"</f>
        <v>34084</v>
      </c>
      <c r="K1612" s="4">
        <v>46105</v>
      </c>
      <c r="L1612" s="4">
        <v>46106</v>
      </c>
      <c r="M1612" s="1" t="s">
        <v>4524</v>
      </c>
      <c r="N1612" s="1" t="s">
        <v>8721</v>
      </c>
    </row>
    <row r="1613" spans="1:14" s="1" customFormat="1" x14ac:dyDescent="0.35">
      <c r="A1613" s="1" t="s">
        <v>4492</v>
      </c>
      <c r="B1613" s="1" t="s">
        <v>1453</v>
      </c>
      <c r="C1613" s="1" t="s">
        <v>8718</v>
      </c>
      <c r="D1613" s="1" t="s">
        <v>8720</v>
      </c>
      <c r="E1613" s="1" t="str">
        <f>"5855"</f>
        <v>5855</v>
      </c>
      <c r="F1613" s="1" t="str">
        <f>"015847217"</f>
        <v>015847217</v>
      </c>
      <c r="G1613" s="1" t="s">
        <v>614</v>
      </c>
      <c r="H1613" s="1" t="s">
        <v>15</v>
      </c>
      <c r="I1613" s="1" t="str">
        <f>"5"</f>
        <v>5</v>
      </c>
      <c r="J1613" s="3" t="str">
        <f>"34084"</f>
        <v>34084</v>
      </c>
      <c r="K1613" s="4">
        <v>46107</v>
      </c>
      <c r="L1613" s="4">
        <v>46108</v>
      </c>
      <c r="M1613" s="1" t="s">
        <v>4524</v>
      </c>
      <c r="N1613" s="1" t="s">
        <v>8719</v>
      </c>
    </row>
    <row r="1614" spans="1:14" s="1" customFormat="1" x14ac:dyDescent="0.35">
      <c r="A1614" s="1" t="s">
        <v>4492</v>
      </c>
      <c r="B1614" s="1" t="s">
        <v>1453</v>
      </c>
      <c r="C1614" s="1" t="s">
        <v>8718</v>
      </c>
      <c r="D1614" s="1" t="s">
        <v>8717</v>
      </c>
      <c r="E1614" s="1" t="str">
        <f>"5855"</f>
        <v>5855</v>
      </c>
      <c r="F1614" s="1" t="str">
        <f>"015847217"</f>
        <v>015847217</v>
      </c>
      <c r="G1614" s="1" t="s">
        <v>614</v>
      </c>
      <c r="H1614" s="1" t="s">
        <v>15</v>
      </c>
      <c r="I1614" s="1" t="str">
        <f>"5"</f>
        <v>5</v>
      </c>
      <c r="J1614" s="3" t="str">
        <f>"34084"</f>
        <v>34084</v>
      </c>
      <c r="K1614" s="4">
        <v>46108</v>
      </c>
      <c r="L1614" s="4">
        <v>46110</v>
      </c>
      <c r="M1614" s="1" t="s">
        <v>4524</v>
      </c>
      <c r="N1614" s="1" t="s">
        <v>8716</v>
      </c>
    </row>
    <row r="1615" spans="1:14" s="1" customFormat="1" x14ac:dyDescent="0.35">
      <c r="A1615" s="1" t="s">
        <v>4492</v>
      </c>
      <c r="B1615" s="1" t="s">
        <v>2368</v>
      </c>
      <c r="C1615" s="1" t="s">
        <v>8715</v>
      </c>
      <c r="D1615" s="1" t="s">
        <v>8714</v>
      </c>
      <c r="E1615" s="1" t="str">
        <f>"1550"</f>
        <v>1550</v>
      </c>
      <c r="F1615" s="1" t="str">
        <f>"016910162"</f>
        <v>016910162</v>
      </c>
      <c r="G1615" s="1" t="s">
        <v>1789</v>
      </c>
      <c r="H1615" s="1" t="s">
        <v>168</v>
      </c>
      <c r="I1615" s="1" t="str">
        <f>"2"</f>
        <v>2</v>
      </c>
      <c r="J1615" s="3" t="str">
        <f>"149500"</f>
        <v>149500</v>
      </c>
      <c r="K1615" s="4">
        <v>46002</v>
      </c>
      <c r="L1615" s="4">
        <v>46044</v>
      </c>
      <c r="M1615" s="1" t="s">
        <v>8713</v>
      </c>
      <c r="N1615" s="1" t="s">
        <v>8712</v>
      </c>
    </row>
    <row r="1616" spans="1:14" s="1" customFormat="1" x14ac:dyDescent="0.35">
      <c r="A1616" s="1" t="s">
        <v>4492</v>
      </c>
      <c r="B1616" s="1" t="s">
        <v>3356</v>
      </c>
      <c r="C1616" s="1" t="s">
        <v>3518</v>
      </c>
      <c r="D1616" s="1" t="s">
        <v>8711</v>
      </c>
      <c r="E1616" s="1" t="str">
        <f>"8145"</f>
        <v>8145</v>
      </c>
      <c r="F1616" s="1" t="str">
        <f>"015023927"</f>
        <v>015023927</v>
      </c>
      <c r="G1616" s="1" t="s">
        <v>8710</v>
      </c>
      <c r="H1616" s="1" t="s">
        <v>15</v>
      </c>
      <c r="I1616" s="1" t="str">
        <f>"1"</f>
        <v>1</v>
      </c>
      <c r="J1616" s="3">
        <v>147214.82999999999</v>
      </c>
      <c r="K1616" s="4">
        <v>46041</v>
      </c>
      <c r="L1616" s="4">
        <v>46064</v>
      </c>
      <c r="M1616" s="1" t="s">
        <v>8709</v>
      </c>
      <c r="N1616" s="1" t="s">
        <v>8708</v>
      </c>
    </row>
    <row r="1617" spans="1:14" s="1" customFormat="1" x14ac:dyDescent="0.35">
      <c r="A1617" s="1" t="s">
        <v>4492</v>
      </c>
      <c r="B1617" s="1" t="s">
        <v>3356</v>
      </c>
      <c r="C1617" s="1" t="s">
        <v>3518</v>
      </c>
      <c r="D1617" s="1" t="s">
        <v>8707</v>
      </c>
      <c r="E1617" s="1" t="str">
        <f>"4240"</f>
        <v>4240</v>
      </c>
      <c r="F1617" s="1" t="str">
        <f>"016308327"</f>
        <v>016308327</v>
      </c>
      <c r="G1617" s="1" t="s">
        <v>1404</v>
      </c>
      <c r="H1617" s="1" t="s">
        <v>15</v>
      </c>
      <c r="I1617" s="1" t="str">
        <f>"35"</f>
        <v>35</v>
      </c>
      <c r="J1617" s="3">
        <v>48.01</v>
      </c>
      <c r="K1617" s="4">
        <v>46054</v>
      </c>
      <c r="L1617" s="4">
        <v>46055</v>
      </c>
      <c r="M1617" s="1" t="s">
        <v>4524</v>
      </c>
      <c r="N1617" s="1" t="s">
        <v>8706</v>
      </c>
    </row>
    <row r="1618" spans="1:14" s="1" customFormat="1" x14ac:dyDescent="0.35">
      <c r="A1618" s="1" t="s">
        <v>4492</v>
      </c>
      <c r="B1618" s="1" t="s">
        <v>3356</v>
      </c>
      <c r="C1618" s="1" t="s">
        <v>3518</v>
      </c>
      <c r="D1618" s="1" t="s">
        <v>8705</v>
      </c>
      <c r="E1618" s="1" t="str">
        <f>"2320"</f>
        <v>2320</v>
      </c>
      <c r="F1618" s="1" t="str">
        <f>"013469317"</f>
        <v>013469317</v>
      </c>
      <c r="G1618" s="1" t="s">
        <v>1860</v>
      </c>
      <c r="H1618" s="1" t="s">
        <v>15</v>
      </c>
      <c r="I1618" s="1" t="str">
        <f>"1"</f>
        <v>1</v>
      </c>
      <c r="J1618" s="3" t="str">
        <f>"94171"</f>
        <v>94171</v>
      </c>
      <c r="K1618" s="4">
        <v>46057</v>
      </c>
      <c r="L1618" s="4">
        <v>46058</v>
      </c>
      <c r="M1618" s="1" t="s">
        <v>4524</v>
      </c>
      <c r="N1618" s="1" t="s">
        <v>8704</v>
      </c>
    </row>
    <row r="1619" spans="1:14" s="1" customFormat="1" x14ac:dyDescent="0.35">
      <c r="A1619" s="1" t="s">
        <v>4492</v>
      </c>
      <c r="B1619" s="1" t="s">
        <v>3356</v>
      </c>
      <c r="C1619" s="1" t="s">
        <v>3518</v>
      </c>
      <c r="D1619" s="1" t="s">
        <v>8703</v>
      </c>
      <c r="E1619" s="1" t="str">
        <f>"8465"</f>
        <v>8465</v>
      </c>
      <c r="F1619" s="1" t="str">
        <f>"015472694"</f>
        <v>015472694</v>
      </c>
      <c r="G1619" s="1" t="s">
        <v>1961</v>
      </c>
      <c r="H1619" s="1" t="s">
        <v>15</v>
      </c>
      <c r="I1619" s="1" t="str">
        <f>"1"</f>
        <v>1</v>
      </c>
      <c r="J1619" s="3">
        <v>96.33</v>
      </c>
      <c r="K1619" s="4">
        <v>46059</v>
      </c>
      <c r="L1619" s="4">
        <v>46060</v>
      </c>
      <c r="M1619" s="1" t="s">
        <v>4524</v>
      </c>
      <c r="N1619" s="1" t="s">
        <v>8691</v>
      </c>
    </row>
    <row r="1620" spans="1:14" s="1" customFormat="1" x14ac:dyDescent="0.35">
      <c r="A1620" s="1" t="s">
        <v>4492</v>
      </c>
      <c r="B1620" s="1" t="s">
        <v>3356</v>
      </c>
      <c r="C1620" s="1" t="s">
        <v>3518</v>
      </c>
      <c r="D1620" s="1" t="s">
        <v>8702</v>
      </c>
      <c r="E1620" s="1" t="str">
        <f>"8465"</f>
        <v>8465</v>
      </c>
      <c r="F1620" s="1" t="str">
        <f>"015472757"</f>
        <v>015472757</v>
      </c>
      <c r="G1620" s="1" t="s">
        <v>222</v>
      </c>
      <c r="H1620" s="1" t="s">
        <v>15</v>
      </c>
      <c r="I1620" s="1" t="str">
        <f>"3"</f>
        <v>3</v>
      </c>
      <c r="J1620" s="3">
        <v>314.07</v>
      </c>
      <c r="K1620" s="4">
        <v>46059</v>
      </c>
      <c r="L1620" s="4">
        <v>46060</v>
      </c>
      <c r="M1620" s="1" t="s">
        <v>4524</v>
      </c>
      <c r="N1620" s="1" t="s">
        <v>8691</v>
      </c>
    </row>
    <row r="1621" spans="1:14" s="1" customFormat="1" x14ac:dyDescent="0.35">
      <c r="A1621" s="1" t="s">
        <v>4492</v>
      </c>
      <c r="B1621" s="1" t="s">
        <v>3356</v>
      </c>
      <c r="C1621" s="1" t="s">
        <v>3518</v>
      </c>
      <c r="D1621" s="1" t="s">
        <v>8701</v>
      </c>
      <c r="E1621" s="1" t="str">
        <f>"8465"</f>
        <v>8465</v>
      </c>
      <c r="F1621" s="1" t="str">
        <f>"015472757"</f>
        <v>015472757</v>
      </c>
      <c r="G1621" s="1" t="s">
        <v>222</v>
      </c>
      <c r="H1621" s="1" t="s">
        <v>15</v>
      </c>
      <c r="I1621" s="1" t="str">
        <f>"3"</f>
        <v>3</v>
      </c>
      <c r="J1621" s="3">
        <v>314.07</v>
      </c>
      <c r="K1621" s="4">
        <v>46059</v>
      </c>
      <c r="L1621" s="4">
        <v>46060</v>
      </c>
      <c r="M1621" s="1" t="s">
        <v>4524</v>
      </c>
      <c r="N1621" s="1" t="s">
        <v>8691</v>
      </c>
    </row>
    <row r="1622" spans="1:14" s="1" customFormat="1" x14ac:dyDescent="0.35">
      <c r="A1622" s="1" t="s">
        <v>4492</v>
      </c>
      <c r="B1622" s="1" t="s">
        <v>3356</v>
      </c>
      <c r="C1622" s="1" t="s">
        <v>3518</v>
      </c>
      <c r="D1622" s="1" t="s">
        <v>8700</v>
      </c>
      <c r="E1622" s="1" t="str">
        <f>"8465"</f>
        <v>8465</v>
      </c>
      <c r="F1622" s="1" t="str">
        <f>"015472757"</f>
        <v>015472757</v>
      </c>
      <c r="G1622" s="1" t="s">
        <v>222</v>
      </c>
      <c r="H1622" s="1" t="s">
        <v>15</v>
      </c>
      <c r="I1622" s="1" t="str">
        <f>"3"</f>
        <v>3</v>
      </c>
      <c r="J1622" s="3">
        <v>314.07</v>
      </c>
      <c r="K1622" s="4">
        <v>46059</v>
      </c>
      <c r="L1622" s="4">
        <v>46060</v>
      </c>
      <c r="M1622" s="1" t="s">
        <v>4524</v>
      </c>
      <c r="N1622" s="1" t="s">
        <v>8691</v>
      </c>
    </row>
    <row r="1623" spans="1:14" s="1" customFormat="1" x14ac:dyDescent="0.35">
      <c r="A1623" s="1" t="s">
        <v>4492</v>
      </c>
      <c r="B1623" s="1" t="s">
        <v>3356</v>
      </c>
      <c r="C1623" s="1" t="s">
        <v>3518</v>
      </c>
      <c r="D1623" s="1" t="s">
        <v>8699</v>
      </c>
      <c r="E1623" s="1" t="str">
        <f>"8465"</f>
        <v>8465</v>
      </c>
      <c r="F1623" s="1" t="str">
        <f>"013936515"</f>
        <v>013936515</v>
      </c>
      <c r="G1623" s="1" t="s">
        <v>975</v>
      </c>
      <c r="H1623" s="1" t="s">
        <v>15</v>
      </c>
      <c r="I1623" s="1" t="str">
        <f>"2"</f>
        <v>2</v>
      </c>
      <c r="J1623" s="3">
        <v>68.81</v>
      </c>
      <c r="K1623" s="4">
        <v>46059</v>
      </c>
      <c r="L1623" s="4">
        <v>46060</v>
      </c>
      <c r="M1623" s="1" t="s">
        <v>4524</v>
      </c>
      <c r="N1623" s="1" t="s">
        <v>8691</v>
      </c>
    </row>
    <row r="1624" spans="1:14" s="1" customFormat="1" x14ac:dyDescent="0.35">
      <c r="A1624" s="1" t="s">
        <v>4492</v>
      </c>
      <c r="B1624" s="1" t="s">
        <v>3356</v>
      </c>
      <c r="C1624" s="1" t="s">
        <v>3518</v>
      </c>
      <c r="D1624" s="1" t="s">
        <v>8698</v>
      </c>
      <c r="E1624" s="1" t="str">
        <f>"8465"</f>
        <v>8465</v>
      </c>
      <c r="F1624" s="1" t="str">
        <f>"015472757"</f>
        <v>015472757</v>
      </c>
      <c r="G1624" s="1" t="s">
        <v>222</v>
      </c>
      <c r="H1624" s="1" t="s">
        <v>15</v>
      </c>
      <c r="I1624" s="1" t="str">
        <f>"2"</f>
        <v>2</v>
      </c>
      <c r="J1624" s="3">
        <v>314.07</v>
      </c>
      <c r="K1624" s="4">
        <v>46059</v>
      </c>
      <c r="L1624" s="4">
        <v>46060</v>
      </c>
      <c r="M1624" s="1" t="s">
        <v>4524</v>
      </c>
      <c r="N1624" s="1" t="s">
        <v>8691</v>
      </c>
    </row>
    <row r="1625" spans="1:14" s="1" customFormat="1" x14ac:dyDescent="0.35">
      <c r="A1625" s="1" t="s">
        <v>4492</v>
      </c>
      <c r="B1625" s="1" t="s">
        <v>3356</v>
      </c>
      <c r="C1625" s="1" t="s">
        <v>3518</v>
      </c>
      <c r="D1625" s="1" t="s">
        <v>8697</v>
      </c>
      <c r="E1625" s="1" t="str">
        <f>"8465"</f>
        <v>8465</v>
      </c>
      <c r="F1625" s="1" t="str">
        <f>"013936515"</f>
        <v>013936515</v>
      </c>
      <c r="G1625" s="1" t="s">
        <v>975</v>
      </c>
      <c r="H1625" s="1" t="s">
        <v>15</v>
      </c>
      <c r="I1625" s="1" t="str">
        <f>"2"</f>
        <v>2</v>
      </c>
      <c r="J1625" s="3">
        <v>68.81</v>
      </c>
      <c r="K1625" s="4">
        <v>46059</v>
      </c>
      <c r="L1625" s="4">
        <v>46060</v>
      </c>
      <c r="M1625" s="1" t="s">
        <v>4524</v>
      </c>
      <c r="N1625" s="1" t="s">
        <v>8691</v>
      </c>
    </row>
    <row r="1626" spans="1:14" s="1" customFormat="1" x14ac:dyDescent="0.35">
      <c r="A1626" s="1" t="s">
        <v>4492</v>
      </c>
      <c r="B1626" s="1" t="s">
        <v>3356</v>
      </c>
      <c r="C1626" s="1" t="s">
        <v>3518</v>
      </c>
      <c r="D1626" s="1" t="s">
        <v>8696</v>
      </c>
      <c r="E1626" s="1" t="str">
        <f>"8465"</f>
        <v>8465</v>
      </c>
      <c r="F1626" s="1" t="str">
        <f>"015472757"</f>
        <v>015472757</v>
      </c>
      <c r="G1626" s="1" t="s">
        <v>222</v>
      </c>
      <c r="H1626" s="1" t="s">
        <v>15</v>
      </c>
      <c r="I1626" s="1" t="str">
        <f>"2"</f>
        <v>2</v>
      </c>
      <c r="J1626" s="3">
        <v>314.07</v>
      </c>
      <c r="K1626" s="4">
        <v>46059</v>
      </c>
      <c r="L1626" s="4">
        <v>46060</v>
      </c>
      <c r="M1626" s="1" t="s">
        <v>4524</v>
      </c>
      <c r="N1626" s="1" t="s">
        <v>8691</v>
      </c>
    </row>
    <row r="1627" spans="1:14" s="1" customFormat="1" x14ac:dyDescent="0.35">
      <c r="A1627" s="1" t="s">
        <v>4492</v>
      </c>
      <c r="B1627" s="1" t="s">
        <v>3356</v>
      </c>
      <c r="C1627" s="1" t="s">
        <v>3518</v>
      </c>
      <c r="D1627" s="1" t="s">
        <v>8695</v>
      </c>
      <c r="E1627" s="1" t="str">
        <f>"8465"</f>
        <v>8465</v>
      </c>
      <c r="F1627" s="1" t="str">
        <f>"015472694"</f>
        <v>015472694</v>
      </c>
      <c r="G1627" s="1" t="s">
        <v>1961</v>
      </c>
      <c r="H1627" s="1" t="s">
        <v>15</v>
      </c>
      <c r="I1627" s="1" t="str">
        <f>"1"</f>
        <v>1</v>
      </c>
      <c r="J1627" s="3">
        <v>96.33</v>
      </c>
      <c r="K1627" s="4">
        <v>46059</v>
      </c>
      <c r="L1627" s="4">
        <v>46060</v>
      </c>
      <c r="M1627" s="1" t="s">
        <v>4524</v>
      </c>
      <c r="N1627" s="1" t="s">
        <v>8691</v>
      </c>
    </row>
    <row r="1628" spans="1:14" s="1" customFormat="1" x14ac:dyDescent="0.35">
      <c r="A1628" s="1" t="s">
        <v>4492</v>
      </c>
      <c r="B1628" s="1" t="s">
        <v>3356</v>
      </c>
      <c r="C1628" s="1" t="s">
        <v>3518</v>
      </c>
      <c r="D1628" s="1" t="s">
        <v>8694</v>
      </c>
      <c r="E1628" s="1" t="str">
        <f>"8465"</f>
        <v>8465</v>
      </c>
      <c r="F1628" s="1" t="s">
        <v>8693</v>
      </c>
      <c r="G1628" s="1" t="s">
        <v>8692</v>
      </c>
      <c r="H1628" s="1" t="s">
        <v>15</v>
      </c>
      <c r="I1628" s="1" t="str">
        <f>"1"</f>
        <v>1</v>
      </c>
      <c r="J1628" s="3" t="str">
        <f>"50"</f>
        <v>50</v>
      </c>
      <c r="K1628" s="4">
        <v>46059</v>
      </c>
      <c r="L1628" s="4">
        <v>46060</v>
      </c>
      <c r="M1628" s="1" t="s">
        <v>4524</v>
      </c>
      <c r="N1628" s="1" t="s">
        <v>8691</v>
      </c>
    </row>
    <row r="1629" spans="1:14" s="1" customFormat="1" x14ac:dyDescent="0.35">
      <c r="A1629" s="1" t="s">
        <v>4492</v>
      </c>
      <c r="B1629" s="1" t="s">
        <v>3356</v>
      </c>
      <c r="C1629" s="1" t="s">
        <v>3518</v>
      </c>
      <c r="D1629" s="1" t="s">
        <v>8690</v>
      </c>
      <c r="E1629" s="1" t="str">
        <f>"2320"</f>
        <v>2320</v>
      </c>
      <c r="F1629" s="1" t="s">
        <v>4526</v>
      </c>
      <c r="G1629" s="1" t="s">
        <v>4525</v>
      </c>
      <c r="H1629" s="1" t="s">
        <v>15</v>
      </c>
      <c r="I1629" s="1" t="str">
        <f>"1"</f>
        <v>1</v>
      </c>
      <c r="J1629" s="3">
        <v>610434.26</v>
      </c>
      <c r="K1629" s="4">
        <v>46055</v>
      </c>
      <c r="L1629" s="4">
        <v>46056</v>
      </c>
      <c r="M1629" s="1" t="s">
        <v>4524</v>
      </c>
      <c r="N1629" s="1" t="s">
        <v>8689</v>
      </c>
    </row>
    <row r="1630" spans="1:14" s="1" customFormat="1" x14ac:dyDescent="0.35">
      <c r="A1630" s="1" t="s">
        <v>4492</v>
      </c>
      <c r="B1630" s="1" t="s">
        <v>3356</v>
      </c>
      <c r="C1630" s="1" t="s">
        <v>3518</v>
      </c>
      <c r="D1630" s="1" t="s">
        <v>8688</v>
      </c>
      <c r="E1630" s="1" t="str">
        <f>"8465"</f>
        <v>8465</v>
      </c>
      <c r="F1630" s="1" t="str">
        <f>"015472694"</f>
        <v>015472694</v>
      </c>
      <c r="G1630" s="1" t="s">
        <v>1961</v>
      </c>
      <c r="H1630" s="1" t="s">
        <v>15</v>
      </c>
      <c r="I1630" s="1" t="str">
        <f>"1"</f>
        <v>1</v>
      </c>
      <c r="J1630" s="3">
        <v>96.33</v>
      </c>
      <c r="K1630" s="4">
        <v>46064</v>
      </c>
      <c r="L1630" s="4">
        <v>46064</v>
      </c>
      <c r="M1630" s="1" t="s">
        <v>8687</v>
      </c>
      <c r="N1630" s="1" t="s">
        <v>3538</v>
      </c>
    </row>
    <row r="1631" spans="1:14" s="1" customFormat="1" x14ac:dyDescent="0.35">
      <c r="A1631" s="1" t="s">
        <v>4492</v>
      </c>
      <c r="B1631" s="1" t="s">
        <v>3356</v>
      </c>
      <c r="C1631" s="1" t="s">
        <v>3518</v>
      </c>
      <c r="D1631" s="1" t="s">
        <v>8688</v>
      </c>
      <c r="E1631" s="1" t="str">
        <f>"8465"</f>
        <v>8465</v>
      </c>
      <c r="F1631" s="1" t="str">
        <f>"015472694"</f>
        <v>015472694</v>
      </c>
      <c r="G1631" s="1" t="s">
        <v>1961</v>
      </c>
      <c r="H1631" s="1" t="s">
        <v>15</v>
      </c>
      <c r="I1631" s="1" t="str">
        <f>"1"</f>
        <v>1</v>
      </c>
      <c r="J1631" s="3">
        <v>96.33</v>
      </c>
      <c r="K1631" s="4">
        <v>46064</v>
      </c>
      <c r="L1631" s="4">
        <v>46064</v>
      </c>
      <c r="M1631" s="1" t="s">
        <v>8687</v>
      </c>
      <c r="N1631" s="1" t="s">
        <v>3538</v>
      </c>
    </row>
    <row r="1632" spans="1:14" s="1" customFormat="1" x14ac:dyDescent="0.35">
      <c r="A1632" s="1" t="s">
        <v>4492</v>
      </c>
      <c r="B1632" s="1" t="s">
        <v>3356</v>
      </c>
      <c r="C1632" s="1" t="s">
        <v>3518</v>
      </c>
      <c r="D1632" s="1" t="s">
        <v>8686</v>
      </c>
      <c r="E1632" s="1" t="str">
        <f>"2310"</f>
        <v>2310</v>
      </c>
      <c r="F1632" s="1" t="str">
        <f>"014998019"</f>
        <v>014998019</v>
      </c>
      <c r="G1632" s="1" t="s">
        <v>4671</v>
      </c>
      <c r="H1632" s="1" t="s">
        <v>15</v>
      </c>
      <c r="I1632" s="1" t="str">
        <f>"1"</f>
        <v>1</v>
      </c>
      <c r="J1632" s="3" t="str">
        <f>"165000"</f>
        <v>165000</v>
      </c>
      <c r="K1632" s="4">
        <v>46079</v>
      </c>
      <c r="L1632" s="4">
        <v>46095</v>
      </c>
      <c r="M1632" s="1" t="s">
        <v>8685</v>
      </c>
      <c r="N1632" s="1" t="s">
        <v>8684</v>
      </c>
    </row>
    <row r="1633" spans="1:14" s="1" customFormat="1" x14ac:dyDescent="0.35">
      <c r="A1633" s="1" t="s">
        <v>4492</v>
      </c>
      <c r="B1633" s="1" t="s">
        <v>3356</v>
      </c>
      <c r="C1633" s="1" t="s">
        <v>3518</v>
      </c>
      <c r="D1633" s="1" t="s">
        <v>8683</v>
      </c>
      <c r="E1633" s="1" t="str">
        <f>"7105"</f>
        <v>7105</v>
      </c>
      <c r="F1633" s="1" t="str">
        <f>"009350422"</f>
        <v>009350422</v>
      </c>
      <c r="G1633" s="1" t="s">
        <v>887</v>
      </c>
      <c r="H1633" s="1" t="s">
        <v>15</v>
      </c>
      <c r="I1633" s="1" t="str">
        <f>"24"</f>
        <v>24</v>
      </c>
      <c r="J1633" s="3">
        <v>133.93</v>
      </c>
      <c r="K1633" s="4">
        <v>46075</v>
      </c>
      <c r="L1633" s="4">
        <v>46077</v>
      </c>
      <c r="M1633" s="1" t="s">
        <v>4556</v>
      </c>
      <c r="N1633" s="1" t="s">
        <v>8682</v>
      </c>
    </row>
    <row r="1634" spans="1:14" s="1" customFormat="1" x14ac:dyDescent="0.35">
      <c r="A1634" s="1" t="s">
        <v>4492</v>
      </c>
      <c r="B1634" s="1" t="s">
        <v>3356</v>
      </c>
      <c r="C1634" s="1" t="s">
        <v>3518</v>
      </c>
      <c r="D1634" s="1" t="s">
        <v>8681</v>
      </c>
      <c r="E1634" s="1" t="str">
        <f>"7105"</f>
        <v>7105</v>
      </c>
      <c r="F1634" s="1" t="str">
        <f>"009350422"</f>
        <v>009350422</v>
      </c>
      <c r="G1634" s="1" t="s">
        <v>887</v>
      </c>
      <c r="H1634" s="1" t="s">
        <v>15</v>
      </c>
      <c r="I1634" s="1" t="str">
        <f>"24"</f>
        <v>24</v>
      </c>
      <c r="J1634" s="3">
        <v>133.93</v>
      </c>
      <c r="K1634" s="4">
        <v>46076</v>
      </c>
      <c r="L1634" s="4">
        <v>46077</v>
      </c>
      <c r="M1634" s="1" t="s">
        <v>4556</v>
      </c>
      <c r="N1634" s="1" t="s">
        <v>3534</v>
      </c>
    </row>
    <row r="1635" spans="1:14" s="1" customFormat="1" x14ac:dyDescent="0.35">
      <c r="A1635" s="1" t="s">
        <v>4492</v>
      </c>
      <c r="B1635" s="1" t="s">
        <v>3356</v>
      </c>
      <c r="C1635" s="1" t="s">
        <v>3518</v>
      </c>
      <c r="D1635" s="1" t="s">
        <v>8680</v>
      </c>
      <c r="E1635" s="1" t="str">
        <f>"2320"</f>
        <v>2320</v>
      </c>
      <c r="F1635" s="1" t="str">
        <f>"014187400"</f>
        <v>014187400</v>
      </c>
      <c r="G1635" s="1" t="s">
        <v>1860</v>
      </c>
      <c r="H1635" s="1" t="s">
        <v>15</v>
      </c>
      <c r="I1635" s="1" t="str">
        <f>"1"</f>
        <v>1</v>
      </c>
      <c r="J1635" s="3" t="str">
        <f>"188000"</f>
        <v>188000</v>
      </c>
      <c r="K1635" s="4">
        <v>46079</v>
      </c>
      <c r="L1635" s="4">
        <v>46080</v>
      </c>
      <c r="M1635" s="1" t="s">
        <v>4556</v>
      </c>
      <c r="N1635" s="1" t="s">
        <v>8679</v>
      </c>
    </row>
    <row r="1636" spans="1:14" s="1" customFormat="1" x14ac:dyDescent="0.35">
      <c r="A1636" s="1" t="s">
        <v>4492</v>
      </c>
      <c r="B1636" s="1" t="s">
        <v>3356</v>
      </c>
      <c r="C1636" s="1" t="s">
        <v>3518</v>
      </c>
      <c r="D1636" s="1" t="s">
        <v>8678</v>
      </c>
      <c r="E1636" s="1" t="str">
        <f>"5855"</f>
        <v>5855</v>
      </c>
      <c r="F1636" s="1" t="str">
        <f>"016002918"</f>
        <v>016002918</v>
      </c>
      <c r="G1636" s="1" t="s">
        <v>5814</v>
      </c>
      <c r="H1636" s="1" t="s">
        <v>15</v>
      </c>
      <c r="I1636" s="1" t="str">
        <f>"1"</f>
        <v>1</v>
      </c>
      <c r="J1636" s="3" t="str">
        <f>"27000"</f>
        <v>27000</v>
      </c>
      <c r="K1636" s="4">
        <v>46083</v>
      </c>
      <c r="L1636" s="4">
        <v>46087</v>
      </c>
      <c r="M1636" s="1" t="s">
        <v>8677</v>
      </c>
      <c r="N1636" s="1" t="s">
        <v>8676</v>
      </c>
    </row>
    <row r="1637" spans="1:14" s="1" customFormat="1" x14ac:dyDescent="0.35">
      <c r="A1637" s="1" t="s">
        <v>4492</v>
      </c>
      <c r="B1637" s="1" t="s">
        <v>3356</v>
      </c>
      <c r="C1637" s="1" t="s">
        <v>3518</v>
      </c>
      <c r="D1637" s="1" t="s">
        <v>8675</v>
      </c>
      <c r="E1637" s="1" t="str">
        <f>"2310"</f>
        <v>2310</v>
      </c>
      <c r="F1637" s="1" t="s">
        <v>4332</v>
      </c>
      <c r="G1637" s="1" t="s">
        <v>4333</v>
      </c>
      <c r="H1637" s="1" t="s">
        <v>15</v>
      </c>
      <c r="I1637" s="1" t="str">
        <f>"1"</f>
        <v>1</v>
      </c>
      <c r="J1637" s="3" t="str">
        <f>"20000"</f>
        <v>20000</v>
      </c>
      <c r="K1637" s="4">
        <v>46086</v>
      </c>
      <c r="L1637" s="4">
        <v>46095</v>
      </c>
      <c r="M1637" s="1" t="s">
        <v>8674</v>
      </c>
      <c r="N1637" s="1" t="s">
        <v>8673</v>
      </c>
    </row>
    <row r="1638" spans="1:14" s="1" customFormat="1" x14ac:dyDescent="0.35">
      <c r="A1638" s="1" t="s">
        <v>4492</v>
      </c>
      <c r="B1638" s="1" t="s">
        <v>3356</v>
      </c>
      <c r="C1638" s="1" t="s">
        <v>3518</v>
      </c>
      <c r="D1638" s="1" t="s">
        <v>8672</v>
      </c>
      <c r="E1638" s="1" t="str">
        <f>"2320"</f>
        <v>2320</v>
      </c>
      <c r="F1638" s="1" t="str">
        <f>"014476343"</f>
        <v>014476343</v>
      </c>
      <c r="G1638" s="1" t="s">
        <v>930</v>
      </c>
      <c r="H1638" s="1" t="s">
        <v>15</v>
      </c>
      <c r="I1638" s="1" t="str">
        <f>"1"</f>
        <v>1</v>
      </c>
      <c r="J1638" s="3" t="str">
        <f>"176428"</f>
        <v>176428</v>
      </c>
      <c r="K1638" s="4">
        <v>46086</v>
      </c>
      <c r="L1638" s="4">
        <v>46092</v>
      </c>
      <c r="M1638" s="1" t="s">
        <v>8671</v>
      </c>
      <c r="N1638" s="1" t="s">
        <v>3522</v>
      </c>
    </row>
    <row r="1639" spans="1:14" s="1" customFormat="1" x14ac:dyDescent="0.35">
      <c r="A1639" s="1" t="s">
        <v>4492</v>
      </c>
      <c r="B1639" s="1" t="s">
        <v>3356</v>
      </c>
      <c r="C1639" s="1" t="s">
        <v>3518</v>
      </c>
      <c r="D1639" s="1" t="s">
        <v>8670</v>
      </c>
      <c r="E1639" s="1" t="str">
        <f>"2310"</f>
        <v>2310</v>
      </c>
      <c r="F1639" s="1" t="s">
        <v>4332</v>
      </c>
      <c r="G1639" s="1" t="s">
        <v>4333</v>
      </c>
      <c r="H1639" s="1" t="s">
        <v>15</v>
      </c>
      <c r="I1639" s="1" t="str">
        <f>"1"</f>
        <v>1</v>
      </c>
      <c r="J1639" s="3" t="str">
        <f>"81369"</f>
        <v>81369</v>
      </c>
      <c r="K1639" s="4">
        <v>46095</v>
      </c>
      <c r="L1639" s="4">
        <v>46109</v>
      </c>
      <c r="M1639" s="1" t="s">
        <v>8669</v>
      </c>
      <c r="N1639" s="1" t="s">
        <v>8666</v>
      </c>
    </row>
    <row r="1640" spans="1:14" s="1" customFormat="1" x14ac:dyDescent="0.35">
      <c r="A1640" s="1" t="s">
        <v>4492</v>
      </c>
      <c r="B1640" s="1" t="s">
        <v>3356</v>
      </c>
      <c r="C1640" s="1" t="s">
        <v>3518</v>
      </c>
      <c r="D1640" s="1" t="s">
        <v>8668</v>
      </c>
      <c r="E1640" s="1" t="str">
        <f>"2310"</f>
        <v>2310</v>
      </c>
      <c r="F1640" s="1" t="s">
        <v>4332</v>
      </c>
      <c r="G1640" s="1" t="s">
        <v>4333</v>
      </c>
      <c r="H1640" s="1" t="s">
        <v>15</v>
      </c>
      <c r="I1640" s="1" t="str">
        <f>"1"</f>
        <v>1</v>
      </c>
      <c r="J1640" s="3" t="str">
        <f>"81369"</f>
        <v>81369</v>
      </c>
      <c r="K1640" s="4">
        <v>46095</v>
      </c>
      <c r="L1640" s="4">
        <v>46109</v>
      </c>
      <c r="M1640" s="1" t="s">
        <v>8667</v>
      </c>
      <c r="N1640" s="1" t="s">
        <v>8666</v>
      </c>
    </row>
    <row r="1641" spans="1:14" s="1" customFormat="1" x14ac:dyDescent="0.35">
      <c r="A1641" s="1" t="s">
        <v>4492</v>
      </c>
      <c r="B1641" s="1" t="s">
        <v>3356</v>
      </c>
      <c r="C1641" s="1" t="s">
        <v>3518</v>
      </c>
      <c r="D1641" s="1" t="s">
        <v>8665</v>
      </c>
      <c r="E1641" s="1" t="str">
        <f>"2330"</f>
        <v>2330</v>
      </c>
      <c r="F1641" s="1" t="s">
        <v>104</v>
      </c>
      <c r="G1641" s="1" t="s">
        <v>105</v>
      </c>
      <c r="H1641" s="1" t="s">
        <v>15</v>
      </c>
      <c r="I1641" s="1" t="str">
        <f>"1"</f>
        <v>1</v>
      </c>
      <c r="J1641" s="3" t="str">
        <f>"10000"</f>
        <v>10000</v>
      </c>
      <c r="K1641" s="4">
        <v>46096</v>
      </c>
      <c r="L1641" s="4">
        <v>46109</v>
      </c>
      <c r="M1641" s="1" t="s">
        <v>8664</v>
      </c>
      <c r="N1641" s="1" t="s">
        <v>8663</v>
      </c>
    </row>
    <row r="1642" spans="1:14" s="1" customFormat="1" x14ac:dyDescent="0.35">
      <c r="A1642" s="1" t="s">
        <v>4492</v>
      </c>
      <c r="B1642" s="1" t="s">
        <v>1303</v>
      </c>
      <c r="C1642" s="1" t="s">
        <v>1352</v>
      </c>
      <c r="D1642" s="1" t="s">
        <v>8662</v>
      </c>
      <c r="E1642" s="1" t="str">
        <f>"2320"</f>
        <v>2320</v>
      </c>
      <c r="F1642" s="1" t="s">
        <v>100</v>
      </c>
      <c r="G1642" s="1" t="s">
        <v>101</v>
      </c>
      <c r="H1642" s="1" t="s">
        <v>15</v>
      </c>
      <c r="I1642" s="1" t="str">
        <f>"1"</f>
        <v>1</v>
      </c>
      <c r="J1642" s="3" t="str">
        <f>"40000"</f>
        <v>40000</v>
      </c>
      <c r="K1642" s="4">
        <v>46027</v>
      </c>
      <c r="L1642" s="4">
        <v>46027</v>
      </c>
      <c r="M1642" s="1" t="s">
        <v>8661</v>
      </c>
      <c r="N1642" s="1" t="s">
        <v>8660</v>
      </c>
    </row>
    <row r="1643" spans="1:14" s="1" customFormat="1" x14ac:dyDescent="0.35">
      <c r="A1643" s="1" t="s">
        <v>4492</v>
      </c>
      <c r="B1643" s="1" t="s">
        <v>1303</v>
      </c>
      <c r="C1643" s="1" t="s">
        <v>1352</v>
      </c>
      <c r="D1643" s="1" t="s">
        <v>8659</v>
      </c>
      <c r="E1643" s="1" t="str">
        <f>"8465"</f>
        <v>8465</v>
      </c>
      <c r="F1643" s="1" t="s">
        <v>8658</v>
      </c>
      <c r="G1643" s="1" t="s">
        <v>8657</v>
      </c>
      <c r="H1643" s="1" t="s">
        <v>15</v>
      </c>
      <c r="I1643" s="1" t="str">
        <f>"6"</f>
        <v>6</v>
      </c>
      <c r="J1643" s="3" t="str">
        <f>"26"</f>
        <v>26</v>
      </c>
      <c r="K1643" s="4">
        <v>46041</v>
      </c>
      <c r="L1643" s="4">
        <v>46066</v>
      </c>
      <c r="M1643" s="1" t="s">
        <v>8656</v>
      </c>
      <c r="N1643" s="1" t="s">
        <v>8655</v>
      </c>
    </row>
    <row r="1644" spans="1:14" s="1" customFormat="1" x14ac:dyDescent="0.35">
      <c r="A1644" s="1" t="s">
        <v>4492</v>
      </c>
      <c r="B1644" s="1" t="s">
        <v>1303</v>
      </c>
      <c r="C1644" s="1" t="s">
        <v>1352</v>
      </c>
      <c r="D1644" s="1" t="s">
        <v>8654</v>
      </c>
      <c r="E1644" s="1" t="str">
        <f>"8145"</f>
        <v>8145</v>
      </c>
      <c r="F1644" s="1" t="s">
        <v>4546</v>
      </c>
      <c r="G1644" s="1" t="s">
        <v>4545</v>
      </c>
      <c r="H1644" s="1" t="s">
        <v>15</v>
      </c>
      <c r="I1644" s="1" t="str">
        <f>"3"</f>
        <v>3</v>
      </c>
      <c r="J1644" s="3" t="str">
        <f>"100"</f>
        <v>100</v>
      </c>
      <c r="K1644" s="4">
        <v>46040</v>
      </c>
      <c r="L1644" s="4">
        <v>46047</v>
      </c>
      <c r="M1644" s="1" t="s">
        <v>8653</v>
      </c>
      <c r="N1644" s="1" t="s">
        <v>8652</v>
      </c>
    </row>
    <row r="1645" spans="1:14" s="1" customFormat="1" x14ac:dyDescent="0.35">
      <c r="A1645" s="1" t="s">
        <v>4492</v>
      </c>
      <c r="B1645" s="1" t="s">
        <v>1303</v>
      </c>
      <c r="C1645" s="1" t="s">
        <v>1352</v>
      </c>
      <c r="D1645" s="1" t="s">
        <v>8651</v>
      </c>
      <c r="E1645" s="1" t="str">
        <f>"5180"</f>
        <v>5180</v>
      </c>
      <c r="F1645" s="1" t="str">
        <f>"015487634"</f>
        <v>015487634</v>
      </c>
      <c r="G1645" s="1" t="s">
        <v>1831</v>
      </c>
      <c r="H1645" s="1" t="s">
        <v>257</v>
      </c>
      <c r="I1645" s="1" t="str">
        <f>"2"</f>
        <v>2</v>
      </c>
      <c r="J1645" s="3" t="str">
        <f>"2048"</f>
        <v>2048</v>
      </c>
      <c r="K1645" s="4">
        <v>46047</v>
      </c>
      <c r="L1645" s="4">
        <v>46062</v>
      </c>
      <c r="M1645" s="1" t="s">
        <v>8650</v>
      </c>
      <c r="N1645" s="1" t="s">
        <v>8649</v>
      </c>
    </row>
    <row r="1646" spans="1:14" s="1" customFormat="1" x14ac:dyDescent="0.35">
      <c r="A1646" s="1" t="s">
        <v>4492</v>
      </c>
      <c r="B1646" s="1" t="s">
        <v>1303</v>
      </c>
      <c r="C1646" s="1" t="s">
        <v>1352</v>
      </c>
      <c r="D1646" s="1" t="s">
        <v>8648</v>
      </c>
      <c r="E1646" s="1" t="str">
        <f>"5180"</f>
        <v>5180</v>
      </c>
      <c r="F1646" s="1" t="str">
        <f>"015487634"</f>
        <v>015487634</v>
      </c>
      <c r="G1646" s="1" t="s">
        <v>1831</v>
      </c>
      <c r="H1646" s="1" t="s">
        <v>257</v>
      </c>
      <c r="I1646" s="1" t="str">
        <f>"4"</f>
        <v>4</v>
      </c>
      <c r="J1646" s="3" t="str">
        <f>"2048"</f>
        <v>2048</v>
      </c>
      <c r="K1646" s="4">
        <v>46047</v>
      </c>
      <c r="L1646" s="4">
        <v>46062</v>
      </c>
      <c r="M1646" s="1" t="s">
        <v>8647</v>
      </c>
      <c r="N1646" s="1" t="s">
        <v>8646</v>
      </c>
    </row>
    <row r="1647" spans="1:14" s="1" customFormat="1" x14ac:dyDescent="0.35">
      <c r="A1647" s="1" t="s">
        <v>4492</v>
      </c>
      <c r="B1647" s="1" t="s">
        <v>913</v>
      </c>
      <c r="C1647" s="1" t="s">
        <v>8645</v>
      </c>
      <c r="D1647" s="1" t="s">
        <v>8644</v>
      </c>
      <c r="E1647" s="1" t="str">
        <f>"2340"</f>
        <v>2340</v>
      </c>
      <c r="F1647" s="1" t="str">
        <f>"016495368"</f>
        <v>016495368</v>
      </c>
      <c r="G1647" s="1" t="s">
        <v>1926</v>
      </c>
      <c r="H1647" s="1" t="s">
        <v>15</v>
      </c>
      <c r="I1647" s="1" t="str">
        <f>"2"</f>
        <v>2</v>
      </c>
      <c r="J1647" s="3" t="str">
        <f>"34900"</f>
        <v>34900</v>
      </c>
      <c r="K1647" s="4">
        <v>46034</v>
      </c>
      <c r="L1647" s="4">
        <v>46039</v>
      </c>
      <c r="M1647" s="1" t="s">
        <v>8643</v>
      </c>
      <c r="N1647" s="1" t="s">
        <v>8642</v>
      </c>
    </row>
    <row r="1648" spans="1:14" s="1" customFormat="1" x14ac:dyDescent="0.35">
      <c r="A1648" s="1" t="s">
        <v>4492</v>
      </c>
      <c r="B1648" s="1" t="s">
        <v>4247</v>
      </c>
      <c r="C1648" s="1" t="s">
        <v>8635</v>
      </c>
      <c r="D1648" s="1" t="s">
        <v>8641</v>
      </c>
      <c r="E1648" s="1" t="str">
        <f>"2330"</f>
        <v>2330</v>
      </c>
      <c r="F1648" s="1" t="s">
        <v>104</v>
      </c>
      <c r="G1648" s="1" t="s">
        <v>105</v>
      </c>
      <c r="H1648" s="1" t="s">
        <v>15</v>
      </c>
      <c r="I1648" s="1" t="str">
        <f>"1"</f>
        <v>1</v>
      </c>
      <c r="J1648" s="3" t="str">
        <f>"2990"</f>
        <v>2990</v>
      </c>
      <c r="K1648" s="4">
        <v>46037</v>
      </c>
      <c r="L1648" s="4">
        <v>46092</v>
      </c>
      <c r="M1648" s="1" t="s">
        <v>8640</v>
      </c>
      <c r="N1648" s="1" t="s">
        <v>8639</v>
      </c>
    </row>
    <row r="1649" spans="1:14" s="1" customFormat="1" x14ac:dyDescent="0.35">
      <c r="A1649" s="1" t="s">
        <v>4492</v>
      </c>
      <c r="B1649" s="1" t="s">
        <v>4247</v>
      </c>
      <c r="C1649" s="1" t="s">
        <v>8635</v>
      </c>
      <c r="D1649" s="1" t="s">
        <v>8638</v>
      </c>
      <c r="E1649" s="1" t="str">
        <f>"2805"</f>
        <v>2805</v>
      </c>
      <c r="F1649" s="1" t="str">
        <f>"016279670"</f>
        <v>016279670</v>
      </c>
      <c r="G1649" s="1" t="s">
        <v>4158</v>
      </c>
      <c r="H1649" s="1" t="s">
        <v>15</v>
      </c>
      <c r="I1649" s="1" t="str">
        <f>"1"</f>
        <v>1</v>
      </c>
      <c r="J1649" s="3" t="str">
        <f>"14944"</f>
        <v>14944</v>
      </c>
      <c r="K1649" s="4">
        <v>46047</v>
      </c>
      <c r="L1649" s="4">
        <v>46090</v>
      </c>
      <c r="M1649" s="1" t="s">
        <v>8637</v>
      </c>
      <c r="N1649" s="1" t="s">
        <v>8636</v>
      </c>
    </row>
    <row r="1650" spans="1:14" s="1" customFormat="1" x14ac:dyDescent="0.35">
      <c r="A1650" s="1" t="s">
        <v>4492</v>
      </c>
      <c r="B1650" s="1" t="s">
        <v>4247</v>
      </c>
      <c r="C1650" s="1" t="s">
        <v>8635</v>
      </c>
      <c r="D1650" s="1" t="s">
        <v>8634</v>
      </c>
      <c r="E1650" s="1" t="str">
        <f>"2330"</f>
        <v>2330</v>
      </c>
      <c r="F1650" s="1" t="str">
        <f>"016272944"</f>
        <v>016272944</v>
      </c>
      <c r="G1650" s="1" t="s">
        <v>2101</v>
      </c>
      <c r="H1650" s="1" t="s">
        <v>15</v>
      </c>
      <c r="I1650" s="1" t="str">
        <f>"1"</f>
        <v>1</v>
      </c>
      <c r="J1650" s="3">
        <v>79463.929999999993</v>
      </c>
      <c r="K1650" s="4">
        <v>46097</v>
      </c>
      <c r="L1650" s="4">
        <v>46106</v>
      </c>
      <c r="M1650" s="1" t="s">
        <v>8633</v>
      </c>
      <c r="N1650" s="1" t="s">
        <v>8632</v>
      </c>
    </row>
    <row r="1651" spans="1:14" s="1" customFormat="1" x14ac:dyDescent="0.35">
      <c r="A1651" s="1" t="s">
        <v>4492</v>
      </c>
      <c r="B1651" s="1" t="s">
        <v>4381</v>
      </c>
      <c r="C1651" s="1" t="s">
        <v>8629</v>
      </c>
      <c r="D1651" s="1" t="s">
        <v>8631</v>
      </c>
      <c r="E1651" s="1" t="str">
        <f>"1240"</f>
        <v>1240</v>
      </c>
      <c r="F1651" s="1" t="s">
        <v>1364</v>
      </c>
      <c r="G1651" s="1" t="s">
        <v>1365</v>
      </c>
      <c r="H1651" s="1" t="s">
        <v>15</v>
      </c>
      <c r="I1651" s="1" t="str">
        <f>"1"</f>
        <v>1</v>
      </c>
      <c r="J1651" s="3">
        <v>301.56</v>
      </c>
      <c r="K1651" s="4">
        <v>46076</v>
      </c>
      <c r="L1651" s="4">
        <v>46077</v>
      </c>
      <c r="N1651" s="1" t="s">
        <v>8630</v>
      </c>
    </row>
    <row r="1652" spans="1:14" s="1" customFormat="1" x14ac:dyDescent="0.35">
      <c r="A1652" s="1" t="s">
        <v>4492</v>
      </c>
      <c r="B1652" s="1" t="s">
        <v>4381</v>
      </c>
      <c r="C1652" s="1" t="s">
        <v>8629</v>
      </c>
      <c r="D1652" s="1" t="s">
        <v>8628</v>
      </c>
      <c r="E1652" s="1" t="str">
        <f>"7830"</f>
        <v>7830</v>
      </c>
      <c r="F1652" s="1" t="str">
        <f>"016751851"</f>
        <v>016751851</v>
      </c>
      <c r="G1652" s="1" t="s">
        <v>4025</v>
      </c>
      <c r="H1652" s="1" t="s">
        <v>15</v>
      </c>
      <c r="I1652" s="1" t="str">
        <f>"1"</f>
        <v>1</v>
      </c>
      <c r="J1652" s="3" t="str">
        <f>"2585"</f>
        <v>2585</v>
      </c>
      <c r="K1652" s="4">
        <v>46076</v>
      </c>
      <c r="L1652" s="4">
        <v>46087</v>
      </c>
      <c r="M1652" s="1" t="s">
        <v>8627</v>
      </c>
      <c r="N1652" s="1" t="s">
        <v>8626</v>
      </c>
    </row>
    <row r="1653" spans="1:14" s="1" customFormat="1" x14ac:dyDescent="0.35">
      <c r="A1653" s="1" t="s">
        <v>4492</v>
      </c>
      <c r="B1653" s="1" t="s">
        <v>1453</v>
      </c>
      <c r="C1653" s="1" t="s">
        <v>8625</v>
      </c>
      <c r="D1653" s="1" t="s">
        <v>8624</v>
      </c>
      <c r="E1653" s="1" t="str">
        <f>"4240"</f>
        <v>4240</v>
      </c>
      <c r="F1653" s="1" t="str">
        <f>"015045727"</f>
        <v>015045727</v>
      </c>
      <c r="G1653" s="1" t="s">
        <v>1354</v>
      </c>
      <c r="H1653" s="1" t="s">
        <v>15</v>
      </c>
      <c r="I1653" s="1" t="str">
        <f>"40"</f>
        <v>40</v>
      </c>
      <c r="J1653" s="3">
        <v>71.900000000000006</v>
      </c>
      <c r="K1653" s="4">
        <v>46057</v>
      </c>
      <c r="L1653" s="4">
        <v>46060</v>
      </c>
      <c r="M1653" s="1" t="s">
        <v>4524</v>
      </c>
      <c r="N1653" s="1" t="s">
        <v>8623</v>
      </c>
    </row>
    <row r="1654" spans="1:14" s="1" customFormat="1" x14ac:dyDescent="0.35">
      <c r="A1654" s="1" t="s">
        <v>4492</v>
      </c>
      <c r="B1654" s="1" t="s">
        <v>913</v>
      </c>
      <c r="C1654" s="1" t="s">
        <v>914</v>
      </c>
      <c r="D1654" s="1" t="s">
        <v>8622</v>
      </c>
      <c r="E1654" s="1" t="str">
        <f>"1520"</f>
        <v>1520</v>
      </c>
      <c r="F1654" s="1" t="s">
        <v>83</v>
      </c>
      <c r="G1654" s="1" t="s">
        <v>84</v>
      </c>
      <c r="H1654" s="1" t="s">
        <v>15</v>
      </c>
      <c r="I1654" s="1" t="str">
        <f>"1"</f>
        <v>1</v>
      </c>
      <c r="J1654" s="3" t="str">
        <f>"1200000"</f>
        <v>1200000</v>
      </c>
      <c r="K1654" s="4">
        <v>46050</v>
      </c>
      <c r="L1654" s="4">
        <v>46055</v>
      </c>
      <c r="M1654" s="1" t="s">
        <v>8621</v>
      </c>
      <c r="N1654" s="1" t="s">
        <v>917</v>
      </c>
    </row>
    <row r="1655" spans="1:14" s="1" customFormat="1" x14ac:dyDescent="0.35">
      <c r="A1655" s="1" t="s">
        <v>4492</v>
      </c>
      <c r="B1655" s="1" t="s">
        <v>1970</v>
      </c>
      <c r="C1655" s="1" t="s">
        <v>8596</v>
      </c>
      <c r="D1655" s="1" t="s">
        <v>8620</v>
      </c>
      <c r="E1655" s="1" t="str">
        <f>"8465"</f>
        <v>8465</v>
      </c>
      <c r="F1655" s="1" t="str">
        <f>"016330972"</f>
        <v>016330972</v>
      </c>
      <c r="G1655" s="1" t="s">
        <v>6064</v>
      </c>
      <c r="H1655" s="1" t="s">
        <v>15</v>
      </c>
      <c r="I1655" s="1" t="str">
        <f>"5"</f>
        <v>5</v>
      </c>
      <c r="J1655" s="3">
        <v>254.47</v>
      </c>
      <c r="K1655" s="4">
        <v>46027</v>
      </c>
      <c r="L1655" s="4">
        <v>46030</v>
      </c>
      <c r="M1655" s="1" t="s">
        <v>8619</v>
      </c>
      <c r="N1655" s="1" t="s">
        <v>8609</v>
      </c>
    </row>
    <row r="1656" spans="1:14" s="1" customFormat="1" x14ac:dyDescent="0.35">
      <c r="A1656" s="1" t="s">
        <v>4492</v>
      </c>
      <c r="B1656" s="1" t="s">
        <v>1970</v>
      </c>
      <c r="C1656" s="1" t="s">
        <v>8596</v>
      </c>
      <c r="D1656" s="1" t="s">
        <v>8618</v>
      </c>
      <c r="E1656" s="1" t="str">
        <f>"8465"</f>
        <v>8465</v>
      </c>
      <c r="F1656" s="1" t="str">
        <f>"016330603"</f>
        <v>016330603</v>
      </c>
      <c r="G1656" s="1" t="s">
        <v>8617</v>
      </c>
      <c r="H1656" s="1" t="s">
        <v>15</v>
      </c>
      <c r="I1656" s="1" t="str">
        <f>"28"</f>
        <v>28</v>
      </c>
      <c r="J1656" s="3">
        <v>29.33</v>
      </c>
      <c r="K1656" s="4">
        <v>46027</v>
      </c>
      <c r="L1656" s="4">
        <v>46070</v>
      </c>
      <c r="M1656" s="1" t="s">
        <v>8616</v>
      </c>
      <c r="N1656" s="1" t="s">
        <v>8612</v>
      </c>
    </row>
    <row r="1657" spans="1:14" s="1" customFormat="1" x14ac:dyDescent="0.35">
      <c r="A1657" s="1" t="s">
        <v>4492</v>
      </c>
      <c r="B1657" s="1" t="s">
        <v>1970</v>
      </c>
      <c r="C1657" s="1" t="s">
        <v>8596</v>
      </c>
      <c r="D1657" s="1" t="s">
        <v>8615</v>
      </c>
      <c r="E1657" s="1" t="str">
        <f>"8465"</f>
        <v>8465</v>
      </c>
      <c r="F1657" s="1" t="str">
        <f>"016330609"</f>
        <v>016330609</v>
      </c>
      <c r="G1657" s="1" t="s">
        <v>8614</v>
      </c>
      <c r="H1657" s="1" t="s">
        <v>15</v>
      </c>
      <c r="I1657" s="1" t="str">
        <f>"16"</f>
        <v>16</v>
      </c>
      <c r="J1657" s="3">
        <v>26.34</v>
      </c>
      <c r="K1657" s="4">
        <v>46027</v>
      </c>
      <c r="L1657" s="4">
        <v>46030</v>
      </c>
      <c r="M1657" s="1" t="s">
        <v>8613</v>
      </c>
      <c r="N1657" s="1" t="s">
        <v>8612</v>
      </c>
    </row>
    <row r="1658" spans="1:14" s="1" customFormat="1" x14ac:dyDescent="0.35">
      <c r="A1658" s="1" t="s">
        <v>4492</v>
      </c>
      <c r="B1658" s="1" t="s">
        <v>1970</v>
      </c>
      <c r="C1658" s="1" t="s">
        <v>8596</v>
      </c>
      <c r="D1658" s="1" t="s">
        <v>8611</v>
      </c>
      <c r="E1658" s="1" t="str">
        <f>"8465"</f>
        <v>8465</v>
      </c>
      <c r="F1658" s="1" t="str">
        <f>"016671005"</f>
        <v>016671005</v>
      </c>
      <c r="G1658" s="1" t="s">
        <v>52</v>
      </c>
      <c r="H1658" s="1" t="s">
        <v>15</v>
      </c>
      <c r="I1658" s="1" t="str">
        <f>"1"</f>
        <v>1</v>
      </c>
      <c r="J1658" s="3">
        <v>595.03</v>
      </c>
      <c r="K1658" s="4">
        <v>46027</v>
      </c>
      <c r="L1658" s="4">
        <v>46030</v>
      </c>
      <c r="M1658" s="1" t="s">
        <v>8610</v>
      </c>
      <c r="N1658" s="1" t="s">
        <v>8609</v>
      </c>
    </row>
    <row r="1659" spans="1:14" s="1" customFormat="1" x14ac:dyDescent="0.35">
      <c r="A1659" s="1" t="s">
        <v>4492</v>
      </c>
      <c r="B1659" s="1" t="s">
        <v>1970</v>
      </c>
      <c r="C1659" s="1" t="s">
        <v>8596</v>
      </c>
      <c r="D1659" s="1" t="s">
        <v>8608</v>
      </c>
      <c r="E1659" s="1" t="str">
        <f>"8415"</f>
        <v>8415</v>
      </c>
      <c r="F1659" s="1" t="s">
        <v>1944</v>
      </c>
      <c r="G1659" s="1" t="s">
        <v>1945</v>
      </c>
      <c r="H1659" s="1" t="s">
        <v>15</v>
      </c>
      <c r="I1659" s="1" t="str">
        <f>"14"</f>
        <v>14</v>
      </c>
      <c r="J1659" s="3">
        <v>51.4</v>
      </c>
      <c r="K1659" s="4">
        <v>46059</v>
      </c>
      <c r="L1659" s="4">
        <v>46067</v>
      </c>
      <c r="M1659" s="1" t="s">
        <v>4524</v>
      </c>
      <c r="N1659" s="1" t="s">
        <v>8602</v>
      </c>
    </row>
    <row r="1660" spans="1:14" s="1" customFormat="1" x14ac:dyDescent="0.35">
      <c r="A1660" s="1" t="s">
        <v>4492</v>
      </c>
      <c r="B1660" s="1" t="s">
        <v>1970</v>
      </c>
      <c r="C1660" s="1" t="s">
        <v>8596</v>
      </c>
      <c r="D1660" s="1" t="s">
        <v>8607</v>
      </c>
      <c r="E1660" s="1" t="str">
        <f>"8430"</f>
        <v>8430</v>
      </c>
      <c r="F1660" s="1" t="s">
        <v>8606</v>
      </c>
      <c r="G1660" s="1" t="s">
        <v>8605</v>
      </c>
      <c r="H1660" s="1" t="s">
        <v>47</v>
      </c>
      <c r="I1660" s="1" t="str">
        <f>"6"</f>
        <v>6</v>
      </c>
      <c r="J1660" s="3">
        <v>84.31</v>
      </c>
      <c r="K1660" s="4">
        <v>46059</v>
      </c>
      <c r="L1660" s="4">
        <v>46084</v>
      </c>
      <c r="M1660" s="1" t="s">
        <v>4524</v>
      </c>
      <c r="N1660" s="1" t="s">
        <v>8604</v>
      </c>
    </row>
    <row r="1661" spans="1:14" s="1" customFormat="1" x14ac:dyDescent="0.35">
      <c r="A1661" s="1" t="s">
        <v>4492</v>
      </c>
      <c r="B1661" s="1" t="s">
        <v>1970</v>
      </c>
      <c r="C1661" s="1" t="s">
        <v>8596</v>
      </c>
      <c r="D1661" s="1" t="s">
        <v>8603</v>
      </c>
      <c r="E1661" s="1" t="str">
        <f>"8415"</f>
        <v>8415</v>
      </c>
      <c r="F1661" s="1" t="s">
        <v>1944</v>
      </c>
      <c r="G1661" s="1" t="s">
        <v>1945</v>
      </c>
      <c r="H1661" s="1" t="s">
        <v>15</v>
      </c>
      <c r="I1661" s="1" t="str">
        <f>"17"</f>
        <v>17</v>
      </c>
      <c r="J1661" s="3">
        <v>51.4</v>
      </c>
      <c r="K1661" s="4">
        <v>46059</v>
      </c>
      <c r="L1661" s="4">
        <v>46060</v>
      </c>
      <c r="M1661" s="1" t="s">
        <v>4524</v>
      </c>
      <c r="N1661" s="1" t="s">
        <v>8602</v>
      </c>
    </row>
    <row r="1662" spans="1:14" s="1" customFormat="1" x14ac:dyDescent="0.35">
      <c r="A1662" s="1" t="s">
        <v>4492</v>
      </c>
      <c r="B1662" s="1" t="s">
        <v>1970</v>
      </c>
      <c r="C1662" s="1" t="s">
        <v>8596</v>
      </c>
      <c r="D1662" s="1" t="s">
        <v>8601</v>
      </c>
      <c r="E1662" s="1" t="str">
        <f>"8415"</f>
        <v>8415</v>
      </c>
      <c r="F1662" s="1" t="s">
        <v>1944</v>
      </c>
      <c r="G1662" s="1" t="s">
        <v>1945</v>
      </c>
      <c r="H1662" s="1" t="s">
        <v>15</v>
      </c>
      <c r="I1662" s="1" t="str">
        <f>"16"</f>
        <v>16</v>
      </c>
      <c r="J1662" s="3">
        <v>51.4</v>
      </c>
      <c r="K1662" s="4">
        <v>46059</v>
      </c>
      <c r="L1662" s="4">
        <v>46060</v>
      </c>
      <c r="M1662" s="1" t="s">
        <v>4524</v>
      </c>
      <c r="N1662" s="1" t="s">
        <v>8600</v>
      </c>
    </row>
    <row r="1663" spans="1:14" s="1" customFormat="1" x14ac:dyDescent="0.35">
      <c r="A1663" s="1" t="s">
        <v>4492</v>
      </c>
      <c r="B1663" s="1" t="s">
        <v>1970</v>
      </c>
      <c r="C1663" s="1" t="s">
        <v>8596</v>
      </c>
      <c r="D1663" s="1" t="s">
        <v>8599</v>
      </c>
      <c r="E1663" s="1" t="str">
        <f>"8415"</f>
        <v>8415</v>
      </c>
      <c r="F1663" s="1" t="s">
        <v>1944</v>
      </c>
      <c r="G1663" s="1" t="s">
        <v>1945</v>
      </c>
      <c r="H1663" s="1" t="s">
        <v>15</v>
      </c>
      <c r="I1663" s="1" t="str">
        <f>"2"</f>
        <v>2</v>
      </c>
      <c r="J1663" s="3">
        <v>51.4</v>
      </c>
      <c r="K1663" s="4">
        <v>46059</v>
      </c>
      <c r="L1663" s="4">
        <v>46064</v>
      </c>
      <c r="M1663" s="1" t="s">
        <v>8598</v>
      </c>
      <c r="N1663" s="1" t="s">
        <v>8597</v>
      </c>
    </row>
    <row r="1664" spans="1:14" s="1" customFormat="1" x14ac:dyDescent="0.35">
      <c r="A1664" s="1" t="s">
        <v>4492</v>
      </c>
      <c r="B1664" s="1" t="s">
        <v>1970</v>
      </c>
      <c r="C1664" s="1" t="s">
        <v>8596</v>
      </c>
      <c r="D1664" s="1" t="s">
        <v>8595</v>
      </c>
      <c r="E1664" s="1" t="str">
        <f>"4240"</f>
        <v>4240</v>
      </c>
      <c r="F1664" s="1" t="str">
        <f>"016812953"</f>
        <v>016812953</v>
      </c>
      <c r="G1664" s="1" t="s">
        <v>8594</v>
      </c>
      <c r="H1664" s="1" t="s">
        <v>15</v>
      </c>
      <c r="I1664" s="1" t="str">
        <f>"14"</f>
        <v>14</v>
      </c>
      <c r="J1664" s="3">
        <v>88.4</v>
      </c>
      <c r="K1664" s="4">
        <v>46078</v>
      </c>
      <c r="L1664" s="4">
        <v>46088</v>
      </c>
      <c r="M1664" s="1" t="s">
        <v>4524</v>
      </c>
      <c r="N1664" s="1" t="s">
        <v>8593</v>
      </c>
    </row>
    <row r="1665" spans="1:14" s="1" customFormat="1" x14ac:dyDescent="0.35">
      <c r="A1665" s="1" t="s">
        <v>4492</v>
      </c>
      <c r="B1665" s="1" t="s">
        <v>73</v>
      </c>
      <c r="C1665" s="1" t="s">
        <v>89</v>
      </c>
      <c r="D1665" s="1" t="s">
        <v>8592</v>
      </c>
      <c r="E1665" s="1" t="str">
        <f>"3825"</f>
        <v>3825</v>
      </c>
      <c r="F1665" s="1" t="str">
        <f>"014795197"</f>
        <v>014795197</v>
      </c>
      <c r="G1665" s="1" t="s">
        <v>8591</v>
      </c>
      <c r="H1665" s="1" t="s">
        <v>15</v>
      </c>
      <c r="I1665" s="1" t="str">
        <f>"2"</f>
        <v>2</v>
      </c>
      <c r="J1665" s="3">
        <v>1636.07</v>
      </c>
      <c r="K1665" s="4">
        <v>46018</v>
      </c>
      <c r="L1665" s="4">
        <v>46070</v>
      </c>
      <c r="M1665" s="1" t="s">
        <v>8590</v>
      </c>
      <c r="N1665" s="1" t="s">
        <v>8589</v>
      </c>
    </row>
    <row r="1666" spans="1:14" s="1" customFormat="1" x14ac:dyDescent="0.35">
      <c r="A1666" s="1" t="s">
        <v>4492</v>
      </c>
      <c r="B1666" s="1" t="s">
        <v>73</v>
      </c>
      <c r="C1666" s="1" t="s">
        <v>89</v>
      </c>
      <c r="D1666" s="1" t="s">
        <v>8588</v>
      </c>
      <c r="E1666" s="1" t="str">
        <f>"3805"</f>
        <v>3805</v>
      </c>
      <c r="F1666" s="1" t="s">
        <v>1020</v>
      </c>
      <c r="G1666" s="1" t="s">
        <v>1021</v>
      </c>
      <c r="H1666" s="1" t="s">
        <v>15</v>
      </c>
      <c r="I1666" s="1" t="str">
        <f>"1"</f>
        <v>1</v>
      </c>
      <c r="J1666" s="3" t="str">
        <f>"20000"</f>
        <v>20000</v>
      </c>
      <c r="K1666" s="4">
        <v>46018</v>
      </c>
      <c r="L1666" s="4">
        <v>46028</v>
      </c>
      <c r="M1666" s="1" t="s">
        <v>8587</v>
      </c>
      <c r="N1666" s="1" t="s">
        <v>8586</v>
      </c>
    </row>
    <row r="1667" spans="1:14" s="1" customFormat="1" x14ac:dyDescent="0.35">
      <c r="A1667" s="1" t="s">
        <v>4492</v>
      </c>
      <c r="B1667" s="1" t="s">
        <v>73</v>
      </c>
      <c r="C1667" s="1" t="s">
        <v>89</v>
      </c>
      <c r="D1667" s="1" t="s">
        <v>8585</v>
      </c>
      <c r="E1667" s="1" t="str">
        <f>"7830"</f>
        <v>7830</v>
      </c>
      <c r="F1667" s="1" t="s">
        <v>8584</v>
      </c>
      <c r="G1667" s="1" t="s">
        <v>8583</v>
      </c>
      <c r="H1667" s="1" t="s">
        <v>15</v>
      </c>
      <c r="I1667" s="1" t="str">
        <f>"2"</f>
        <v>2</v>
      </c>
      <c r="J1667" s="3" t="str">
        <f>"250"</f>
        <v>250</v>
      </c>
      <c r="K1667" s="4">
        <v>46028</v>
      </c>
      <c r="L1667" s="4">
        <v>46035</v>
      </c>
      <c r="M1667" s="1" t="s">
        <v>8582</v>
      </c>
      <c r="N1667" s="1" t="s">
        <v>8581</v>
      </c>
    </row>
    <row r="1668" spans="1:14" s="1" customFormat="1" x14ac:dyDescent="0.35">
      <c r="A1668" s="1" t="s">
        <v>4492</v>
      </c>
      <c r="B1668" s="1" t="s">
        <v>73</v>
      </c>
      <c r="C1668" s="1" t="s">
        <v>89</v>
      </c>
      <c r="D1668" s="1" t="s">
        <v>8580</v>
      </c>
      <c r="E1668" s="1" t="str">
        <f>"2330"</f>
        <v>2330</v>
      </c>
      <c r="F1668" s="1" t="s">
        <v>104</v>
      </c>
      <c r="G1668" s="1" t="s">
        <v>105</v>
      </c>
      <c r="H1668" s="1" t="s">
        <v>15</v>
      </c>
      <c r="I1668" s="1" t="str">
        <f>"1"</f>
        <v>1</v>
      </c>
      <c r="J1668" s="3" t="str">
        <f>"5000"</f>
        <v>5000</v>
      </c>
      <c r="K1668" s="4">
        <v>46083</v>
      </c>
      <c r="L1668" s="4">
        <v>46088</v>
      </c>
      <c r="M1668" s="1" t="s">
        <v>8579</v>
      </c>
      <c r="N1668" s="1" t="s">
        <v>8573</v>
      </c>
    </row>
    <row r="1669" spans="1:14" s="1" customFormat="1" x14ac:dyDescent="0.35">
      <c r="A1669" s="1" t="s">
        <v>4492</v>
      </c>
      <c r="B1669" s="1" t="s">
        <v>73</v>
      </c>
      <c r="C1669" s="1" t="s">
        <v>89</v>
      </c>
      <c r="D1669" s="1" t="s">
        <v>8578</v>
      </c>
      <c r="E1669" s="1" t="str">
        <f>"3805"</f>
        <v>3805</v>
      </c>
      <c r="F1669" s="1" t="s">
        <v>1020</v>
      </c>
      <c r="G1669" s="1" t="s">
        <v>1021</v>
      </c>
      <c r="H1669" s="1" t="s">
        <v>15</v>
      </c>
      <c r="I1669" s="1" t="str">
        <f>"1"</f>
        <v>1</v>
      </c>
      <c r="J1669" s="3" t="str">
        <f>"51602"</f>
        <v>51602</v>
      </c>
      <c r="K1669" s="4">
        <v>46085</v>
      </c>
      <c r="L1669" s="4">
        <v>46088</v>
      </c>
      <c r="M1669" s="1" t="s">
        <v>8577</v>
      </c>
      <c r="N1669" s="1" t="s">
        <v>8576</v>
      </c>
    </row>
    <row r="1670" spans="1:14" s="1" customFormat="1" x14ac:dyDescent="0.35">
      <c r="A1670" s="1" t="s">
        <v>4492</v>
      </c>
      <c r="B1670" s="1" t="s">
        <v>73</v>
      </c>
      <c r="C1670" s="1" t="s">
        <v>89</v>
      </c>
      <c r="D1670" s="1" t="s">
        <v>8575</v>
      </c>
      <c r="E1670" s="1" t="str">
        <f>"2330"</f>
        <v>2330</v>
      </c>
      <c r="F1670" s="1" t="s">
        <v>104</v>
      </c>
      <c r="G1670" s="1" t="s">
        <v>105</v>
      </c>
      <c r="H1670" s="1" t="s">
        <v>15</v>
      </c>
      <c r="I1670" s="1" t="str">
        <f>"1"</f>
        <v>1</v>
      </c>
      <c r="J1670" s="3">
        <v>62760.99</v>
      </c>
      <c r="K1670" s="4">
        <v>46083</v>
      </c>
      <c r="L1670" s="4">
        <v>46087</v>
      </c>
      <c r="M1670" s="1" t="s">
        <v>8574</v>
      </c>
      <c r="N1670" s="1" t="s">
        <v>8573</v>
      </c>
    </row>
    <row r="1671" spans="1:14" s="1" customFormat="1" x14ac:dyDescent="0.35">
      <c r="A1671" s="1" t="s">
        <v>4492</v>
      </c>
      <c r="B1671" s="1" t="s">
        <v>73</v>
      </c>
      <c r="C1671" s="1" t="s">
        <v>89</v>
      </c>
      <c r="D1671" s="1" t="s">
        <v>8572</v>
      </c>
      <c r="E1671" s="1" t="str">
        <f>"2320"</f>
        <v>2320</v>
      </c>
      <c r="F1671" s="1" t="str">
        <f>"013614773"</f>
        <v>013614773</v>
      </c>
      <c r="G1671" s="1" t="s">
        <v>3645</v>
      </c>
      <c r="H1671" s="1" t="s">
        <v>15</v>
      </c>
      <c r="I1671" s="1" t="str">
        <f>"1"</f>
        <v>1</v>
      </c>
      <c r="J1671" s="3" t="str">
        <f>"58000"</f>
        <v>58000</v>
      </c>
      <c r="K1671" s="4">
        <v>46095</v>
      </c>
      <c r="L1671" s="4">
        <v>46109</v>
      </c>
      <c r="M1671" s="1" t="s">
        <v>8571</v>
      </c>
      <c r="N1671" s="1" t="s">
        <v>8570</v>
      </c>
    </row>
    <row r="1672" spans="1:14" s="1" customFormat="1" x14ac:dyDescent="0.35">
      <c r="A1672" s="1" t="s">
        <v>4492</v>
      </c>
      <c r="B1672" s="1" t="s">
        <v>1516</v>
      </c>
      <c r="C1672" s="1" t="s">
        <v>8563</v>
      </c>
      <c r="D1672" s="1" t="s">
        <v>8569</v>
      </c>
      <c r="E1672" s="1" t="str">
        <f>"6230"</f>
        <v>6230</v>
      </c>
      <c r="F1672" s="1" t="s">
        <v>3594</v>
      </c>
      <c r="G1672" s="1" t="s">
        <v>3595</v>
      </c>
      <c r="H1672" s="1" t="s">
        <v>15</v>
      </c>
      <c r="I1672" s="1" t="str">
        <f>"2"</f>
        <v>2</v>
      </c>
      <c r="J1672" s="3">
        <v>677.38</v>
      </c>
      <c r="K1672" s="4">
        <v>46079</v>
      </c>
      <c r="L1672" s="4">
        <v>46108</v>
      </c>
      <c r="M1672" s="1" t="s">
        <v>8568</v>
      </c>
      <c r="N1672" s="1" t="s">
        <v>8567</v>
      </c>
    </row>
    <row r="1673" spans="1:14" s="1" customFormat="1" x14ac:dyDescent="0.35">
      <c r="A1673" s="1" t="s">
        <v>4492</v>
      </c>
      <c r="B1673" s="1" t="s">
        <v>1516</v>
      </c>
      <c r="C1673" s="1" t="s">
        <v>8563</v>
      </c>
      <c r="D1673" s="1" t="s">
        <v>8566</v>
      </c>
      <c r="E1673" s="1" t="str">
        <f>"1240"</f>
        <v>1240</v>
      </c>
      <c r="F1673" s="1" t="str">
        <f>"016813209"</f>
        <v>016813209</v>
      </c>
      <c r="G1673" s="1" t="s">
        <v>6044</v>
      </c>
      <c r="H1673" s="1" t="s">
        <v>15</v>
      </c>
      <c r="I1673" s="1" t="str">
        <f>"18"</f>
        <v>18</v>
      </c>
      <c r="J1673" s="3" t="str">
        <f>"3269"</f>
        <v>3269</v>
      </c>
      <c r="K1673" s="4">
        <v>46084</v>
      </c>
      <c r="L1673" s="4">
        <v>46095</v>
      </c>
      <c r="M1673" s="1" t="s">
        <v>8565</v>
      </c>
      <c r="N1673" s="1" t="s">
        <v>8564</v>
      </c>
    </row>
    <row r="1674" spans="1:14" s="1" customFormat="1" x14ac:dyDescent="0.35">
      <c r="A1674" s="1" t="s">
        <v>4492</v>
      </c>
      <c r="B1674" s="1" t="s">
        <v>1516</v>
      </c>
      <c r="C1674" s="1" t="s">
        <v>8563</v>
      </c>
      <c r="D1674" s="1" t="s">
        <v>8562</v>
      </c>
      <c r="E1674" s="1" t="str">
        <f>"5855"</f>
        <v>5855</v>
      </c>
      <c r="F1674" s="1" t="str">
        <f>"016002918"</f>
        <v>016002918</v>
      </c>
      <c r="G1674" s="1" t="s">
        <v>5814</v>
      </c>
      <c r="H1674" s="1" t="s">
        <v>15</v>
      </c>
      <c r="I1674" s="1" t="str">
        <f>"25"</f>
        <v>25</v>
      </c>
      <c r="J1674" s="3" t="str">
        <f>"27000"</f>
        <v>27000</v>
      </c>
      <c r="K1674" s="4">
        <v>46090</v>
      </c>
      <c r="L1674" s="4">
        <v>46090</v>
      </c>
      <c r="M1674" s="1" t="s">
        <v>8561</v>
      </c>
      <c r="N1674" s="1" t="s">
        <v>8560</v>
      </c>
    </row>
    <row r="1675" spans="1:14" s="1" customFormat="1" x14ac:dyDescent="0.35">
      <c r="A1675" s="1" t="s">
        <v>4492</v>
      </c>
      <c r="B1675" s="1" t="s">
        <v>1516</v>
      </c>
      <c r="C1675" s="1" t="s">
        <v>8563</v>
      </c>
      <c r="D1675" s="1" t="s">
        <v>8562</v>
      </c>
      <c r="E1675" s="1" t="str">
        <f>"5855"</f>
        <v>5855</v>
      </c>
      <c r="F1675" s="1" t="str">
        <f>"016002918"</f>
        <v>016002918</v>
      </c>
      <c r="G1675" s="1" t="s">
        <v>5814</v>
      </c>
      <c r="H1675" s="1" t="s">
        <v>15</v>
      </c>
      <c r="I1675" s="1" t="str">
        <f>"25"</f>
        <v>25</v>
      </c>
      <c r="J1675" s="3" t="str">
        <f>"27000"</f>
        <v>27000</v>
      </c>
      <c r="K1675" s="4">
        <v>46090</v>
      </c>
      <c r="L1675" s="4">
        <v>46090</v>
      </c>
      <c r="M1675" s="1" t="s">
        <v>8561</v>
      </c>
      <c r="N1675" s="1" t="s">
        <v>8560</v>
      </c>
    </row>
    <row r="1676" spans="1:14" s="1" customFormat="1" x14ac:dyDescent="0.35">
      <c r="A1676" s="1" t="s">
        <v>4492</v>
      </c>
      <c r="B1676" s="1" t="s">
        <v>1129</v>
      </c>
      <c r="C1676" s="1" t="s">
        <v>8557</v>
      </c>
      <c r="D1676" s="1" t="s">
        <v>8559</v>
      </c>
      <c r="E1676" s="1" t="str">
        <f>"2320"</f>
        <v>2320</v>
      </c>
      <c r="F1676" s="1" t="str">
        <f>"015762510"</f>
        <v>015762510</v>
      </c>
      <c r="G1676" s="1" t="s">
        <v>2570</v>
      </c>
      <c r="H1676" s="1" t="s">
        <v>15</v>
      </c>
      <c r="I1676" s="1" t="str">
        <f>"1"</f>
        <v>1</v>
      </c>
      <c r="J1676" s="3" t="str">
        <f>"16500"</f>
        <v>16500</v>
      </c>
      <c r="K1676" s="4">
        <v>46044</v>
      </c>
      <c r="L1676" s="4">
        <v>46046</v>
      </c>
      <c r="M1676" s="1" t="s">
        <v>4524</v>
      </c>
      <c r="N1676" s="1" t="s">
        <v>8558</v>
      </c>
    </row>
    <row r="1677" spans="1:14" s="1" customFormat="1" x14ac:dyDescent="0.35">
      <c r="A1677" s="1" t="s">
        <v>4492</v>
      </c>
      <c r="B1677" s="1" t="s">
        <v>1129</v>
      </c>
      <c r="C1677" s="1" t="s">
        <v>8557</v>
      </c>
      <c r="D1677" s="1" t="s">
        <v>8556</v>
      </c>
      <c r="E1677" s="1" t="str">
        <f>"2320"</f>
        <v>2320</v>
      </c>
      <c r="F1677" s="1" t="str">
        <f>"015762510"</f>
        <v>015762510</v>
      </c>
      <c r="G1677" s="1" t="s">
        <v>2570</v>
      </c>
      <c r="H1677" s="1" t="s">
        <v>15</v>
      </c>
      <c r="I1677" s="1" t="str">
        <f>"1"</f>
        <v>1</v>
      </c>
      <c r="J1677" s="3" t="str">
        <f>"16500"</f>
        <v>16500</v>
      </c>
      <c r="K1677" s="4">
        <v>46044</v>
      </c>
      <c r="L1677" s="4">
        <v>46046</v>
      </c>
      <c r="M1677" s="1" t="s">
        <v>4524</v>
      </c>
      <c r="N1677" s="1" t="s">
        <v>8555</v>
      </c>
    </row>
    <row r="1678" spans="1:14" s="1" customFormat="1" x14ac:dyDescent="0.35">
      <c r="A1678" s="1" t="s">
        <v>4492</v>
      </c>
      <c r="B1678" s="1" t="s">
        <v>1791</v>
      </c>
      <c r="C1678" s="1" t="s">
        <v>8554</v>
      </c>
      <c r="D1678" s="1" t="s">
        <v>8553</v>
      </c>
      <c r="E1678" s="1" t="str">
        <f>"2310"</f>
        <v>2310</v>
      </c>
      <c r="F1678" s="1" t="str">
        <f>"010907739"</f>
        <v>010907739</v>
      </c>
      <c r="G1678" s="1" t="s">
        <v>710</v>
      </c>
      <c r="H1678" s="1" t="s">
        <v>15</v>
      </c>
      <c r="I1678" s="1" t="str">
        <f>"1"</f>
        <v>1</v>
      </c>
      <c r="J1678" s="3" t="str">
        <f>"9176"</f>
        <v>9176</v>
      </c>
      <c r="K1678" s="4">
        <v>46092</v>
      </c>
      <c r="L1678" s="4">
        <v>46105</v>
      </c>
      <c r="M1678" s="1" t="s">
        <v>8552</v>
      </c>
      <c r="N1678" s="1" t="s">
        <v>8551</v>
      </c>
    </row>
    <row r="1679" spans="1:14" s="1" customFormat="1" x14ac:dyDescent="0.35">
      <c r="A1679" s="1" t="s">
        <v>4492</v>
      </c>
      <c r="B1679" s="1" t="s">
        <v>1013</v>
      </c>
      <c r="C1679" s="1" t="s">
        <v>8550</v>
      </c>
      <c r="D1679" s="1" t="s">
        <v>8549</v>
      </c>
      <c r="E1679" s="1" t="str">
        <f>"6130"</f>
        <v>6130</v>
      </c>
      <c r="F1679" s="1" t="s">
        <v>8548</v>
      </c>
      <c r="G1679" s="1" t="s">
        <v>8547</v>
      </c>
      <c r="H1679" s="1" t="s">
        <v>15</v>
      </c>
      <c r="I1679" s="1" t="str">
        <f>"6"</f>
        <v>6</v>
      </c>
      <c r="J1679" s="3" t="str">
        <f>"600"</f>
        <v>600</v>
      </c>
      <c r="K1679" s="4">
        <v>46002</v>
      </c>
      <c r="L1679" s="4">
        <v>46031</v>
      </c>
      <c r="M1679" s="1" t="s">
        <v>8546</v>
      </c>
      <c r="N1679" s="1" t="s">
        <v>8545</v>
      </c>
    </row>
    <row r="1680" spans="1:14" s="1" customFormat="1" x14ac:dyDescent="0.35">
      <c r="A1680" s="1" t="s">
        <v>4492</v>
      </c>
      <c r="B1680" s="1" t="s">
        <v>1176</v>
      </c>
      <c r="C1680" s="1" t="s">
        <v>1220</v>
      </c>
      <c r="D1680" s="1" t="s">
        <v>8544</v>
      </c>
      <c r="E1680" s="1" t="str">
        <f>"7310"</f>
        <v>7310</v>
      </c>
      <c r="F1680" s="1" t="str">
        <f>"015889244"</f>
        <v>015889244</v>
      </c>
      <c r="G1680" s="1" t="s">
        <v>8528</v>
      </c>
      <c r="H1680" s="1" t="s">
        <v>15</v>
      </c>
      <c r="I1680" s="1" t="str">
        <f>"3"</f>
        <v>3</v>
      </c>
      <c r="J1680" s="3">
        <v>2953.9</v>
      </c>
      <c r="K1680" s="4">
        <v>46030</v>
      </c>
      <c r="L1680" s="4">
        <v>46048</v>
      </c>
      <c r="M1680" s="1" t="s">
        <v>8543</v>
      </c>
      <c r="N1680" s="1" t="s">
        <v>8542</v>
      </c>
    </row>
    <row r="1681" spans="1:14" s="1" customFormat="1" x14ac:dyDescent="0.35">
      <c r="A1681" s="1" t="s">
        <v>4492</v>
      </c>
      <c r="B1681" s="1" t="s">
        <v>1176</v>
      </c>
      <c r="C1681" s="1" t="s">
        <v>1220</v>
      </c>
      <c r="D1681" s="1" t="s">
        <v>8541</v>
      </c>
      <c r="E1681" s="1" t="str">
        <f>"2320"</f>
        <v>2320</v>
      </c>
      <c r="F1681" s="1" t="s">
        <v>1016</v>
      </c>
      <c r="G1681" s="1" t="s">
        <v>1017</v>
      </c>
      <c r="H1681" s="1" t="s">
        <v>15</v>
      </c>
      <c r="I1681" s="1" t="str">
        <f>"1"</f>
        <v>1</v>
      </c>
      <c r="J1681" s="3" t="str">
        <f>"26186"</f>
        <v>26186</v>
      </c>
      <c r="K1681" s="4">
        <v>46030</v>
      </c>
      <c r="L1681" s="4">
        <v>46035</v>
      </c>
      <c r="M1681" s="1" t="s">
        <v>8540</v>
      </c>
      <c r="N1681" s="1" t="s">
        <v>8539</v>
      </c>
    </row>
    <row r="1682" spans="1:14" s="1" customFormat="1" x14ac:dyDescent="0.35">
      <c r="A1682" s="1" t="s">
        <v>4492</v>
      </c>
      <c r="B1682" s="1" t="s">
        <v>1176</v>
      </c>
      <c r="C1682" s="1" t="s">
        <v>1220</v>
      </c>
      <c r="D1682" s="1" t="s">
        <v>8538</v>
      </c>
      <c r="E1682" s="1" t="str">
        <f>"3590"</f>
        <v>3590</v>
      </c>
      <c r="F1682" s="1" t="s">
        <v>1052</v>
      </c>
      <c r="G1682" s="1" t="s">
        <v>1053</v>
      </c>
      <c r="H1682" s="1" t="s">
        <v>15</v>
      </c>
      <c r="I1682" s="1" t="str">
        <f>"1"</f>
        <v>1</v>
      </c>
      <c r="J1682" s="3" t="str">
        <f>"20000"</f>
        <v>20000</v>
      </c>
      <c r="K1682" s="4">
        <v>46034</v>
      </c>
      <c r="L1682" s="4">
        <v>46036</v>
      </c>
      <c r="M1682" s="1" t="s">
        <v>8537</v>
      </c>
      <c r="N1682" s="1" t="s">
        <v>8536</v>
      </c>
    </row>
    <row r="1683" spans="1:14" s="1" customFormat="1" x14ac:dyDescent="0.35">
      <c r="A1683" s="1" t="s">
        <v>4492</v>
      </c>
      <c r="B1683" s="1" t="s">
        <v>1176</v>
      </c>
      <c r="C1683" s="1" t="s">
        <v>1220</v>
      </c>
      <c r="D1683" s="1" t="s">
        <v>8535</v>
      </c>
      <c r="E1683" s="1" t="str">
        <f>"2320"</f>
        <v>2320</v>
      </c>
      <c r="F1683" s="1" t="str">
        <f>"010907883"</f>
        <v>010907883</v>
      </c>
      <c r="G1683" s="1" t="s">
        <v>930</v>
      </c>
      <c r="H1683" s="1" t="s">
        <v>15</v>
      </c>
      <c r="I1683" s="1" t="str">
        <f>"1"</f>
        <v>1</v>
      </c>
      <c r="J1683" s="3" t="str">
        <f>"17724"</f>
        <v>17724</v>
      </c>
      <c r="K1683" s="4">
        <v>46034</v>
      </c>
      <c r="L1683" s="4">
        <v>46036</v>
      </c>
      <c r="M1683" s="1" t="s">
        <v>8534</v>
      </c>
      <c r="N1683" s="1" t="s">
        <v>8533</v>
      </c>
    </row>
    <row r="1684" spans="1:14" s="1" customFormat="1" x14ac:dyDescent="0.35">
      <c r="A1684" s="1" t="s">
        <v>4492</v>
      </c>
      <c r="B1684" s="1" t="s">
        <v>1176</v>
      </c>
      <c r="C1684" s="1" t="s">
        <v>1220</v>
      </c>
      <c r="D1684" s="1" t="s">
        <v>8535</v>
      </c>
      <c r="E1684" s="1" t="str">
        <f>"2320"</f>
        <v>2320</v>
      </c>
      <c r="F1684" s="1" t="str">
        <f>"010907883"</f>
        <v>010907883</v>
      </c>
      <c r="G1684" s="1" t="s">
        <v>930</v>
      </c>
      <c r="H1684" s="1" t="s">
        <v>15</v>
      </c>
      <c r="I1684" s="1" t="str">
        <f>"1"</f>
        <v>1</v>
      </c>
      <c r="J1684" s="3" t="str">
        <f>"17724"</f>
        <v>17724</v>
      </c>
      <c r="K1684" s="4">
        <v>46034</v>
      </c>
      <c r="L1684" s="4">
        <v>46036</v>
      </c>
      <c r="M1684" s="1" t="s">
        <v>8534</v>
      </c>
      <c r="N1684" s="1" t="s">
        <v>8533</v>
      </c>
    </row>
    <row r="1685" spans="1:14" s="1" customFormat="1" x14ac:dyDescent="0.35">
      <c r="A1685" s="1" t="s">
        <v>4492</v>
      </c>
      <c r="B1685" s="1" t="s">
        <v>1176</v>
      </c>
      <c r="C1685" s="1" t="s">
        <v>1220</v>
      </c>
      <c r="D1685" s="1" t="s">
        <v>8532</v>
      </c>
      <c r="E1685" s="1" t="str">
        <f>"7320"</f>
        <v>7320</v>
      </c>
      <c r="F1685" s="1" t="str">
        <f>"016212220"</f>
        <v>016212220</v>
      </c>
      <c r="G1685" s="1" t="s">
        <v>1263</v>
      </c>
      <c r="H1685" s="1" t="s">
        <v>15</v>
      </c>
      <c r="I1685" s="1" t="str">
        <f>"1"</f>
        <v>1</v>
      </c>
      <c r="J1685" s="3">
        <v>8302.1299999999992</v>
      </c>
      <c r="K1685" s="4">
        <v>46048</v>
      </c>
      <c r="L1685" s="4">
        <v>46099</v>
      </c>
      <c r="M1685" s="1" t="s">
        <v>8531</v>
      </c>
      <c r="N1685" s="1" t="s">
        <v>8530</v>
      </c>
    </row>
    <row r="1686" spans="1:14" s="1" customFormat="1" x14ac:dyDescent="0.35">
      <c r="A1686" s="1" t="s">
        <v>4492</v>
      </c>
      <c r="B1686" s="1" t="s">
        <v>1176</v>
      </c>
      <c r="C1686" s="1" t="s">
        <v>1220</v>
      </c>
      <c r="D1686" s="1" t="s">
        <v>8529</v>
      </c>
      <c r="E1686" s="1" t="str">
        <f>"7310"</f>
        <v>7310</v>
      </c>
      <c r="F1686" s="1" t="str">
        <f>"015889244"</f>
        <v>015889244</v>
      </c>
      <c r="G1686" s="1" t="s">
        <v>8528</v>
      </c>
      <c r="H1686" s="1" t="s">
        <v>15</v>
      </c>
      <c r="I1686" s="1" t="str">
        <f>"3"</f>
        <v>3</v>
      </c>
      <c r="J1686" s="3">
        <v>2953.9</v>
      </c>
      <c r="K1686" s="4">
        <v>46055</v>
      </c>
      <c r="L1686" s="4">
        <v>46055</v>
      </c>
      <c r="M1686" s="1" t="s">
        <v>4524</v>
      </c>
      <c r="N1686" s="1" t="s">
        <v>8527</v>
      </c>
    </row>
    <row r="1687" spans="1:14" s="1" customFormat="1" x14ac:dyDescent="0.35">
      <c r="A1687" s="1" t="s">
        <v>4492</v>
      </c>
      <c r="B1687" s="1" t="s">
        <v>1176</v>
      </c>
      <c r="C1687" s="1" t="s">
        <v>1220</v>
      </c>
      <c r="D1687" s="1" t="s">
        <v>8526</v>
      </c>
      <c r="E1687" s="1" t="str">
        <f>"6685"</f>
        <v>6685</v>
      </c>
      <c r="F1687" s="1" t="s">
        <v>8525</v>
      </c>
      <c r="G1687" s="1" t="s">
        <v>8524</v>
      </c>
      <c r="H1687" s="1" t="s">
        <v>15</v>
      </c>
      <c r="I1687" s="1" t="str">
        <f>"1"</f>
        <v>1</v>
      </c>
      <c r="J1687" s="3">
        <v>344.44</v>
      </c>
      <c r="K1687" s="4">
        <v>46080</v>
      </c>
      <c r="L1687" s="4">
        <v>46082</v>
      </c>
      <c r="M1687" s="1" t="s">
        <v>4524</v>
      </c>
      <c r="N1687" s="1" t="s">
        <v>8523</v>
      </c>
    </row>
    <row r="1688" spans="1:14" s="1" customFormat="1" x14ac:dyDescent="0.35">
      <c r="A1688" s="1" t="s">
        <v>4492</v>
      </c>
      <c r="B1688" s="1" t="s">
        <v>1176</v>
      </c>
      <c r="C1688" s="1" t="s">
        <v>1220</v>
      </c>
      <c r="D1688" s="1" t="s">
        <v>8522</v>
      </c>
      <c r="E1688" s="1" t="str">
        <f>"3805"</f>
        <v>3805</v>
      </c>
      <c r="F1688" s="1" t="s">
        <v>1020</v>
      </c>
      <c r="G1688" s="1" t="s">
        <v>1021</v>
      </c>
      <c r="H1688" s="1" t="s">
        <v>15</v>
      </c>
      <c r="I1688" s="1" t="str">
        <f>"1"</f>
        <v>1</v>
      </c>
      <c r="J1688" s="3" t="str">
        <f>"51602"</f>
        <v>51602</v>
      </c>
      <c r="K1688" s="4">
        <v>46086</v>
      </c>
      <c r="L1688" s="4">
        <v>46088</v>
      </c>
      <c r="M1688" s="1" t="s">
        <v>8521</v>
      </c>
      <c r="N1688" s="1" t="s">
        <v>8520</v>
      </c>
    </row>
    <row r="1689" spans="1:14" s="1" customFormat="1" x14ac:dyDescent="0.35">
      <c r="A1689" s="1" t="s">
        <v>4492</v>
      </c>
      <c r="B1689" s="1" t="s">
        <v>1989</v>
      </c>
      <c r="C1689" s="1" t="s">
        <v>8517</v>
      </c>
      <c r="D1689" s="1" t="s">
        <v>8519</v>
      </c>
      <c r="E1689" s="1" t="str">
        <f>"2320"</f>
        <v>2320</v>
      </c>
      <c r="F1689" s="1" t="str">
        <f>"010907882"</f>
        <v>010907882</v>
      </c>
      <c r="G1689" s="1" t="s">
        <v>930</v>
      </c>
      <c r="H1689" s="1" t="s">
        <v>15</v>
      </c>
      <c r="I1689" s="1" t="str">
        <f>"1"</f>
        <v>1</v>
      </c>
      <c r="J1689" s="3" t="str">
        <f>"9408"</f>
        <v>9408</v>
      </c>
      <c r="K1689" s="4">
        <v>46047</v>
      </c>
      <c r="L1689" s="4">
        <v>46055</v>
      </c>
      <c r="M1689" s="1" t="s">
        <v>8518</v>
      </c>
      <c r="N1689" s="1" t="s">
        <v>8514</v>
      </c>
    </row>
    <row r="1690" spans="1:14" s="1" customFormat="1" x14ac:dyDescent="0.35">
      <c r="A1690" s="1" t="s">
        <v>4492</v>
      </c>
      <c r="B1690" s="1" t="s">
        <v>1989</v>
      </c>
      <c r="C1690" s="1" t="s">
        <v>8517</v>
      </c>
      <c r="D1690" s="1" t="s">
        <v>8516</v>
      </c>
      <c r="E1690" s="1" t="str">
        <f>"2320"</f>
        <v>2320</v>
      </c>
      <c r="F1690" s="1" t="str">
        <f>"010907882"</f>
        <v>010907882</v>
      </c>
      <c r="G1690" s="1" t="s">
        <v>930</v>
      </c>
      <c r="H1690" s="1" t="s">
        <v>15</v>
      </c>
      <c r="I1690" s="1" t="str">
        <f>"1"</f>
        <v>1</v>
      </c>
      <c r="J1690" s="3" t="str">
        <f>"9408"</f>
        <v>9408</v>
      </c>
      <c r="K1690" s="4">
        <v>46047</v>
      </c>
      <c r="L1690" s="4">
        <v>46055</v>
      </c>
      <c r="M1690" s="1" t="s">
        <v>8515</v>
      </c>
      <c r="N1690" s="1" t="s">
        <v>8514</v>
      </c>
    </row>
    <row r="1691" spans="1:14" s="1" customFormat="1" x14ac:dyDescent="0.35">
      <c r="A1691" s="1" t="s">
        <v>4492</v>
      </c>
      <c r="B1691" s="1" t="s">
        <v>4381</v>
      </c>
      <c r="C1691" s="1" t="s">
        <v>4382</v>
      </c>
      <c r="D1691" s="1" t="s">
        <v>8513</v>
      </c>
      <c r="E1691" s="1" t="str">
        <f>"6140"</f>
        <v>6140</v>
      </c>
      <c r="F1691" s="1" t="str">
        <f>"014904316"</f>
        <v>014904316</v>
      </c>
      <c r="G1691" s="1" t="s">
        <v>3339</v>
      </c>
      <c r="H1691" s="1" t="s">
        <v>15</v>
      </c>
      <c r="I1691" s="1" t="str">
        <f>"10"</f>
        <v>10</v>
      </c>
      <c r="J1691" s="3">
        <v>225.12</v>
      </c>
      <c r="K1691" s="4">
        <v>46027</v>
      </c>
      <c r="L1691" s="4">
        <v>46029</v>
      </c>
      <c r="M1691" s="1" t="s">
        <v>8512</v>
      </c>
      <c r="N1691" s="1" t="s">
        <v>8511</v>
      </c>
    </row>
    <row r="1692" spans="1:14" s="1" customFormat="1" x14ac:dyDescent="0.35">
      <c r="A1692" s="1" t="s">
        <v>4492</v>
      </c>
      <c r="B1692" s="1" t="s">
        <v>4381</v>
      </c>
      <c r="C1692" s="1" t="s">
        <v>4382</v>
      </c>
      <c r="D1692" s="1" t="s">
        <v>8510</v>
      </c>
      <c r="E1692" s="1" t="str">
        <f>"9930"</f>
        <v>9930</v>
      </c>
      <c r="F1692" s="1" t="str">
        <f>"013316244"</f>
        <v>013316244</v>
      </c>
      <c r="G1692" s="1" t="s">
        <v>690</v>
      </c>
      <c r="H1692" s="1" t="s">
        <v>15</v>
      </c>
      <c r="I1692" s="1" t="str">
        <f>"30"</f>
        <v>30</v>
      </c>
      <c r="J1692" s="3">
        <v>45.01</v>
      </c>
      <c r="K1692" s="4">
        <v>46092</v>
      </c>
      <c r="L1692" s="4">
        <v>46104</v>
      </c>
      <c r="M1692" s="1" t="s">
        <v>8509</v>
      </c>
      <c r="N1692" s="1" t="s">
        <v>8508</v>
      </c>
    </row>
    <row r="1693" spans="1:14" s="1" customFormat="1" x14ac:dyDescent="0.35">
      <c r="A1693" s="1" t="s">
        <v>4492</v>
      </c>
      <c r="B1693" s="1" t="s">
        <v>4381</v>
      </c>
      <c r="C1693" s="1" t="s">
        <v>4382</v>
      </c>
      <c r="D1693" s="1" t="s">
        <v>8507</v>
      </c>
      <c r="E1693" s="1" t="str">
        <f>"4110"</f>
        <v>4110</v>
      </c>
      <c r="F1693" s="1" t="s">
        <v>2287</v>
      </c>
      <c r="G1693" s="1" t="s">
        <v>2288</v>
      </c>
      <c r="H1693" s="1" t="s">
        <v>15</v>
      </c>
      <c r="I1693" s="1" t="str">
        <f>"1"</f>
        <v>1</v>
      </c>
      <c r="J1693" s="3">
        <v>3736.2</v>
      </c>
      <c r="K1693" s="4">
        <v>46106</v>
      </c>
      <c r="L1693" s="4">
        <v>46107</v>
      </c>
      <c r="M1693" s="1" t="s">
        <v>8506</v>
      </c>
      <c r="N1693" s="1" t="s">
        <v>8505</v>
      </c>
    </row>
    <row r="1694" spans="1:14" s="1" customFormat="1" x14ac:dyDescent="0.35">
      <c r="A1694" s="1" t="s">
        <v>4492</v>
      </c>
      <c r="B1694" s="1" t="s">
        <v>4381</v>
      </c>
      <c r="C1694" s="1" t="s">
        <v>4382</v>
      </c>
      <c r="D1694" s="1" t="s">
        <v>8507</v>
      </c>
      <c r="E1694" s="1" t="str">
        <f>"4110"</f>
        <v>4110</v>
      </c>
      <c r="F1694" s="1" t="s">
        <v>2287</v>
      </c>
      <c r="G1694" s="1" t="s">
        <v>2288</v>
      </c>
      <c r="H1694" s="1" t="s">
        <v>15</v>
      </c>
      <c r="I1694" s="1" t="str">
        <f>"1"</f>
        <v>1</v>
      </c>
      <c r="J1694" s="3">
        <v>3736.2</v>
      </c>
      <c r="K1694" s="4">
        <v>46106</v>
      </c>
      <c r="L1694" s="4">
        <v>46107</v>
      </c>
      <c r="M1694" s="1" t="s">
        <v>8506</v>
      </c>
      <c r="N1694" s="1" t="s">
        <v>8505</v>
      </c>
    </row>
    <row r="1695" spans="1:14" s="1" customFormat="1" x14ac:dyDescent="0.35">
      <c r="A1695" s="1" t="s">
        <v>4492</v>
      </c>
      <c r="B1695" s="1" t="s">
        <v>3356</v>
      </c>
      <c r="C1695" s="1" t="s">
        <v>3542</v>
      </c>
      <c r="D1695" s="1" t="s">
        <v>8504</v>
      </c>
      <c r="E1695" s="1" t="str">
        <f>"1940"</f>
        <v>1940</v>
      </c>
      <c r="F1695" s="1" t="s">
        <v>1898</v>
      </c>
      <c r="G1695" s="1" t="s">
        <v>1899</v>
      </c>
      <c r="H1695" s="1" t="s">
        <v>15</v>
      </c>
      <c r="I1695" s="1" t="str">
        <f>"1"</f>
        <v>1</v>
      </c>
      <c r="J1695" s="3" t="str">
        <f>"259000"</f>
        <v>259000</v>
      </c>
      <c r="K1695" s="4">
        <v>46097</v>
      </c>
      <c r="L1695" s="4">
        <v>46098</v>
      </c>
      <c r="M1695" s="1" t="s">
        <v>4524</v>
      </c>
      <c r="N1695" s="1" t="s">
        <v>8503</v>
      </c>
    </row>
    <row r="1696" spans="1:14" s="1" customFormat="1" x14ac:dyDescent="0.35">
      <c r="A1696" s="1" t="s">
        <v>4492</v>
      </c>
      <c r="B1696" s="1" t="s">
        <v>3268</v>
      </c>
      <c r="C1696" s="1" t="s">
        <v>8502</v>
      </c>
      <c r="D1696" s="1" t="s">
        <v>8501</v>
      </c>
      <c r="E1696" s="1" t="str">
        <f>"1240"</f>
        <v>1240</v>
      </c>
      <c r="F1696" s="1" t="str">
        <f>"015248478"</f>
        <v>015248478</v>
      </c>
      <c r="G1696" s="1" t="s">
        <v>5801</v>
      </c>
      <c r="H1696" s="1" t="s">
        <v>15</v>
      </c>
      <c r="I1696" s="1" t="str">
        <f>"10"</f>
        <v>10</v>
      </c>
      <c r="J1696" s="3" t="str">
        <f>"280"</f>
        <v>280</v>
      </c>
      <c r="K1696" s="4">
        <v>46044</v>
      </c>
      <c r="L1696" s="4">
        <v>46055</v>
      </c>
      <c r="M1696" s="1" t="s">
        <v>4524</v>
      </c>
      <c r="N1696" s="1" t="s">
        <v>8500</v>
      </c>
    </row>
    <row r="1697" spans="1:14" s="1" customFormat="1" x14ac:dyDescent="0.35">
      <c r="A1697" s="1" t="s">
        <v>4492</v>
      </c>
      <c r="B1697" s="1" t="s">
        <v>73</v>
      </c>
      <c r="C1697" s="1" t="s">
        <v>98</v>
      </c>
      <c r="D1697" s="1" t="s">
        <v>8499</v>
      </c>
      <c r="E1697" s="1" t="str">
        <f>"6130"</f>
        <v>6130</v>
      </c>
      <c r="F1697" s="1" t="s">
        <v>161</v>
      </c>
      <c r="G1697" s="1" t="s">
        <v>162</v>
      </c>
      <c r="H1697" s="1" t="s">
        <v>15</v>
      </c>
      <c r="I1697" s="1" t="str">
        <f>"1"</f>
        <v>1</v>
      </c>
      <c r="J1697" s="3" t="str">
        <f>"1500"</f>
        <v>1500</v>
      </c>
      <c r="K1697" s="4">
        <v>45973</v>
      </c>
      <c r="L1697" s="4">
        <v>46035</v>
      </c>
      <c r="M1697" s="1" t="s">
        <v>8498</v>
      </c>
      <c r="N1697" s="1" t="s">
        <v>8497</v>
      </c>
    </row>
    <row r="1698" spans="1:14" s="1" customFormat="1" x14ac:dyDescent="0.35">
      <c r="A1698" s="1" t="s">
        <v>4492</v>
      </c>
      <c r="B1698" s="1" t="s">
        <v>73</v>
      </c>
      <c r="C1698" s="1" t="s">
        <v>98</v>
      </c>
      <c r="D1698" s="1" t="s">
        <v>8496</v>
      </c>
      <c r="E1698" s="1" t="str">
        <f>"7830"</f>
        <v>7830</v>
      </c>
      <c r="F1698" s="1" t="s">
        <v>2167</v>
      </c>
      <c r="G1698" s="1" t="s">
        <v>2168</v>
      </c>
      <c r="H1698" s="1" t="s">
        <v>15</v>
      </c>
      <c r="I1698" s="1" t="str">
        <f>"1"</f>
        <v>1</v>
      </c>
      <c r="J1698" s="3">
        <v>5009.62</v>
      </c>
      <c r="K1698" s="4">
        <v>45981</v>
      </c>
      <c r="L1698" s="4">
        <v>46035</v>
      </c>
      <c r="M1698" s="1" t="s">
        <v>8495</v>
      </c>
      <c r="N1698" s="1" t="s">
        <v>8494</v>
      </c>
    </row>
    <row r="1699" spans="1:14" s="1" customFormat="1" x14ac:dyDescent="0.35">
      <c r="A1699" s="1" t="s">
        <v>4492</v>
      </c>
      <c r="B1699" s="1" t="s">
        <v>73</v>
      </c>
      <c r="C1699" s="1" t="s">
        <v>98</v>
      </c>
      <c r="D1699" s="1" t="s">
        <v>8493</v>
      </c>
      <c r="E1699" s="1" t="str">
        <f>"7025"</f>
        <v>7025</v>
      </c>
      <c r="F1699" s="1" t="str">
        <f>"016451877"</f>
        <v>016451877</v>
      </c>
      <c r="G1699" s="1" t="s">
        <v>8492</v>
      </c>
      <c r="H1699" s="1" t="s">
        <v>15</v>
      </c>
      <c r="I1699" s="1" t="str">
        <f>"8"</f>
        <v>8</v>
      </c>
      <c r="J1699" s="3" t="str">
        <f>"1450"</f>
        <v>1450</v>
      </c>
      <c r="K1699" s="4">
        <v>45981</v>
      </c>
      <c r="L1699" s="4">
        <v>46035</v>
      </c>
      <c r="M1699" s="1" t="s">
        <v>8491</v>
      </c>
      <c r="N1699" s="1" t="s">
        <v>8490</v>
      </c>
    </row>
    <row r="1700" spans="1:14" s="1" customFormat="1" x14ac:dyDescent="0.35">
      <c r="A1700" s="1" t="s">
        <v>4492</v>
      </c>
      <c r="B1700" s="1" t="s">
        <v>73</v>
      </c>
      <c r="C1700" s="1" t="s">
        <v>98</v>
      </c>
      <c r="D1700" s="1" t="s">
        <v>8489</v>
      </c>
      <c r="E1700" s="1" t="str">
        <f>"5835"</f>
        <v>5835</v>
      </c>
      <c r="F1700" s="1" t="s">
        <v>8488</v>
      </c>
      <c r="G1700" s="1" t="s">
        <v>8487</v>
      </c>
      <c r="H1700" s="1" t="s">
        <v>15</v>
      </c>
      <c r="I1700" s="1" t="str">
        <f>"1"</f>
        <v>1</v>
      </c>
      <c r="J1700" s="3" t="str">
        <f>"11730"</f>
        <v>11730</v>
      </c>
      <c r="K1700" s="4">
        <v>45984</v>
      </c>
      <c r="L1700" s="4">
        <v>46034</v>
      </c>
      <c r="M1700" s="1" t="s">
        <v>8486</v>
      </c>
      <c r="N1700" s="1" t="s">
        <v>8485</v>
      </c>
    </row>
    <row r="1701" spans="1:14" s="1" customFormat="1" x14ac:dyDescent="0.35">
      <c r="A1701" s="1" t="s">
        <v>4492</v>
      </c>
      <c r="B1701" s="1" t="s">
        <v>73</v>
      </c>
      <c r="C1701" s="1" t="s">
        <v>98</v>
      </c>
      <c r="D1701" s="1" t="s">
        <v>8484</v>
      </c>
      <c r="E1701" s="1" t="str">
        <f>"3825"</f>
        <v>3825</v>
      </c>
      <c r="F1701" s="1" t="str">
        <f>"015065371"</f>
        <v>015065371</v>
      </c>
      <c r="G1701" s="1" t="s">
        <v>2543</v>
      </c>
      <c r="H1701" s="1" t="s">
        <v>15</v>
      </c>
      <c r="I1701" s="1" t="str">
        <f>"1"</f>
        <v>1</v>
      </c>
      <c r="J1701" s="3">
        <v>98857.15</v>
      </c>
      <c r="K1701" s="4">
        <v>46005</v>
      </c>
      <c r="L1701" s="4">
        <v>46043</v>
      </c>
      <c r="M1701" s="1" t="s">
        <v>4524</v>
      </c>
      <c r="N1701" s="1" t="s">
        <v>8483</v>
      </c>
    </row>
    <row r="1702" spans="1:14" s="1" customFormat="1" x14ac:dyDescent="0.35">
      <c r="A1702" s="1" t="s">
        <v>4492</v>
      </c>
      <c r="B1702" s="1" t="s">
        <v>73</v>
      </c>
      <c r="C1702" s="1" t="s">
        <v>98</v>
      </c>
      <c r="D1702" s="1" t="s">
        <v>8482</v>
      </c>
      <c r="E1702" s="1" t="str">
        <f>"3220"</f>
        <v>3220</v>
      </c>
      <c r="F1702" s="1" t="str">
        <f>"012605476"</f>
        <v>012605476</v>
      </c>
      <c r="G1702" s="1" t="s">
        <v>8481</v>
      </c>
      <c r="H1702" s="1" t="s">
        <v>15</v>
      </c>
      <c r="I1702" s="1" t="str">
        <f>"1"</f>
        <v>1</v>
      </c>
      <c r="J1702" s="3" t="str">
        <f>"26988"</f>
        <v>26988</v>
      </c>
      <c r="K1702" s="4">
        <v>46027</v>
      </c>
      <c r="L1702" s="4">
        <v>46043</v>
      </c>
      <c r="M1702" s="1" t="s">
        <v>4524</v>
      </c>
      <c r="N1702" s="1" t="s">
        <v>8480</v>
      </c>
    </row>
    <row r="1703" spans="1:14" s="1" customFormat="1" x14ac:dyDescent="0.35">
      <c r="A1703" s="1" t="s">
        <v>4492</v>
      </c>
      <c r="B1703" s="1" t="s">
        <v>73</v>
      </c>
      <c r="C1703" s="1" t="s">
        <v>98</v>
      </c>
      <c r="D1703" s="1" t="s">
        <v>8479</v>
      </c>
      <c r="E1703" s="1" t="str">
        <f>"7125"</f>
        <v>7125</v>
      </c>
      <c r="F1703" s="1" t="s">
        <v>8478</v>
      </c>
      <c r="G1703" s="1" t="s">
        <v>8477</v>
      </c>
      <c r="H1703" s="1" t="s">
        <v>15</v>
      </c>
      <c r="I1703" s="1" t="str">
        <f>"3"</f>
        <v>3</v>
      </c>
      <c r="J1703" s="3" t="str">
        <f>"125"</f>
        <v>125</v>
      </c>
      <c r="K1703" s="4">
        <v>46027</v>
      </c>
      <c r="L1703" s="4">
        <v>46087</v>
      </c>
      <c r="M1703" s="1" t="s">
        <v>8476</v>
      </c>
      <c r="N1703" s="1" t="s">
        <v>8475</v>
      </c>
    </row>
    <row r="1704" spans="1:14" s="1" customFormat="1" x14ac:dyDescent="0.35">
      <c r="A1704" s="1" t="s">
        <v>4492</v>
      </c>
      <c r="B1704" s="1" t="s">
        <v>73</v>
      </c>
      <c r="C1704" s="1" t="s">
        <v>98</v>
      </c>
      <c r="D1704" s="1" t="s">
        <v>8474</v>
      </c>
      <c r="E1704" s="1" t="str">
        <f>"7310"</f>
        <v>7310</v>
      </c>
      <c r="F1704" s="1" t="s">
        <v>8473</v>
      </c>
      <c r="G1704" s="1" t="s">
        <v>8472</v>
      </c>
      <c r="H1704" s="1" t="s">
        <v>15</v>
      </c>
      <c r="I1704" s="1" t="str">
        <f>"1"</f>
        <v>1</v>
      </c>
      <c r="J1704" s="3" t="str">
        <f>"1250"</f>
        <v>1250</v>
      </c>
      <c r="K1704" s="4">
        <v>46027</v>
      </c>
      <c r="L1704" s="4">
        <v>46043</v>
      </c>
      <c r="M1704" s="1" t="s">
        <v>4524</v>
      </c>
      <c r="N1704" s="1" t="s">
        <v>8471</v>
      </c>
    </row>
    <row r="1705" spans="1:14" s="1" customFormat="1" x14ac:dyDescent="0.35">
      <c r="A1705" s="1" t="s">
        <v>4492</v>
      </c>
      <c r="B1705" s="1" t="s">
        <v>73</v>
      </c>
      <c r="C1705" s="1" t="s">
        <v>98</v>
      </c>
      <c r="D1705" s="1" t="s">
        <v>8470</v>
      </c>
      <c r="E1705" s="1" t="str">
        <f>"5835"</f>
        <v>5835</v>
      </c>
      <c r="F1705" s="1" t="s">
        <v>8469</v>
      </c>
      <c r="G1705" s="1" t="s">
        <v>8468</v>
      </c>
      <c r="H1705" s="1" t="s">
        <v>15</v>
      </c>
      <c r="I1705" s="1" t="str">
        <f>"1"</f>
        <v>1</v>
      </c>
      <c r="J1705" s="3" t="str">
        <f>"141559"</f>
        <v>141559</v>
      </c>
      <c r="K1705" s="4">
        <v>46027</v>
      </c>
      <c r="L1705" s="4">
        <v>46055</v>
      </c>
      <c r="M1705" s="1" t="s">
        <v>4524</v>
      </c>
      <c r="N1705" s="1" t="s">
        <v>8467</v>
      </c>
    </row>
    <row r="1706" spans="1:14" s="1" customFormat="1" x14ac:dyDescent="0.35">
      <c r="A1706" s="1" t="s">
        <v>4492</v>
      </c>
      <c r="B1706" s="1" t="s">
        <v>73</v>
      </c>
      <c r="C1706" s="1" t="s">
        <v>98</v>
      </c>
      <c r="D1706" s="1" t="s">
        <v>8466</v>
      </c>
      <c r="E1706" s="1" t="str">
        <f>"6210"</f>
        <v>6210</v>
      </c>
      <c r="F1706" s="1" t="str">
        <f>"004745653"</f>
        <v>004745653</v>
      </c>
      <c r="G1706" s="1" t="s">
        <v>8465</v>
      </c>
      <c r="H1706" s="1" t="s">
        <v>15</v>
      </c>
      <c r="I1706" s="1" t="str">
        <f>"13"</f>
        <v>13</v>
      </c>
      <c r="J1706" s="3">
        <v>1495.22</v>
      </c>
      <c r="K1706" s="4">
        <v>46043</v>
      </c>
      <c r="L1706" s="4">
        <v>46067</v>
      </c>
      <c r="M1706" s="1" t="s">
        <v>4524</v>
      </c>
      <c r="N1706" s="1" t="s">
        <v>8464</v>
      </c>
    </row>
    <row r="1707" spans="1:14" s="1" customFormat="1" x14ac:dyDescent="0.35">
      <c r="A1707" s="1" t="s">
        <v>4492</v>
      </c>
      <c r="B1707" s="1" t="s">
        <v>73</v>
      </c>
      <c r="C1707" s="1" t="s">
        <v>98</v>
      </c>
      <c r="D1707" s="1" t="s">
        <v>8463</v>
      </c>
      <c r="E1707" s="1" t="str">
        <f>"3530"</f>
        <v>3530</v>
      </c>
      <c r="F1707" s="1" t="str">
        <f>"015074081"</f>
        <v>015074081</v>
      </c>
      <c r="G1707" s="1" t="s">
        <v>3408</v>
      </c>
      <c r="H1707" s="1" t="s">
        <v>15</v>
      </c>
      <c r="I1707" s="1" t="str">
        <f>"1"</f>
        <v>1</v>
      </c>
      <c r="J1707" s="3">
        <v>1290.43</v>
      </c>
      <c r="K1707" s="4">
        <v>46043</v>
      </c>
      <c r="L1707" s="4">
        <v>46063</v>
      </c>
      <c r="M1707" s="1" t="s">
        <v>4524</v>
      </c>
      <c r="N1707" s="1" t="s">
        <v>8462</v>
      </c>
    </row>
    <row r="1708" spans="1:14" s="1" customFormat="1" x14ac:dyDescent="0.35">
      <c r="A1708" s="1" t="s">
        <v>4492</v>
      </c>
      <c r="B1708" s="1" t="s">
        <v>73</v>
      </c>
      <c r="C1708" s="1" t="s">
        <v>98</v>
      </c>
      <c r="D1708" s="1" t="s">
        <v>8461</v>
      </c>
      <c r="E1708" s="1" t="str">
        <f>"5140"</f>
        <v>5140</v>
      </c>
      <c r="F1708" s="1" t="str">
        <f>"014797834"</f>
        <v>014797834</v>
      </c>
      <c r="G1708" s="1" t="s">
        <v>8460</v>
      </c>
      <c r="H1708" s="1" t="s">
        <v>15</v>
      </c>
      <c r="I1708" s="1" t="str">
        <f>"4"</f>
        <v>4</v>
      </c>
      <c r="J1708" s="3">
        <v>658.61</v>
      </c>
      <c r="K1708" s="4">
        <v>46068</v>
      </c>
      <c r="L1708" s="4">
        <v>46091</v>
      </c>
      <c r="M1708" s="1" t="s">
        <v>4524</v>
      </c>
      <c r="N1708" s="1" t="s">
        <v>8459</v>
      </c>
    </row>
    <row r="1709" spans="1:14" s="1" customFormat="1" x14ac:dyDescent="0.35">
      <c r="A1709" s="1" t="s">
        <v>4492</v>
      </c>
      <c r="B1709" s="1" t="s">
        <v>73</v>
      </c>
      <c r="C1709" s="1" t="s">
        <v>98</v>
      </c>
      <c r="D1709" s="1" t="s">
        <v>8458</v>
      </c>
      <c r="E1709" s="1" t="str">
        <f>"4730"</f>
        <v>4730</v>
      </c>
      <c r="F1709" s="1" t="str">
        <f>"015060084"</f>
        <v>015060084</v>
      </c>
      <c r="G1709" s="1" t="s">
        <v>8457</v>
      </c>
      <c r="H1709" s="1" t="s">
        <v>15</v>
      </c>
      <c r="I1709" s="1" t="str">
        <f>"2"</f>
        <v>2</v>
      </c>
      <c r="J1709" s="3">
        <v>3171.17</v>
      </c>
      <c r="K1709" s="4">
        <v>46068</v>
      </c>
      <c r="L1709" s="4">
        <v>46093</v>
      </c>
      <c r="M1709" s="1" t="s">
        <v>8456</v>
      </c>
      <c r="N1709" s="1" t="s">
        <v>8455</v>
      </c>
    </row>
    <row r="1710" spans="1:14" s="1" customFormat="1" x14ac:dyDescent="0.35">
      <c r="A1710" s="1" t="s">
        <v>4492</v>
      </c>
      <c r="B1710" s="1" t="s">
        <v>73</v>
      </c>
      <c r="C1710" s="1" t="s">
        <v>98</v>
      </c>
      <c r="D1710" s="1" t="s">
        <v>8454</v>
      </c>
      <c r="E1710" s="1" t="str">
        <f>"2320"</f>
        <v>2320</v>
      </c>
      <c r="F1710" s="1" t="s">
        <v>100</v>
      </c>
      <c r="G1710" s="1" t="s">
        <v>101</v>
      </c>
      <c r="H1710" s="1" t="s">
        <v>15</v>
      </c>
      <c r="I1710" s="1" t="str">
        <f>"1"</f>
        <v>1</v>
      </c>
      <c r="J1710" s="3" t="str">
        <f>"2000"</f>
        <v>2000</v>
      </c>
      <c r="K1710" s="4">
        <v>46078</v>
      </c>
      <c r="L1710" s="4">
        <v>46088</v>
      </c>
      <c r="M1710" s="1" t="s">
        <v>8453</v>
      </c>
      <c r="N1710" s="1" t="s">
        <v>8452</v>
      </c>
    </row>
    <row r="1711" spans="1:14" s="1" customFormat="1" x14ac:dyDescent="0.35">
      <c r="A1711" s="1" t="s">
        <v>4492</v>
      </c>
      <c r="B1711" s="1" t="s">
        <v>73</v>
      </c>
      <c r="C1711" s="1" t="s">
        <v>98</v>
      </c>
      <c r="D1711" s="1" t="s">
        <v>8451</v>
      </c>
      <c r="E1711" s="1" t="str">
        <f>"2340"</f>
        <v>2340</v>
      </c>
      <c r="F1711" s="1" t="s">
        <v>2713</v>
      </c>
      <c r="G1711" s="1" t="s">
        <v>2714</v>
      </c>
      <c r="H1711" s="1" t="s">
        <v>15</v>
      </c>
      <c r="I1711" s="1" t="str">
        <f>"1"</f>
        <v>1</v>
      </c>
      <c r="J1711" s="3" t="str">
        <f>"2000"</f>
        <v>2000</v>
      </c>
      <c r="K1711" s="4">
        <v>46078</v>
      </c>
      <c r="L1711" s="4">
        <v>46087</v>
      </c>
      <c r="M1711" s="1" t="s">
        <v>8450</v>
      </c>
      <c r="N1711" s="1" t="s">
        <v>8449</v>
      </c>
    </row>
    <row r="1712" spans="1:14" s="1" customFormat="1" x14ac:dyDescent="0.35">
      <c r="A1712" s="1" t="s">
        <v>4492</v>
      </c>
      <c r="B1712" s="1" t="s">
        <v>73</v>
      </c>
      <c r="C1712" s="1" t="s">
        <v>98</v>
      </c>
      <c r="D1712" s="1" t="s">
        <v>8448</v>
      </c>
      <c r="E1712" s="1" t="str">
        <f>"5450"</f>
        <v>5450</v>
      </c>
      <c r="F1712" s="1" t="s">
        <v>4821</v>
      </c>
      <c r="G1712" s="1" t="s">
        <v>4820</v>
      </c>
      <c r="H1712" s="1" t="s">
        <v>15</v>
      </c>
      <c r="I1712" s="1" t="str">
        <f>"1"</f>
        <v>1</v>
      </c>
      <c r="J1712" s="3" t="str">
        <f>"1672614"</f>
        <v>1672614</v>
      </c>
      <c r="K1712" s="4">
        <v>46078</v>
      </c>
      <c r="L1712" s="4">
        <v>46088</v>
      </c>
      <c r="M1712" s="1" t="s">
        <v>8447</v>
      </c>
      <c r="N1712" s="1" t="s">
        <v>8446</v>
      </c>
    </row>
    <row r="1713" spans="1:14" s="1" customFormat="1" x14ac:dyDescent="0.35">
      <c r="A1713" s="1" t="s">
        <v>4492</v>
      </c>
      <c r="B1713" s="1" t="s">
        <v>73</v>
      </c>
      <c r="C1713" s="1" t="s">
        <v>98</v>
      </c>
      <c r="D1713" s="1" t="s">
        <v>8445</v>
      </c>
      <c r="E1713" s="1" t="str">
        <f>"3750"</f>
        <v>3750</v>
      </c>
      <c r="F1713" s="1" t="s">
        <v>115</v>
      </c>
      <c r="G1713" s="1" t="s">
        <v>116</v>
      </c>
      <c r="H1713" s="1" t="s">
        <v>15</v>
      </c>
      <c r="I1713" s="1" t="str">
        <f>"1"</f>
        <v>1</v>
      </c>
      <c r="J1713" s="3" t="str">
        <f>"100"</f>
        <v>100</v>
      </c>
      <c r="K1713" s="4">
        <v>46084</v>
      </c>
      <c r="L1713" s="4">
        <v>46104</v>
      </c>
      <c r="M1713" s="1" t="s">
        <v>8444</v>
      </c>
      <c r="N1713" s="1" t="s">
        <v>8443</v>
      </c>
    </row>
    <row r="1714" spans="1:14" s="1" customFormat="1" x14ac:dyDescent="0.35">
      <c r="A1714" s="1" t="s">
        <v>4492</v>
      </c>
      <c r="B1714" s="1" t="s">
        <v>73</v>
      </c>
      <c r="C1714" s="1" t="s">
        <v>98</v>
      </c>
      <c r="D1714" s="1" t="s">
        <v>8442</v>
      </c>
      <c r="E1714" s="1" t="str">
        <f>"3810"</f>
        <v>3810</v>
      </c>
      <c r="F1714" s="1" t="s">
        <v>7710</v>
      </c>
      <c r="G1714" s="1" t="s">
        <v>7709</v>
      </c>
      <c r="H1714" s="1" t="s">
        <v>15</v>
      </c>
      <c r="I1714" s="1" t="str">
        <f>"1"</f>
        <v>1</v>
      </c>
      <c r="J1714" s="3" t="str">
        <f>"329441"</f>
        <v>329441</v>
      </c>
      <c r="K1714" s="4">
        <v>46084</v>
      </c>
      <c r="L1714" s="4">
        <v>46095</v>
      </c>
      <c r="M1714" s="1" t="s">
        <v>4524</v>
      </c>
      <c r="N1714" s="1" t="s">
        <v>8441</v>
      </c>
    </row>
    <row r="1715" spans="1:14" s="1" customFormat="1" x14ac:dyDescent="0.35">
      <c r="A1715" s="1" t="s">
        <v>4492</v>
      </c>
      <c r="B1715" s="1" t="s">
        <v>73</v>
      </c>
      <c r="C1715" s="1" t="s">
        <v>98</v>
      </c>
      <c r="D1715" s="1" t="s">
        <v>8440</v>
      </c>
      <c r="E1715" s="1" t="str">
        <f>"6720"</f>
        <v>6720</v>
      </c>
      <c r="F1715" s="1" t="s">
        <v>1719</v>
      </c>
      <c r="G1715" s="1" t="s">
        <v>1720</v>
      </c>
      <c r="H1715" s="1" t="s">
        <v>15</v>
      </c>
      <c r="I1715" s="1" t="str">
        <f>"2"</f>
        <v>2</v>
      </c>
      <c r="J1715" s="3" t="str">
        <f>"750"</f>
        <v>750</v>
      </c>
      <c r="K1715" s="4">
        <v>46089</v>
      </c>
      <c r="L1715" s="4">
        <v>46093</v>
      </c>
      <c r="M1715" s="1" t="s">
        <v>8439</v>
      </c>
      <c r="N1715" s="1" t="s">
        <v>8438</v>
      </c>
    </row>
    <row r="1716" spans="1:14" s="1" customFormat="1" x14ac:dyDescent="0.35">
      <c r="A1716" s="1" t="s">
        <v>4492</v>
      </c>
      <c r="B1716" s="1" t="s">
        <v>73</v>
      </c>
      <c r="C1716" s="1" t="s">
        <v>98</v>
      </c>
      <c r="D1716" s="1" t="s">
        <v>8437</v>
      </c>
      <c r="E1716" s="1" t="str">
        <f>"8145"</f>
        <v>8145</v>
      </c>
      <c r="F1716" s="1" t="s">
        <v>2635</v>
      </c>
      <c r="G1716" s="1" t="s">
        <v>2636</v>
      </c>
      <c r="H1716" s="1" t="s">
        <v>15</v>
      </c>
      <c r="I1716" s="1" t="str">
        <f>"1"</f>
        <v>1</v>
      </c>
      <c r="J1716" s="3" t="str">
        <f>"30000"</f>
        <v>30000</v>
      </c>
      <c r="K1716" s="4">
        <v>46089</v>
      </c>
      <c r="L1716" s="4">
        <v>46091</v>
      </c>
      <c r="M1716" s="1" t="s">
        <v>4524</v>
      </c>
      <c r="N1716" s="1" t="s">
        <v>8436</v>
      </c>
    </row>
    <row r="1717" spans="1:14" s="1" customFormat="1" x14ac:dyDescent="0.35">
      <c r="A1717" s="1" t="s">
        <v>4492</v>
      </c>
      <c r="B1717" s="1" t="s">
        <v>73</v>
      </c>
      <c r="C1717" s="1" t="s">
        <v>98</v>
      </c>
      <c r="D1717" s="1" t="s">
        <v>8435</v>
      </c>
      <c r="E1717" s="1" t="str">
        <f>"2320"</f>
        <v>2320</v>
      </c>
      <c r="F1717" s="1" t="str">
        <f>"007529812"</f>
        <v>007529812</v>
      </c>
      <c r="G1717" s="1" t="s">
        <v>2570</v>
      </c>
      <c r="H1717" s="1" t="s">
        <v>15</v>
      </c>
      <c r="I1717" s="1" t="str">
        <f>"1"</f>
        <v>1</v>
      </c>
      <c r="J1717" s="3" t="str">
        <f>"21046"</f>
        <v>21046</v>
      </c>
      <c r="K1717" s="4">
        <v>46090</v>
      </c>
      <c r="L1717" s="4">
        <v>46103</v>
      </c>
      <c r="M1717" s="1" t="s">
        <v>8434</v>
      </c>
      <c r="N1717" s="1" t="s">
        <v>8433</v>
      </c>
    </row>
    <row r="1718" spans="1:14" s="1" customFormat="1" x14ac:dyDescent="0.35">
      <c r="A1718" s="1" t="s">
        <v>4492</v>
      </c>
      <c r="B1718" s="1" t="s">
        <v>73</v>
      </c>
      <c r="C1718" s="1" t="s">
        <v>98</v>
      </c>
      <c r="D1718" s="1" t="s">
        <v>8432</v>
      </c>
      <c r="E1718" s="1" t="str">
        <f>"1940"</f>
        <v>1940</v>
      </c>
      <c r="F1718" s="1" t="s">
        <v>1898</v>
      </c>
      <c r="G1718" s="1" t="s">
        <v>1899</v>
      </c>
      <c r="H1718" s="1" t="s">
        <v>15</v>
      </c>
      <c r="I1718" s="1" t="str">
        <f>"1"</f>
        <v>1</v>
      </c>
      <c r="J1718" s="3" t="str">
        <f>"259000"</f>
        <v>259000</v>
      </c>
      <c r="K1718" s="4">
        <v>46095</v>
      </c>
      <c r="L1718" s="4">
        <v>46098</v>
      </c>
      <c r="M1718" s="1" t="s">
        <v>4524</v>
      </c>
      <c r="N1718" s="1" t="s">
        <v>8431</v>
      </c>
    </row>
    <row r="1719" spans="1:14" s="1" customFormat="1" x14ac:dyDescent="0.35">
      <c r="A1719" s="1" t="s">
        <v>4492</v>
      </c>
      <c r="B1719" s="1" t="s">
        <v>73</v>
      </c>
      <c r="C1719" s="1" t="s">
        <v>98</v>
      </c>
      <c r="D1719" s="1" t="s">
        <v>8430</v>
      </c>
      <c r="E1719" s="1" t="str">
        <f>"3895"</f>
        <v>3895</v>
      </c>
      <c r="F1719" s="1" t="str">
        <f>"009177416"</f>
        <v>009177416</v>
      </c>
      <c r="G1719" s="1" t="s">
        <v>8429</v>
      </c>
      <c r="H1719" s="1" t="s">
        <v>15</v>
      </c>
      <c r="I1719" s="1" t="str">
        <f>"1"</f>
        <v>1</v>
      </c>
      <c r="J1719" s="3">
        <v>2465.5500000000002</v>
      </c>
      <c r="K1719" s="4">
        <v>46095</v>
      </c>
      <c r="L1719" s="4">
        <v>46109</v>
      </c>
      <c r="M1719" s="1" t="s">
        <v>8428</v>
      </c>
      <c r="N1719" s="1" t="s">
        <v>8427</v>
      </c>
    </row>
    <row r="1720" spans="1:14" s="1" customFormat="1" x14ac:dyDescent="0.35">
      <c r="A1720" s="1" t="s">
        <v>4492</v>
      </c>
      <c r="B1720" s="1" t="s">
        <v>73</v>
      </c>
      <c r="C1720" s="1" t="s">
        <v>98</v>
      </c>
      <c r="D1720" s="1" t="s">
        <v>8426</v>
      </c>
      <c r="E1720" s="1" t="str">
        <f>"3431"</f>
        <v>3431</v>
      </c>
      <c r="F1720" s="1" t="s">
        <v>401</v>
      </c>
      <c r="G1720" s="1" t="s">
        <v>402</v>
      </c>
      <c r="H1720" s="1" t="s">
        <v>15</v>
      </c>
      <c r="I1720" s="1" t="str">
        <f>"3"</f>
        <v>3</v>
      </c>
      <c r="J1720" s="3" t="str">
        <f>"2000"</f>
        <v>2000</v>
      </c>
      <c r="K1720" s="4">
        <v>46097</v>
      </c>
      <c r="L1720" s="4">
        <v>46099</v>
      </c>
      <c r="M1720" s="1" t="s">
        <v>8425</v>
      </c>
      <c r="N1720" s="1" t="s">
        <v>8424</v>
      </c>
    </row>
    <row r="1721" spans="1:14" s="1" customFormat="1" x14ac:dyDescent="0.35">
      <c r="A1721" s="1" t="s">
        <v>4492</v>
      </c>
      <c r="B1721" s="1" t="s">
        <v>73</v>
      </c>
      <c r="C1721" s="1" t="s">
        <v>98</v>
      </c>
      <c r="D1721" s="1" t="s">
        <v>8423</v>
      </c>
      <c r="E1721" s="1" t="str">
        <f>"2310"</f>
        <v>2310</v>
      </c>
      <c r="F1721" s="1" t="str">
        <f>"014998019"</f>
        <v>014998019</v>
      </c>
      <c r="G1721" s="1" t="s">
        <v>4671</v>
      </c>
      <c r="H1721" s="1" t="s">
        <v>15</v>
      </c>
      <c r="I1721" s="1" t="str">
        <f>"1"</f>
        <v>1</v>
      </c>
      <c r="J1721" s="3" t="str">
        <f>"165000"</f>
        <v>165000</v>
      </c>
      <c r="K1721" s="4">
        <v>46097</v>
      </c>
      <c r="L1721" s="4">
        <v>46097</v>
      </c>
      <c r="M1721" s="1" t="s">
        <v>4524</v>
      </c>
      <c r="N1721" s="1" t="s">
        <v>8422</v>
      </c>
    </row>
    <row r="1722" spans="1:14" s="1" customFormat="1" x14ac:dyDescent="0.35">
      <c r="A1722" s="1" t="s">
        <v>4492</v>
      </c>
      <c r="B1722" s="1" t="s">
        <v>2630</v>
      </c>
      <c r="C1722" s="1" t="s">
        <v>2638</v>
      </c>
      <c r="D1722" s="1" t="s">
        <v>8421</v>
      </c>
      <c r="E1722" s="1" t="str">
        <f>"7830"</f>
        <v>7830</v>
      </c>
      <c r="F1722" s="1" t="s">
        <v>8420</v>
      </c>
      <c r="G1722" s="1" t="s">
        <v>8419</v>
      </c>
      <c r="H1722" s="1" t="s">
        <v>15</v>
      </c>
      <c r="I1722" s="1" t="str">
        <f>"1"</f>
        <v>1</v>
      </c>
      <c r="J1722" s="3" t="str">
        <f>"13589"</f>
        <v>13589</v>
      </c>
      <c r="K1722" s="4">
        <v>46079</v>
      </c>
      <c r="L1722" s="4">
        <v>46088</v>
      </c>
      <c r="M1722" s="1" t="s">
        <v>8418</v>
      </c>
      <c r="N1722" s="1" t="s">
        <v>8417</v>
      </c>
    </row>
    <row r="1723" spans="1:14" s="1" customFormat="1" x14ac:dyDescent="0.35">
      <c r="A1723" s="1" t="s">
        <v>4492</v>
      </c>
      <c r="B1723" s="1" t="s">
        <v>2630</v>
      </c>
      <c r="C1723" s="1" t="s">
        <v>2638</v>
      </c>
      <c r="D1723" s="1" t="s">
        <v>8416</v>
      </c>
      <c r="E1723" s="1" t="str">
        <f>"8145"</f>
        <v>8145</v>
      </c>
      <c r="F1723" s="1" t="str">
        <f>"014653621"</f>
        <v>014653621</v>
      </c>
      <c r="G1723" s="1" t="s">
        <v>753</v>
      </c>
      <c r="H1723" s="1" t="s">
        <v>15</v>
      </c>
      <c r="I1723" s="1" t="str">
        <f>"1"</f>
        <v>1</v>
      </c>
      <c r="J1723" s="3">
        <v>17477.91</v>
      </c>
      <c r="K1723" s="4">
        <v>46076</v>
      </c>
      <c r="L1723" s="4">
        <v>46088</v>
      </c>
      <c r="M1723" s="1" t="s">
        <v>8415</v>
      </c>
      <c r="N1723" s="1" t="s">
        <v>8414</v>
      </c>
    </row>
    <row r="1724" spans="1:14" s="1" customFormat="1" x14ac:dyDescent="0.35">
      <c r="A1724" s="1" t="s">
        <v>4492</v>
      </c>
      <c r="B1724" s="1" t="s">
        <v>3822</v>
      </c>
      <c r="C1724" s="1" t="s">
        <v>8410</v>
      </c>
      <c r="D1724" s="1" t="s">
        <v>8413</v>
      </c>
      <c r="E1724" s="1" t="str">
        <f>"1550"</f>
        <v>1550</v>
      </c>
      <c r="F1724" s="1" t="str">
        <f>"016215533"</f>
        <v>016215533</v>
      </c>
      <c r="G1724" s="1" t="s">
        <v>1789</v>
      </c>
      <c r="H1724" s="1" t="s">
        <v>15</v>
      </c>
      <c r="I1724" s="1" t="str">
        <f>"1"</f>
        <v>1</v>
      </c>
      <c r="J1724" s="3" t="str">
        <f>"168000"</f>
        <v>168000</v>
      </c>
      <c r="K1724" s="4">
        <v>45971</v>
      </c>
      <c r="L1724" s="4">
        <v>46037</v>
      </c>
      <c r="M1724" s="1" t="s">
        <v>8412</v>
      </c>
      <c r="N1724" s="1" t="s">
        <v>8411</v>
      </c>
    </row>
    <row r="1725" spans="1:14" s="1" customFormat="1" x14ac:dyDescent="0.35">
      <c r="A1725" s="1" t="s">
        <v>4492</v>
      </c>
      <c r="B1725" s="1" t="s">
        <v>3822</v>
      </c>
      <c r="C1725" s="1" t="s">
        <v>8410</v>
      </c>
      <c r="D1725" s="1" t="s">
        <v>8409</v>
      </c>
      <c r="E1725" s="1" t="str">
        <f>"1550"</f>
        <v>1550</v>
      </c>
      <c r="F1725" s="1" t="str">
        <f>"016215533"</f>
        <v>016215533</v>
      </c>
      <c r="G1725" s="1" t="s">
        <v>1789</v>
      </c>
      <c r="H1725" s="1" t="s">
        <v>15</v>
      </c>
      <c r="I1725" s="1" t="str">
        <f>"1"</f>
        <v>1</v>
      </c>
      <c r="J1725" s="3" t="str">
        <f>"168000"</f>
        <v>168000</v>
      </c>
      <c r="K1725" s="4">
        <v>46038</v>
      </c>
      <c r="L1725" s="4">
        <v>46040</v>
      </c>
      <c r="M1725" s="1" t="s">
        <v>4524</v>
      </c>
      <c r="N1725" s="1" t="s">
        <v>8408</v>
      </c>
    </row>
    <row r="1726" spans="1:14" s="1" customFormat="1" x14ac:dyDescent="0.35">
      <c r="A1726" s="1" t="s">
        <v>4492</v>
      </c>
      <c r="B1726" s="1" t="s">
        <v>1129</v>
      </c>
      <c r="C1726" s="1" t="s">
        <v>1149</v>
      </c>
      <c r="D1726" s="1" t="s">
        <v>8407</v>
      </c>
      <c r="E1726" s="1" t="str">
        <f>"5180"</f>
        <v>5180</v>
      </c>
      <c r="F1726" s="1" t="str">
        <f>"016594649"</f>
        <v>016594649</v>
      </c>
      <c r="G1726" s="1" t="s">
        <v>266</v>
      </c>
      <c r="H1726" s="1" t="s">
        <v>168</v>
      </c>
      <c r="I1726" s="1" t="str">
        <f>"1"</f>
        <v>1</v>
      </c>
      <c r="J1726" s="3">
        <v>15979.77</v>
      </c>
      <c r="K1726" s="4">
        <v>46039</v>
      </c>
      <c r="L1726" s="4">
        <v>46049</v>
      </c>
      <c r="M1726" s="1" t="s">
        <v>8406</v>
      </c>
      <c r="N1726" s="1" t="s">
        <v>8405</v>
      </c>
    </row>
    <row r="1727" spans="1:14" s="1" customFormat="1" x14ac:dyDescent="0.35">
      <c r="A1727" s="1" t="s">
        <v>4492</v>
      </c>
      <c r="B1727" s="1" t="s">
        <v>1129</v>
      </c>
      <c r="C1727" s="1" t="s">
        <v>1149</v>
      </c>
      <c r="D1727" s="1" t="s">
        <v>8404</v>
      </c>
      <c r="E1727" s="1" t="str">
        <f>"6115"</f>
        <v>6115</v>
      </c>
      <c r="F1727" s="1" t="str">
        <f>"012747387"</f>
        <v>012747387</v>
      </c>
      <c r="G1727" s="1" t="s">
        <v>383</v>
      </c>
      <c r="H1727" s="1" t="s">
        <v>15</v>
      </c>
      <c r="I1727" s="1" t="str">
        <f>"1"</f>
        <v>1</v>
      </c>
      <c r="J1727" s="3">
        <v>12797.7</v>
      </c>
      <c r="K1727" s="4">
        <v>46039</v>
      </c>
      <c r="L1727" s="4">
        <v>46071</v>
      </c>
      <c r="M1727" s="1" t="s">
        <v>8403</v>
      </c>
      <c r="N1727" s="1" t="s">
        <v>8402</v>
      </c>
    </row>
    <row r="1728" spans="1:14" s="1" customFormat="1" x14ac:dyDescent="0.35">
      <c r="A1728" s="1" t="s">
        <v>4492</v>
      </c>
      <c r="B1728" s="1" t="s">
        <v>1129</v>
      </c>
      <c r="C1728" s="1" t="s">
        <v>1149</v>
      </c>
      <c r="D1728" s="1" t="s">
        <v>8401</v>
      </c>
      <c r="E1728" s="1" t="str">
        <f>"5180"</f>
        <v>5180</v>
      </c>
      <c r="F1728" s="1" t="str">
        <f>"015068287"</f>
        <v>015068287</v>
      </c>
      <c r="G1728" s="1" t="s">
        <v>2584</v>
      </c>
      <c r="H1728" s="1" t="s">
        <v>168</v>
      </c>
      <c r="I1728" s="1" t="str">
        <f>"2"</f>
        <v>2</v>
      </c>
      <c r="J1728" s="3" t="str">
        <f>"1774"</f>
        <v>1774</v>
      </c>
      <c r="K1728" s="4">
        <v>46039</v>
      </c>
      <c r="L1728" s="4">
        <v>46071</v>
      </c>
      <c r="M1728" s="1" t="s">
        <v>8400</v>
      </c>
      <c r="N1728" s="1" t="s">
        <v>8399</v>
      </c>
    </row>
    <row r="1729" spans="1:14" s="1" customFormat="1" x14ac:dyDescent="0.35">
      <c r="A1729" s="1" t="s">
        <v>4492</v>
      </c>
      <c r="B1729" s="1" t="s">
        <v>1129</v>
      </c>
      <c r="C1729" s="1" t="s">
        <v>1149</v>
      </c>
      <c r="D1729" s="1" t="s">
        <v>8398</v>
      </c>
      <c r="E1729" s="1" t="str">
        <f>"2320"</f>
        <v>2320</v>
      </c>
      <c r="F1729" s="1" t="s">
        <v>100</v>
      </c>
      <c r="G1729" s="1" t="s">
        <v>101</v>
      </c>
      <c r="H1729" s="1" t="s">
        <v>15</v>
      </c>
      <c r="I1729" s="1" t="str">
        <f>"1"</f>
        <v>1</v>
      </c>
      <c r="J1729" s="3" t="str">
        <f>"56163"</f>
        <v>56163</v>
      </c>
      <c r="K1729" s="4">
        <v>46039</v>
      </c>
      <c r="L1729" s="4">
        <v>46055</v>
      </c>
      <c r="M1729" s="1" t="s">
        <v>8397</v>
      </c>
      <c r="N1729" s="1" t="s">
        <v>8394</v>
      </c>
    </row>
    <row r="1730" spans="1:14" s="1" customFormat="1" x14ac:dyDescent="0.35">
      <c r="A1730" s="1" t="s">
        <v>4492</v>
      </c>
      <c r="B1730" s="1" t="s">
        <v>1129</v>
      </c>
      <c r="C1730" s="1" t="s">
        <v>1149</v>
      </c>
      <c r="D1730" s="1" t="s">
        <v>8396</v>
      </c>
      <c r="E1730" s="1" t="str">
        <f>"2320"</f>
        <v>2320</v>
      </c>
      <c r="F1730" s="1" t="s">
        <v>100</v>
      </c>
      <c r="G1730" s="1" t="s">
        <v>101</v>
      </c>
      <c r="H1730" s="1" t="s">
        <v>15</v>
      </c>
      <c r="I1730" s="1" t="str">
        <f>"1"</f>
        <v>1</v>
      </c>
      <c r="J1730" s="3" t="str">
        <f>"56162"</f>
        <v>56162</v>
      </c>
      <c r="K1730" s="4">
        <v>46039</v>
      </c>
      <c r="L1730" s="4">
        <v>46045</v>
      </c>
      <c r="M1730" s="1" t="s">
        <v>8395</v>
      </c>
      <c r="N1730" s="1" t="s">
        <v>8394</v>
      </c>
    </row>
    <row r="1731" spans="1:14" s="1" customFormat="1" x14ac:dyDescent="0.35">
      <c r="A1731" s="1" t="s">
        <v>4492</v>
      </c>
      <c r="B1731" s="1" t="s">
        <v>1129</v>
      </c>
      <c r="C1731" s="1" t="s">
        <v>1149</v>
      </c>
      <c r="D1731" s="1" t="s">
        <v>8393</v>
      </c>
      <c r="E1731" s="1" t="str">
        <f>"3930"</f>
        <v>3930</v>
      </c>
      <c r="F1731" s="1" t="str">
        <f>"011580849"</f>
        <v>011580849</v>
      </c>
      <c r="G1731" s="1" t="s">
        <v>124</v>
      </c>
      <c r="H1731" s="1" t="s">
        <v>15</v>
      </c>
      <c r="I1731" s="1" t="str">
        <f>"1"</f>
        <v>1</v>
      </c>
      <c r="J1731" s="3" t="str">
        <f>"72370"</f>
        <v>72370</v>
      </c>
      <c r="K1731" s="4">
        <v>46039</v>
      </c>
      <c r="L1731" s="4">
        <v>46055</v>
      </c>
      <c r="M1731" s="1" t="s">
        <v>8392</v>
      </c>
      <c r="N1731" s="1" t="s">
        <v>8389</v>
      </c>
    </row>
    <row r="1732" spans="1:14" s="1" customFormat="1" x14ac:dyDescent="0.35">
      <c r="A1732" s="1" t="s">
        <v>4492</v>
      </c>
      <c r="B1732" s="1" t="s">
        <v>1129</v>
      </c>
      <c r="C1732" s="1" t="s">
        <v>1149</v>
      </c>
      <c r="D1732" s="1" t="s">
        <v>8391</v>
      </c>
      <c r="E1732" s="1" t="str">
        <f>"3930"</f>
        <v>3930</v>
      </c>
      <c r="F1732" s="1" t="str">
        <f>"011727892"</f>
        <v>011727892</v>
      </c>
      <c r="G1732" s="1" t="s">
        <v>124</v>
      </c>
      <c r="H1732" s="1" t="s">
        <v>15</v>
      </c>
      <c r="I1732" s="1" t="str">
        <f>"1"</f>
        <v>1</v>
      </c>
      <c r="J1732" s="3" t="str">
        <f>"11828"</f>
        <v>11828</v>
      </c>
      <c r="K1732" s="4">
        <v>46039</v>
      </c>
      <c r="L1732" s="4">
        <v>46064</v>
      </c>
      <c r="M1732" s="1" t="s">
        <v>8390</v>
      </c>
      <c r="N1732" s="1" t="s">
        <v>8389</v>
      </c>
    </row>
    <row r="1733" spans="1:14" s="1" customFormat="1" x14ac:dyDescent="0.35">
      <c r="A1733" s="1" t="s">
        <v>4492</v>
      </c>
      <c r="B1733" s="1" t="s">
        <v>1129</v>
      </c>
      <c r="C1733" s="1" t="s">
        <v>1149</v>
      </c>
      <c r="D1733" s="1" t="s">
        <v>8388</v>
      </c>
      <c r="E1733" s="1" t="str">
        <f>"2805"</f>
        <v>2805</v>
      </c>
      <c r="F1733" s="1" t="str">
        <f>"016279670"</f>
        <v>016279670</v>
      </c>
      <c r="G1733" s="1" t="s">
        <v>4158</v>
      </c>
      <c r="H1733" s="1" t="s">
        <v>15</v>
      </c>
      <c r="I1733" s="1" t="str">
        <f>"1"</f>
        <v>1</v>
      </c>
      <c r="J1733" s="3" t="str">
        <f>"14944"</f>
        <v>14944</v>
      </c>
      <c r="K1733" s="4">
        <v>46048</v>
      </c>
      <c r="L1733" s="4">
        <v>46060</v>
      </c>
      <c r="M1733" s="1" t="s">
        <v>8387</v>
      </c>
      <c r="N1733" s="1" t="s">
        <v>1159</v>
      </c>
    </row>
    <row r="1734" spans="1:14" s="1" customFormat="1" x14ac:dyDescent="0.35">
      <c r="A1734" s="1" t="s">
        <v>4492</v>
      </c>
      <c r="B1734" s="1" t="s">
        <v>1129</v>
      </c>
      <c r="C1734" s="1" t="s">
        <v>1149</v>
      </c>
      <c r="D1734" s="1" t="s">
        <v>8386</v>
      </c>
      <c r="E1734" s="1" t="str">
        <f>"2805"</f>
        <v>2805</v>
      </c>
      <c r="F1734" s="1" t="str">
        <f>"016279670"</f>
        <v>016279670</v>
      </c>
      <c r="G1734" s="1" t="s">
        <v>4158</v>
      </c>
      <c r="H1734" s="1" t="s">
        <v>15</v>
      </c>
      <c r="I1734" s="1" t="str">
        <f>"1"</f>
        <v>1</v>
      </c>
      <c r="J1734" s="3" t="str">
        <f>"14944"</f>
        <v>14944</v>
      </c>
      <c r="K1734" s="4">
        <v>46048</v>
      </c>
      <c r="L1734" s="4">
        <v>46060</v>
      </c>
      <c r="M1734" s="1" t="s">
        <v>8385</v>
      </c>
      <c r="N1734" s="1" t="s">
        <v>1159</v>
      </c>
    </row>
    <row r="1735" spans="1:14" s="1" customFormat="1" x14ac:dyDescent="0.35">
      <c r="A1735" s="1" t="s">
        <v>4492</v>
      </c>
      <c r="B1735" s="1" t="s">
        <v>1129</v>
      </c>
      <c r="C1735" s="1" t="s">
        <v>1149</v>
      </c>
      <c r="D1735" s="1" t="s">
        <v>8384</v>
      </c>
      <c r="E1735" s="1" t="str">
        <f>"2805"</f>
        <v>2805</v>
      </c>
      <c r="F1735" s="1" t="str">
        <f>"016279670"</f>
        <v>016279670</v>
      </c>
      <c r="G1735" s="1" t="s">
        <v>4158</v>
      </c>
      <c r="H1735" s="1" t="s">
        <v>15</v>
      </c>
      <c r="I1735" s="1" t="str">
        <f>"1"</f>
        <v>1</v>
      </c>
      <c r="J1735" s="3" t="str">
        <f>"14944"</f>
        <v>14944</v>
      </c>
      <c r="K1735" s="4">
        <v>46048</v>
      </c>
      <c r="L1735" s="4">
        <v>46060</v>
      </c>
      <c r="M1735" s="1" t="s">
        <v>8383</v>
      </c>
      <c r="N1735" s="1" t="s">
        <v>1159</v>
      </c>
    </row>
    <row r="1736" spans="1:14" s="1" customFormat="1" x14ac:dyDescent="0.35">
      <c r="A1736" s="1" t="s">
        <v>4492</v>
      </c>
      <c r="B1736" s="1" t="s">
        <v>1129</v>
      </c>
      <c r="C1736" s="1" t="s">
        <v>1149</v>
      </c>
      <c r="D1736" s="1" t="s">
        <v>8382</v>
      </c>
      <c r="E1736" s="1" t="str">
        <f>"2805"</f>
        <v>2805</v>
      </c>
      <c r="F1736" s="1" t="str">
        <f>"016279670"</f>
        <v>016279670</v>
      </c>
      <c r="G1736" s="1" t="s">
        <v>4158</v>
      </c>
      <c r="H1736" s="1" t="s">
        <v>15</v>
      </c>
      <c r="I1736" s="1" t="str">
        <f>"1"</f>
        <v>1</v>
      </c>
      <c r="J1736" s="3" t="str">
        <f>"14944"</f>
        <v>14944</v>
      </c>
      <c r="K1736" s="4">
        <v>46048</v>
      </c>
      <c r="L1736" s="4">
        <v>46060</v>
      </c>
      <c r="M1736" s="1" t="s">
        <v>8381</v>
      </c>
      <c r="N1736" s="1" t="s">
        <v>1159</v>
      </c>
    </row>
    <row r="1737" spans="1:14" s="1" customFormat="1" x14ac:dyDescent="0.35">
      <c r="A1737" s="1" t="s">
        <v>4492</v>
      </c>
      <c r="B1737" s="1" t="s">
        <v>1129</v>
      </c>
      <c r="C1737" s="1" t="s">
        <v>1149</v>
      </c>
      <c r="D1737" s="1" t="s">
        <v>8380</v>
      </c>
      <c r="E1737" s="1" t="str">
        <f>"2805"</f>
        <v>2805</v>
      </c>
      <c r="F1737" s="1" t="str">
        <f>"016279670"</f>
        <v>016279670</v>
      </c>
      <c r="G1737" s="1" t="s">
        <v>4158</v>
      </c>
      <c r="H1737" s="1" t="s">
        <v>15</v>
      </c>
      <c r="I1737" s="1" t="str">
        <f>"1"</f>
        <v>1</v>
      </c>
      <c r="J1737" s="3" t="str">
        <f>"14944"</f>
        <v>14944</v>
      </c>
      <c r="K1737" s="4">
        <v>46048</v>
      </c>
      <c r="L1737" s="4">
        <v>46060</v>
      </c>
      <c r="M1737" s="1" t="s">
        <v>8379</v>
      </c>
      <c r="N1737" s="1" t="s">
        <v>1159</v>
      </c>
    </row>
    <row r="1738" spans="1:14" s="1" customFormat="1" x14ac:dyDescent="0.35">
      <c r="A1738" s="1" t="s">
        <v>4492</v>
      </c>
      <c r="B1738" s="1" t="s">
        <v>1129</v>
      </c>
      <c r="C1738" s="1" t="s">
        <v>1149</v>
      </c>
      <c r="D1738" s="1" t="s">
        <v>8378</v>
      </c>
      <c r="E1738" s="1" t="str">
        <f>"2805"</f>
        <v>2805</v>
      </c>
      <c r="F1738" s="1" t="str">
        <f>"016279670"</f>
        <v>016279670</v>
      </c>
      <c r="G1738" s="1" t="s">
        <v>4158</v>
      </c>
      <c r="H1738" s="1" t="s">
        <v>15</v>
      </c>
      <c r="I1738" s="1" t="str">
        <f>"1"</f>
        <v>1</v>
      </c>
      <c r="J1738" s="3" t="str">
        <f>"14944"</f>
        <v>14944</v>
      </c>
      <c r="K1738" s="4">
        <v>46048</v>
      </c>
      <c r="L1738" s="4">
        <v>46060</v>
      </c>
      <c r="M1738" s="1" t="s">
        <v>8377</v>
      </c>
      <c r="N1738" s="1" t="s">
        <v>1159</v>
      </c>
    </row>
    <row r="1739" spans="1:14" s="1" customFormat="1" x14ac:dyDescent="0.35">
      <c r="A1739" s="1" t="s">
        <v>4492</v>
      </c>
      <c r="B1739" s="1" t="s">
        <v>1129</v>
      </c>
      <c r="C1739" s="1" t="s">
        <v>1149</v>
      </c>
      <c r="D1739" s="1" t="s">
        <v>8376</v>
      </c>
      <c r="E1739" s="1" t="str">
        <f>"2320"</f>
        <v>2320</v>
      </c>
      <c r="F1739" s="1" t="s">
        <v>4526</v>
      </c>
      <c r="G1739" s="1" t="s">
        <v>4525</v>
      </c>
      <c r="H1739" s="1" t="s">
        <v>15</v>
      </c>
      <c r="I1739" s="1" t="str">
        <f>"1"</f>
        <v>1</v>
      </c>
      <c r="J1739" s="3">
        <v>610434.26</v>
      </c>
      <c r="K1739" s="4">
        <v>46056</v>
      </c>
      <c r="L1739" s="4">
        <v>46056</v>
      </c>
      <c r="M1739" s="1" t="s">
        <v>4524</v>
      </c>
      <c r="N1739" s="1" t="s">
        <v>8375</v>
      </c>
    </row>
    <row r="1740" spans="1:14" s="1" customFormat="1" x14ac:dyDescent="0.35">
      <c r="A1740" s="1" t="s">
        <v>4492</v>
      </c>
      <c r="B1740" s="1" t="s">
        <v>1129</v>
      </c>
      <c r="C1740" s="1" t="s">
        <v>1149</v>
      </c>
      <c r="D1740" s="1" t="s">
        <v>8374</v>
      </c>
      <c r="E1740" s="1" t="str">
        <f>"3930"</f>
        <v>3930</v>
      </c>
      <c r="F1740" s="1" t="s">
        <v>95</v>
      </c>
      <c r="G1740" s="1" t="s">
        <v>96</v>
      </c>
      <c r="H1740" s="1" t="s">
        <v>15</v>
      </c>
      <c r="I1740" s="1" t="str">
        <f>"1"</f>
        <v>1</v>
      </c>
      <c r="J1740" s="3" t="str">
        <f>"69900"</f>
        <v>69900</v>
      </c>
      <c r="K1740" s="4">
        <v>46056</v>
      </c>
      <c r="L1740" s="4">
        <v>46058</v>
      </c>
      <c r="M1740" s="1" t="s">
        <v>8373</v>
      </c>
      <c r="N1740" s="1" t="s">
        <v>8372</v>
      </c>
    </row>
    <row r="1741" spans="1:14" s="1" customFormat="1" x14ac:dyDescent="0.35">
      <c r="A1741" s="1" t="s">
        <v>4492</v>
      </c>
      <c r="B1741" s="1" t="s">
        <v>1129</v>
      </c>
      <c r="C1741" s="1" t="s">
        <v>1149</v>
      </c>
      <c r="D1741" s="1" t="s">
        <v>8371</v>
      </c>
      <c r="E1741" s="1" t="str">
        <f>"3413"</f>
        <v>3413</v>
      </c>
      <c r="F1741" s="1" t="s">
        <v>8370</v>
      </c>
      <c r="G1741" s="1" t="s">
        <v>8369</v>
      </c>
      <c r="H1741" s="1" t="s">
        <v>15</v>
      </c>
      <c r="I1741" s="1" t="str">
        <f>"1"</f>
        <v>1</v>
      </c>
      <c r="J1741" s="3" t="str">
        <f>"50000"</f>
        <v>50000</v>
      </c>
      <c r="K1741" s="4">
        <v>46062</v>
      </c>
      <c r="L1741" s="4">
        <v>46065</v>
      </c>
      <c r="M1741" s="1" t="s">
        <v>8368</v>
      </c>
      <c r="N1741" s="1" t="s">
        <v>8367</v>
      </c>
    </row>
    <row r="1742" spans="1:14" s="1" customFormat="1" x14ac:dyDescent="0.35">
      <c r="A1742" s="1" t="s">
        <v>4492</v>
      </c>
      <c r="B1742" s="1" t="s">
        <v>1129</v>
      </c>
      <c r="C1742" s="1" t="s">
        <v>1149</v>
      </c>
      <c r="D1742" s="1" t="s">
        <v>8366</v>
      </c>
      <c r="E1742" s="1" t="str">
        <f>"5140"</f>
        <v>5140</v>
      </c>
      <c r="F1742" s="1" t="s">
        <v>379</v>
      </c>
      <c r="G1742" s="1" t="s">
        <v>380</v>
      </c>
      <c r="H1742" s="1" t="s">
        <v>15</v>
      </c>
      <c r="I1742" s="1" t="str">
        <f>"2"</f>
        <v>2</v>
      </c>
      <c r="J1742" s="3" t="str">
        <f>"1000"</f>
        <v>1000</v>
      </c>
      <c r="K1742" s="4">
        <v>46062</v>
      </c>
      <c r="L1742" s="4">
        <v>46067</v>
      </c>
      <c r="M1742" s="1" t="s">
        <v>8365</v>
      </c>
      <c r="N1742" s="1" t="s">
        <v>8364</v>
      </c>
    </row>
    <row r="1743" spans="1:14" s="1" customFormat="1" x14ac:dyDescent="0.35">
      <c r="A1743" s="1" t="s">
        <v>4492</v>
      </c>
      <c r="B1743" s="1" t="s">
        <v>1129</v>
      </c>
      <c r="C1743" s="1" t="s">
        <v>1149</v>
      </c>
      <c r="D1743" s="1" t="s">
        <v>8363</v>
      </c>
      <c r="E1743" s="1" t="str">
        <f>"7830"</f>
        <v>7830</v>
      </c>
      <c r="F1743" s="1" t="s">
        <v>2004</v>
      </c>
      <c r="G1743" s="1" t="s">
        <v>2005</v>
      </c>
      <c r="H1743" s="1" t="s">
        <v>15</v>
      </c>
      <c r="I1743" s="1" t="str">
        <f>"1"</f>
        <v>1</v>
      </c>
      <c r="J1743" s="3" t="str">
        <f>"500"</f>
        <v>500</v>
      </c>
      <c r="K1743" s="4">
        <v>46066</v>
      </c>
      <c r="L1743" s="4">
        <v>46071</v>
      </c>
      <c r="M1743" s="1" t="s">
        <v>8362</v>
      </c>
      <c r="N1743" s="1" t="s">
        <v>8361</v>
      </c>
    </row>
    <row r="1744" spans="1:14" s="1" customFormat="1" x14ac:dyDescent="0.35">
      <c r="A1744" s="1" t="s">
        <v>4492</v>
      </c>
      <c r="B1744" s="1" t="s">
        <v>1129</v>
      </c>
      <c r="C1744" s="1" t="s">
        <v>1149</v>
      </c>
      <c r="D1744" s="1" t="s">
        <v>8360</v>
      </c>
      <c r="E1744" s="1" t="str">
        <f>"2330"</f>
        <v>2330</v>
      </c>
      <c r="F1744" s="1" t="s">
        <v>104</v>
      </c>
      <c r="G1744" s="1" t="s">
        <v>105</v>
      </c>
      <c r="H1744" s="1" t="s">
        <v>15</v>
      </c>
      <c r="I1744" s="1" t="str">
        <f>"1"</f>
        <v>1</v>
      </c>
      <c r="J1744" s="3">
        <v>968678.86</v>
      </c>
      <c r="K1744" s="4">
        <v>46074</v>
      </c>
      <c r="L1744" s="4">
        <v>46088</v>
      </c>
      <c r="M1744" s="1" t="s">
        <v>8359</v>
      </c>
      <c r="N1744" s="1" t="s">
        <v>8358</v>
      </c>
    </row>
    <row r="1745" spans="1:14" s="1" customFormat="1" x14ac:dyDescent="0.35">
      <c r="A1745" s="1" t="s">
        <v>4492</v>
      </c>
      <c r="B1745" s="1" t="s">
        <v>1129</v>
      </c>
      <c r="C1745" s="1" t="s">
        <v>1149</v>
      </c>
      <c r="D1745" s="1" t="s">
        <v>8357</v>
      </c>
      <c r="E1745" s="1" t="str">
        <f>"2320"</f>
        <v>2320</v>
      </c>
      <c r="F1745" s="1" t="str">
        <f>"010911597"</f>
        <v>010911597</v>
      </c>
      <c r="G1745" s="1" t="s">
        <v>4468</v>
      </c>
      <c r="H1745" s="1" t="s">
        <v>15</v>
      </c>
      <c r="I1745" s="1" t="str">
        <f>"1"</f>
        <v>1</v>
      </c>
      <c r="J1745" s="3" t="str">
        <f>"150120"</f>
        <v>150120</v>
      </c>
      <c r="K1745" s="4">
        <v>46074</v>
      </c>
      <c r="L1745" s="4">
        <v>46088</v>
      </c>
      <c r="M1745" s="1" t="s">
        <v>8356</v>
      </c>
      <c r="N1745" s="1" t="s">
        <v>8355</v>
      </c>
    </row>
    <row r="1746" spans="1:14" s="1" customFormat="1" x14ac:dyDescent="0.35">
      <c r="A1746" s="1" t="s">
        <v>4492</v>
      </c>
      <c r="B1746" s="1" t="s">
        <v>1129</v>
      </c>
      <c r="C1746" s="1" t="s">
        <v>1149</v>
      </c>
      <c r="D1746" s="1" t="s">
        <v>8354</v>
      </c>
      <c r="E1746" s="1" t="str">
        <f>"6115"</f>
        <v>6115</v>
      </c>
      <c r="F1746" s="1" t="s">
        <v>157</v>
      </c>
      <c r="G1746" s="1" t="s">
        <v>158</v>
      </c>
      <c r="H1746" s="1" t="s">
        <v>15</v>
      </c>
      <c r="I1746" s="1" t="str">
        <f>"1"</f>
        <v>1</v>
      </c>
      <c r="J1746" s="3" t="str">
        <f>"1100"</f>
        <v>1100</v>
      </c>
      <c r="K1746" s="4">
        <v>46083</v>
      </c>
      <c r="L1746" s="4">
        <v>46087</v>
      </c>
      <c r="M1746" s="1" t="s">
        <v>8353</v>
      </c>
      <c r="N1746" s="1" t="s">
        <v>8352</v>
      </c>
    </row>
    <row r="1747" spans="1:14" s="1" customFormat="1" x14ac:dyDescent="0.35">
      <c r="A1747" s="1" t="s">
        <v>4492</v>
      </c>
      <c r="B1747" s="1" t="s">
        <v>1129</v>
      </c>
      <c r="C1747" s="1" t="s">
        <v>1149</v>
      </c>
      <c r="D1747" s="1" t="s">
        <v>8351</v>
      </c>
      <c r="E1747" s="1" t="str">
        <f>"3433"</f>
        <v>3433</v>
      </c>
      <c r="F1747" s="1" t="s">
        <v>1222</v>
      </c>
      <c r="G1747" s="1" t="s">
        <v>1223</v>
      </c>
      <c r="H1747" s="1" t="s">
        <v>15</v>
      </c>
      <c r="I1747" s="1" t="str">
        <f>"1"</f>
        <v>1</v>
      </c>
      <c r="J1747" s="3">
        <v>2132.9899999999998</v>
      </c>
      <c r="K1747" s="4">
        <v>46083</v>
      </c>
      <c r="L1747" s="4">
        <v>46095</v>
      </c>
      <c r="M1747" s="1" t="s">
        <v>8350</v>
      </c>
      <c r="N1747" s="1" t="s">
        <v>8349</v>
      </c>
    </row>
    <row r="1748" spans="1:14" s="1" customFormat="1" x14ac:dyDescent="0.35">
      <c r="A1748" s="1" t="s">
        <v>4492</v>
      </c>
      <c r="B1748" s="1" t="s">
        <v>1129</v>
      </c>
      <c r="C1748" s="1" t="s">
        <v>1149</v>
      </c>
      <c r="D1748" s="1" t="s">
        <v>8348</v>
      </c>
      <c r="E1748" s="1" t="str">
        <f>"3930"</f>
        <v>3930</v>
      </c>
      <c r="F1748" s="1" t="s">
        <v>95</v>
      </c>
      <c r="G1748" s="1" t="s">
        <v>96</v>
      </c>
      <c r="H1748" s="1" t="s">
        <v>15</v>
      </c>
      <c r="I1748" s="1" t="str">
        <f>"1"</f>
        <v>1</v>
      </c>
      <c r="J1748" s="3" t="str">
        <f>"24000"</f>
        <v>24000</v>
      </c>
      <c r="K1748" s="4">
        <v>46084</v>
      </c>
      <c r="L1748" s="4">
        <v>46092</v>
      </c>
      <c r="M1748" s="1" t="s">
        <v>8347</v>
      </c>
      <c r="N1748" s="1" t="s">
        <v>8346</v>
      </c>
    </row>
    <row r="1749" spans="1:14" s="1" customFormat="1" x14ac:dyDescent="0.35">
      <c r="A1749" s="1" t="s">
        <v>4492</v>
      </c>
      <c r="B1749" s="1" t="s">
        <v>1129</v>
      </c>
      <c r="C1749" s="1" t="s">
        <v>1149</v>
      </c>
      <c r="D1749" s="1" t="s">
        <v>8345</v>
      </c>
      <c r="E1749" s="1" t="str">
        <f>"7490"</f>
        <v>7490</v>
      </c>
      <c r="F1749" s="1" t="str">
        <f>"016973360"</f>
        <v>016973360</v>
      </c>
      <c r="G1749" s="1" t="s">
        <v>1112</v>
      </c>
      <c r="H1749" s="1" t="s">
        <v>15</v>
      </c>
      <c r="I1749" s="1" t="str">
        <f>"1"</f>
        <v>1</v>
      </c>
      <c r="J1749" s="3">
        <v>2633.3</v>
      </c>
      <c r="K1749" s="4">
        <v>46095</v>
      </c>
      <c r="L1749" s="4">
        <v>46100</v>
      </c>
      <c r="M1749" s="1" t="s">
        <v>8344</v>
      </c>
      <c r="N1749" s="1" t="s">
        <v>8343</v>
      </c>
    </row>
    <row r="1750" spans="1:14" s="1" customFormat="1" x14ac:dyDescent="0.35">
      <c r="A1750" s="1" t="s">
        <v>4492</v>
      </c>
      <c r="B1750" s="1" t="s">
        <v>1129</v>
      </c>
      <c r="C1750" s="1" t="s">
        <v>1149</v>
      </c>
      <c r="D1750" s="1" t="s">
        <v>8342</v>
      </c>
      <c r="E1750" s="1" t="str">
        <f>"2320"</f>
        <v>2320</v>
      </c>
      <c r="F1750" s="1" t="str">
        <f>"010907892"</f>
        <v>010907892</v>
      </c>
      <c r="G1750" s="1" t="s">
        <v>930</v>
      </c>
      <c r="H1750" s="1" t="s">
        <v>15</v>
      </c>
      <c r="I1750" s="1" t="str">
        <f>"1"</f>
        <v>1</v>
      </c>
      <c r="J1750" s="3" t="str">
        <f>"23000"</f>
        <v>23000</v>
      </c>
      <c r="K1750" s="4">
        <v>46095</v>
      </c>
      <c r="L1750" s="4">
        <v>46100</v>
      </c>
      <c r="M1750" s="1" t="s">
        <v>8341</v>
      </c>
      <c r="N1750" s="1" t="s">
        <v>8340</v>
      </c>
    </row>
    <row r="1751" spans="1:14" s="1" customFormat="1" x14ac:dyDescent="0.35">
      <c r="A1751" s="1" t="s">
        <v>4492</v>
      </c>
      <c r="B1751" s="1" t="s">
        <v>913</v>
      </c>
      <c r="C1751" s="1" t="s">
        <v>918</v>
      </c>
      <c r="D1751" s="1" t="s">
        <v>8339</v>
      </c>
      <c r="E1751" s="1" t="str">
        <f>"6515"</f>
        <v>6515</v>
      </c>
      <c r="F1751" s="1" t="str">
        <f>"016485814"</f>
        <v>016485814</v>
      </c>
      <c r="G1751" s="1" t="s">
        <v>923</v>
      </c>
      <c r="H1751" s="1" t="s">
        <v>15</v>
      </c>
      <c r="I1751" s="1" t="str">
        <f>"9"</f>
        <v>9</v>
      </c>
      <c r="J1751" s="3">
        <v>34017.879999999997</v>
      </c>
      <c r="K1751" s="4">
        <v>46048</v>
      </c>
      <c r="L1751" s="4">
        <v>46063</v>
      </c>
      <c r="M1751" s="1" t="s">
        <v>8338</v>
      </c>
      <c r="N1751" s="1" t="s">
        <v>8337</v>
      </c>
    </row>
    <row r="1752" spans="1:14" s="1" customFormat="1" x14ac:dyDescent="0.35">
      <c r="A1752" s="1" t="s">
        <v>4492</v>
      </c>
      <c r="B1752" s="1" t="s">
        <v>913</v>
      </c>
      <c r="C1752" s="1" t="s">
        <v>918</v>
      </c>
      <c r="D1752" s="1" t="s">
        <v>8336</v>
      </c>
      <c r="E1752" s="1" t="str">
        <f>"5410"</f>
        <v>5410</v>
      </c>
      <c r="F1752" s="1" t="str">
        <f>"013343158"</f>
        <v>013343158</v>
      </c>
      <c r="G1752" s="1" t="s">
        <v>8335</v>
      </c>
      <c r="H1752" s="1" t="s">
        <v>15</v>
      </c>
      <c r="I1752" s="1" t="str">
        <f>"1"</f>
        <v>1</v>
      </c>
      <c r="J1752" s="3" t="str">
        <f>"174043"</f>
        <v>174043</v>
      </c>
      <c r="K1752" s="4">
        <v>46049</v>
      </c>
      <c r="L1752" s="4">
        <v>46055</v>
      </c>
      <c r="M1752" s="1" t="s">
        <v>8334</v>
      </c>
      <c r="N1752" s="1" t="s">
        <v>8333</v>
      </c>
    </row>
    <row r="1753" spans="1:14" s="1" customFormat="1" x14ac:dyDescent="0.35">
      <c r="A1753" s="1" t="s">
        <v>4492</v>
      </c>
      <c r="B1753" s="1" t="s">
        <v>692</v>
      </c>
      <c r="C1753" s="1" t="s">
        <v>793</v>
      </c>
      <c r="D1753" s="1" t="s">
        <v>8332</v>
      </c>
      <c r="E1753" s="1" t="str">
        <f>"1005"</f>
        <v>1005</v>
      </c>
      <c r="F1753" s="1" t="str">
        <f>"016254470"</f>
        <v>016254470</v>
      </c>
      <c r="G1753" s="1" t="s">
        <v>8331</v>
      </c>
      <c r="H1753" s="1" t="s">
        <v>15</v>
      </c>
      <c r="I1753" s="1" t="str">
        <f>"32"</f>
        <v>32</v>
      </c>
      <c r="J1753" s="3">
        <v>74.739999999999995</v>
      </c>
      <c r="K1753" s="4">
        <v>46065</v>
      </c>
      <c r="L1753" s="4">
        <v>46070</v>
      </c>
      <c r="M1753" s="1" t="s">
        <v>4524</v>
      </c>
      <c r="N1753" s="1" t="s">
        <v>8330</v>
      </c>
    </row>
    <row r="1754" spans="1:14" s="1" customFormat="1" x14ac:dyDescent="0.35">
      <c r="A1754" s="1" t="s">
        <v>4492</v>
      </c>
      <c r="B1754" s="1" t="s">
        <v>1303</v>
      </c>
      <c r="C1754" s="1" t="s">
        <v>1362</v>
      </c>
      <c r="D1754" s="1" t="s">
        <v>8329</v>
      </c>
      <c r="E1754" s="1" t="str">
        <f>"5965"</f>
        <v>5965</v>
      </c>
      <c r="F1754" s="1" t="str">
        <f>"016640961"</f>
        <v>016640961</v>
      </c>
      <c r="G1754" s="1" t="s">
        <v>5797</v>
      </c>
      <c r="H1754" s="1" t="s">
        <v>168</v>
      </c>
      <c r="I1754" s="1" t="str">
        <f>"20"</f>
        <v>20</v>
      </c>
      <c r="J1754" s="3">
        <v>555.16999999999996</v>
      </c>
      <c r="K1754" s="4">
        <v>45995</v>
      </c>
      <c r="L1754" s="4">
        <v>46031</v>
      </c>
      <c r="M1754" s="1" t="s">
        <v>8328</v>
      </c>
      <c r="N1754" s="1" t="s">
        <v>8327</v>
      </c>
    </row>
    <row r="1755" spans="1:14" s="1" customFormat="1" x14ac:dyDescent="0.35">
      <c r="A1755" s="1" t="s">
        <v>4492</v>
      </c>
      <c r="B1755" s="1" t="s">
        <v>1303</v>
      </c>
      <c r="C1755" s="1" t="s">
        <v>1362</v>
      </c>
      <c r="D1755" s="1" t="s">
        <v>8326</v>
      </c>
      <c r="E1755" s="1" t="str">
        <f>"1005"</f>
        <v>1005</v>
      </c>
      <c r="F1755" s="1" t="str">
        <f>"014534221"</f>
        <v>014534221</v>
      </c>
      <c r="G1755" s="1" t="s">
        <v>8325</v>
      </c>
      <c r="H1755" s="1" t="s">
        <v>15</v>
      </c>
      <c r="I1755" s="1" t="str">
        <f>"20"</f>
        <v>20</v>
      </c>
      <c r="J1755" s="3">
        <v>1.62</v>
      </c>
      <c r="K1755" s="4">
        <v>46012</v>
      </c>
      <c r="L1755" s="4">
        <v>46037</v>
      </c>
      <c r="M1755" s="1" t="s">
        <v>8324</v>
      </c>
      <c r="N1755" s="1" t="s">
        <v>8323</v>
      </c>
    </row>
    <row r="1756" spans="1:14" s="1" customFormat="1" x14ac:dyDescent="0.35">
      <c r="A1756" s="1" t="s">
        <v>4492</v>
      </c>
      <c r="B1756" s="1" t="s">
        <v>1303</v>
      </c>
      <c r="C1756" s="1" t="s">
        <v>1362</v>
      </c>
      <c r="D1756" s="1" t="s">
        <v>8322</v>
      </c>
      <c r="E1756" s="1" t="str">
        <f>"5855"</f>
        <v>5855</v>
      </c>
      <c r="F1756" s="1" t="str">
        <f>"016852918"</f>
        <v>016852918</v>
      </c>
      <c r="G1756" s="1" t="s">
        <v>5814</v>
      </c>
      <c r="H1756" s="1" t="s">
        <v>15</v>
      </c>
      <c r="I1756" s="1" t="str">
        <f>"10"</f>
        <v>10</v>
      </c>
      <c r="J1756" s="3" t="str">
        <f>"12900"</f>
        <v>12900</v>
      </c>
      <c r="K1756" s="4">
        <v>46012</v>
      </c>
      <c r="L1756" s="4">
        <v>46037</v>
      </c>
      <c r="M1756" s="1" t="s">
        <v>8321</v>
      </c>
      <c r="N1756" s="1" t="s">
        <v>8320</v>
      </c>
    </row>
    <row r="1757" spans="1:14" s="1" customFormat="1" x14ac:dyDescent="0.35">
      <c r="A1757" s="1" t="s">
        <v>4492</v>
      </c>
      <c r="B1757" s="1" t="s">
        <v>1303</v>
      </c>
      <c r="C1757" s="1" t="s">
        <v>1362</v>
      </c>
      <c r="D1757" s="1" t="s">
        <v>8319</v>
      </c>
      <c r="E1757" s="1" t="str">
        <f>"5855"</f>
        <v>5855</v>
      </c>
      <c r="F1757" s="1" t="str">
        <f>"015051442"</f>
        <v>015051442</v>
      </c>
      <c r="G1757" s="1" t="s">
        <v>614</v>
      </c>
      <c r="H1757" s="1" t="s">
        <v>15</v>
      </c>
      <c r="I1757" s="1" t="str">
        <f>"20"</f>
        <v>20</v>
      </c>
      <c r="J1757" s="3" t="str">
        <f>"68850"</f>
        <v>68850</v>
      </c>
      <c r="K1757" s="4">
        <v>46032</v>
      </c>
      <c r="L1757" s="4">
        <v>46035</v>
      </c>
      <c r="M1757" s="1" t="s">
        <v>8318</v>
      </c>
      <c r="N1757" s="1" t="s">
        <v>8317</v>
      </c>
    </row>
    <row r="1758" spans="1:14" s="1" customFormat="1" x14ac:dyDescent="0.35">
      <c r="A1758" s="1" t="s">
        <v>4492</v>
      </c>
      <c r="B1758" s="1" t="s">
        <v>1303</v>
      </c>
      <c r="C1758" s="1" t="s">
        <v>1362</v>
      </c>
      <c r="D1758" s="1" t="s">
        <v>8316</v>
      </c>
      <c r="E1758" s="1" t="str">
        <f>"5855"</f>
        <v>5855</v>
      </c>
      <c r="F1758" s="1" t="str">
        <f>"016299933"</f>
        <v>016299933</v>
      </c>
      <c r="G1758" s="1" t="s">
        <v>8315</v>
      </c>
      <c r="H1758" s="1" t="s">
        <v>15</v>
      </c>
      <c r="I1758" s="1" t="str">
        <f>"10"</f>
        <v>10</v>
      </c>
      <c r="J1758" s="3" t="str">
        <f>"19625"</f>
        <v>19625</v>
      </c>
      <c r="K1758" s="4">
        <v>46032</v>
      </c>
      <c r="L1758" s="4">
        <v>46064</v>
      </c>
      <c r="M1758" s="1" t="s">
        <v>8314</v>
      </c>
      <c r="N1758" s="1" t="s">
        <v>8301</v>
      </c>
    </row>
    <row r="1759" spans="1:14" s="1" customFormat="1" x14ac:dyDescent="0.35">
      <c r="A1759" s="1" t="s">
        <v>4492</v>
      </c>
      <c r="B1759" s="1" t="s">
        <v>1303</v>
      </c>
      <c r="C1759" s="1" t="s">
        <v>1362</v>
      </c>
      <c r="D1759" s="1" t="s">
        <v>8313</v>
      </c>
      <c r="E1759" s="1" t="str">
        <f>"5855"</f>
        <v>5855</v>
      </c>
      <c r="F1759" s="1" t="str">
        <f>"015051442"</f>
        <v>015051442</v>
      </c>
      <c r="G1759" s="1" t="s">
        <v>614</v>
      </c>
      <c r="H1759" s="1" t="s">
        <v>15</v>
      </c>
      <c r="I1759" s="1" t="str">
        <f>"3"</f>
        <v>3</v>
      </c>
      <c r="J1759" s="3" t="str">
        <f>"68850"</f>
        <v>68850</v>
      </c>
      <c r="K1759" s="4">
        <v>46032</v>
      </c>
      <c r="L1759" s="4">
        <v>46049</v>
      </c>
      <c r="M1759" s="1" t="s">
        <v>8312</v>
      </c>
      <c r="N1759" s="1" t="s">
        <v>8301</v>
      </c>
    </row>
    <row r="1760" spans="1:14" s="1" customFormat="1" x14ac:dyDescent="0.35">
      <c r="A1760" s="1" t="s">
        <v>4492</v>
      </c>
      <c r="B1760" s="1" t="s">
        <v>1303</v>
      </c>
      <c r="C1760" s="1" t="s">
        <v>1362</v>
      </c>
      <c r="D1760" s="1" t="s">
        <v>8311</v>
      </c>
      <c r="E1760" s="1" t="str">
        <f>"5965"</f>
        <v>5965</v>
      </c>
      <c r="F1760" s="1" t="str">
        <f>"015727829"</f>
        <v>015727829</v>
      </c>
      <c r="G1760" s="1" t="s">
        <v>209</v>
      </c>
      <c r="H1760" s="1" t="s">
        <v>168</v>
      </c>
      <c r="I1760" s="1" t="str">
        <f>"5"</f>
        <v>5</v>
      </c>
      <c r="J1760" s="3">
        <v>1325.47</v>
      </c>
      <c r="K1760" s="4">
        <v>46039</v>
      </c>
      <c r="L1760" s="4">
        <v>46043</v>
      </c>
      <c r="M1760" s="1" t="s">
        <v>8310</v>
      </c>
      <c r="N1760" s="1" t="s">
        <v>1374</v>
      </c>
    </row>
    <row r="1761" spans="1:14" s="1" customFormat="1" x14ac:dyDescent="0.35">
      <c r="A1761" s="1" t="s">
        <v>4492</v>
      </c>
      <c r="B1761" s="1" t="s">
        <v>1303</v>
      </c>
      <c r="C1761" s="1" t="s">
        <v>1362</v>
      </c>
      <c r="D1761" s="1" t="s">
        <v>8309</v>
      </c>
      <c r="E1761" s="1" t="str">
        <f>"5965"</f>
        <v>5965</v>
      </c>
      <c r="F1761" s="1" t="str">
        <f>"015727797"</f>
        <v>015727797</v>
      </c>
      <c r="G1761" s="1" t="s">
        <v>209</v>
      </c>
      <c r="H1761" s="1" t="s">
        <v>168</v>
      </c>
      <c r="I1761" s="1" t="str">
        <f>"1"</f>
        <v>1</v>
      </c>
      <c r="J1761" s="3">
        <v>1583.47</v>
      </c>
      <c r="K1761" s="4">
        <v>46039</v>
      </c>
      <c r="L1761" s="4">
        <v>46071</v>
      </c>
      <c r="M1761" s="1" t="s">
        <v>8308</v>
      </c>
      <c r="N1761" s="1" t="s">
        <v>1374</v>
      </c>
    </row>
    <row r="1762" spans="1:14" s="1" customFormat="1" x14ac:dyDescent="0.35">
      <c r="A1762" s="1" t="s">
        <v>4492</v>
      </c>
      <c r="B1762" s="1" t="s">
        <v>1303</v>
      </c>
      <c r="C1762" s="1" t="s">
        <v>1362</v>
      </c>
      <c r="D1762" s="1" t="s">
        <v>8307</v>
      </c>
      <c r="E1762" s="1" t="str">
        <f>"4240"</f>
        <v>4240</v>
      </c>
      <c r="F1762" s="1" t="str">
        <f>"015723104"</f>
        <v>015723104</v>
      </c>
      <c r="G1762" s="1" t="s">
        <v>2422</v>
      </c>
      <c r="H1762" s="1" t="s">
        <v>15</v>
      </c>
      <c r="I1762" s="1" t="str">
        <f>"35"</f>
        <v>35</v>
      </c>
      <c r="J1762" s="3" t="str">
        <f>"20"</f>
        <v>20</v>
      </c>
      <c r="K1762" s="4">
        <v>46043</v>
      </c>
      <c r="L1762" s="4">
        <v>46071</v>
      </c>
      <c r="M1762" s="1" t="s">
        <v>8306</v>
      </c>
      <c r="N1762" s="1" t="s">
        <v>1371</v>
      </c>
    </row>
    <row r="1763" spans="1:14" s="1" customFormat="1" x14ac:dyDescent="0.35">
      <c r="A1763" s="1" t="s">
        <v>4492</v>
      </c>
      <c r="B1763" s="1" t="s">
        <v>1303</v>
      </c>
      <c r="C1763" s="1" t="s">
        <v>1362</v>
      </c>
      <c r="D1763" s="1" t="s">
        <v>8305</v>
      </c>
      <c r="E1763" s="1" t="str">
        <f>"4240"</f>
        <v>4240</v>
      </c>
      <c r="F1763" s="1" t="str">
        <f>"015257554"</f>
        <v>015257554</v>
      </c>
      <c r="G1763" s="1" t="s">
        <v>5746</v>
      </c>
      <c r="H1763" s="1" t="s">
        <v>15</v>
      </c>
      <c r="I1763" s="1" t="str">
        <f>"35"</f>
        <v>35</v>
      </c>
      <c r="J1763" s="3">
        <v>33.770000000000003</v>
      </c>
      <c r="K1763" s="4">
        <v>46043</v>
      </c>
      <c r="L1763" s="4">
        <v>46071</v>
      </c>
      <c r="M1763" s="1" t="s">
        <v>8304</v>
      </c>
      <c r="N1763" s="1" t="s">
        <v>1371</v>
      </c>
    </row>
    <row r="1764" spans="1:14" s="1" customFormat="1" x14ac:dyDescent="0.35">
      <c r="A1764" s="1" t="s">
        <v>4492</v>
      </c>
      <c r="B1764" s="1" t="s">
        <v>1303</v>
      </c>
      <c r="C1764" s="1" t="s">
        <v>1362</v>
      </c>
      <c r="D1764" s="1" t="s">
        <v>8303</v>
      </c>
      <c r="E1764" s="1" t="str">
        <f>"5855"</f>
        <v>5855</v>
      </c>
      <c r="F1764" s="1" t="str">
        <f>"015485687"</f>
        <v>015485687</v>
      </c>
      <c r="G1764" s="1" t="s">
        <v>798</v>
      </c>
      <c r="H1764" s="1" t="s">
        <v>15</v>
      </c>
      <c r="I1764" s="1" t="str">
        <f>"10"</f>
        <v>10</v>
      </c>
      <c r="J1764" s="3" t="str">
        <f>"10402"</f>
        <v>10402</v>
      </c>
      <c r="K1764" s="4">
        <v>46043</v>
      </c>
      <c r="L1764" s="4">
        <v>46111</v>
      </c>
      <c r="M1764" s="1" t="s">
        <v>8302</v>
      </c>
      <c r="N1764" s="1" t="s">
        <v>8301</v>
      </c>
    </row>
    <row r="1765" spans="1:14" s="1" customFormat="1" x14ac:dyDescent="0.35">
      <c r="A1765" s="1" t="s">
        <v>4492</v>
      </c>
      <c r="B1765" s="1" t="s">
        <v>1303</v>
      </c>
      <c r="C1765" s="1" t="s">
        <v>1362</v>
      </c>
      <c r="D1765" s="1" t="s">
        <v>8300</v>
      </c>
      <c r="E1765" s="1" t="str">
        <f>"1240"</f>
        <v>1240</v>
      </c>
      <c r="F1765" s="1" t="str">
        <f>"016520150"</f>
        <v>016520150</v>
      </c>
      <c r="G1765" s="1" t="s">
        <v>4579</v>
      </c>
      <c r="H1765" s="1" t="s">
        <v>15</v>
      </c>
      <c r="I1765" s="1" t="str">
        <f>"4"</f>
        <v>4</v>
      </c>
      <c r="J1765" s="3">
        <v>813.79</v>
      </c>
      <c r="K1765" s="4">
        <v>46082</v>
      </c>
      <c r="L1765" s="4">
        <v>46087</v>
      </c>
      <c r="M1765" s="1" t="s">
        <v>8299</v>
      </c>
      <c r="N1765" s="1" t="s">
        <v>8298</v>
      </c>
    </row>
    <row r="1766" spans="1:14" s="1" customFormat="1" x14ac:dyDescent="0.35">
      <c r="A1766" s="1" t="s">
        <v>4492</v>
      </c>
      <c r="B1766" s="1" t="s">
        <v>1303</v>
      </c>
      <c r="C1766" s="1" t="s">
        <v>1362</v>
      </c>
      <c r="D1766" s="1" t="s">
        <v>8297</v>
      </c>
      <c r="E1766" s="1" t="str">
        <f>"1240"</f>
        <v>1240</v>
      </c>
      <c r="F1766" s="1" t="str">
        <f>"016449166"</f>
        <v>016449166</v>
      </c>
      <c r="G1766" s="1" t="s">
        <v>8290</v>
      </c>
      <c r="H1766" s="1" t="s">
        <v>15</v>
      </c>
      <c r="I1766" s="1" t="str">
        <f>"3"</f>
        <v>3</v>
      </c>
      <c r="J1766" s="3" t="str">
        <f>"150"</f>
        <v>150</v>
      </c>
      <c r="K1766" s="4">
        <v>46083</v>
      </c>
      <c r="L1766" s="4">
        <v>46087</v>
      </c>
      <c r="M1766" s="1" t="s">
        <v>8296</v>
      </c>
      <c r="N1766" s="1" t="s">
        <v>8288</v>
      </c>
    </row>
    <row r="1767" spans="1:14" s="1" customFormat="1" x14ac:dyDescent="0.35">
      <c r="A1767" s="1" t="s">
        <v>4492</v>
      </c>
      <c r="B1767" s="1" t="s">
        <v>1303</v>
      </c>
      <c r="C1767" s="1" t="s">
        <v>1362</v>
      </c>
      <c r="D1767" s="1" t="s">
        <v>8295</v>
      </c>
      <c r="E1767" s="1" t="str">
        <f>"1240"</f>
        <v>1240</v>
      </c>
      <c r="F1767" s="1" t="str">
        <f>"016449166"</f>
        <v>016449166</v>
      </c>
      <c r="G1767" s="1" t="s">
        <v>8290</v>
      </c>
      <c r="H1767" s="1" t="s">
        <v>15</v>
      </c>
      <c r="I1767" s="1" t="str">
        <f>"1"</f>
        <v>1</v>
      </c>
      <c r="J1767" s="3" t="str">
        <f>"150"</f>
        <v>150</v>
      </c>
      <c r="K1767" s="4">
        <v>46083</v>
      </c>
      <c r="L1767" s="4">
        <v>46087</v>
      </c>
      <c r="M1767" s="1" t="s">
        <v>8294</v>
      </c>
      <c r="N1767" s="1" t="s">
        <v>8288</v>
      </c>
    </row>
    <row r="1768" spans="1:14" s="1" customFormat="1" x14ac:dyDescent="0.35">
      <c r="A1768" s="1" t="s">
        <v>4492</v>
      </c>
      <c r="B1768" s="1" t="s">
        <v>1303</v>
      </c>
      <c r="C1768" s="1" t="s">
        <v>1362</v>
      </c>
      <c r="D1768" s="1" t="s">
        <v>8293</v>
      </c>
      <c r="E1768" s="1" t="str">
        <f>"1240"</f>
        <v>1240</v>
      </c>
      <c r="F1768" s="1" t="str">
        <f>"016449166"</f>
        <v>016449166</v>
      </c>
      <c r="G1768" s="1" t="s">
        <v>8290</v>
      </c>
      <c r="H1768" s="1" t="s">
        <v>15</v>
      </c>
      <c r="I1768" s="1" t="str">
        <f>"1"</f>
        <v>1</v>
      </c>
      <c r="J1768" s="3" t="str">
        <f>"150"</f>
        <v>150</v>
      </c>
      <c r="K1768" s="4">
        <v>46083</v>
      </c>
      <c r="L1768" s="4">
        <v>46088</v>
      </c>
      <c r="M1768" s="1" t="s">
        <v>8292</v>
      </c>
      <c r="N1768" s="1" t="s">
        <v>8288</v>
      </c>
    </row>
    <row r="1769" spans="1:14" s="1" customFormat="1" x14ac:dyDescent="0.35">
      <c r="A1769" s="1" t="s">
        <v>4492</v>
      </c>
      <c r="B1769" s="1" t="s">
        <v>1303</v>
      </c>
      <c r="C1769" s="1" t="s">
        <v>1362</v>
      </c>
      <c r="D1769" s="1" t="s">
        <v>8291</v>
      </c>
      <c r="E1769" s="1" t="str">
        <f>"1240"</f>
        <v>1240</v>
      </c>
      <c r="F1769" s="1" t="str">
        <f>"016449166"</f>
        <v>016449166</v>
      </c>
      <c r="G1769" s="1" t="s">
        <v>8290</v>
      </c>
      <c r="H1769" s="1" t="s">
        <v>15</v>
      </c>
      <c r="I1769" s="1" t="str">
        <f>"1"</f>
        <v>1</v>
      </c>
      <c r="J1769" s="3" t="str">
        <f>"150"</f>
        <v>150</v>
      </c>
      <c r="K1769" s="4">
        <v>46083</v>
      </c>
      <c r="L1769" s="4">
        <v>46087</v>
      </c>
      <c r="M1769" s="1" t="s">
        <v>8289</v>
      </c>
      <c r="N1769" s="1" t="s">
        <v>8288</v>
      </c>
    </row>
    <row r="1770" spans="1:14" s="1" customFormat="1" x14ac:dyDescent="0.35">
      <c r="A1770" s="1" t="s">
        <v>4492</v>
      </c>
      <c r="B1770" s="1" t="s">
        <v>1303</v>
      </c>
      <c r="C1770" s="1" t="s">
        <v>1362</v>
      </c>
      <c r="D1770" s="1" t="s">
        <v>8287</v>
      </c>
      <c r="E1770" s="1" t="str">
        <f>"1240"</f>
        <v>1240</v>
      </c>
      <c r="F1770" s="1" t="str">
        <f>"016813209"</f>
        <v>016813209</v>
      </c>
      <c r="G1770" s="1" t="s">
        <v>6044</v>
      </c>
      <c r="H1770" s="1" t="s">
        <v>15</v>
      </c>
      <c r="I1770" s="1" t="str">
        <f>"9"</f>
        <v>9</v>
      </c>
      <c r="J1770" s="3" t="str">
        <f>"3269"</f>
        <v>3269</v>
      </c>
      <c r="K1770" s="4">
        <v>46085</v>
      </c>
      <c r="L1770" s="4">
        <v>46107</v>
      </c>
      <c r="M1770" s="1" t="s">
        <v>8286</v>
      </c>
      <c r="N1770" s="1" t="s">
        <v>8283</v>
      </c>
    </row>
    <row r="1771" spans="1:14" s="1" customFormat="1" x14ac:dyDescent="0.35">
      <c r="A1771" s="1" t="s">
        <v>4492</v>
      </c>
      <c r="B1771" s="1" t="s">
        <v>1303</v>
      </c>
      <c r="C1771" s="1" t="s">
        <v>1362</v>
      </c>
      <c r="D1771" s="1" t="s">
        <v>8285</v>
      </c>
      <c r="E1771" s="1" t="str">
        <f>"5855"</f>
        <v>5855</v>
      </c>
      <c r="F1771" s="1" t="str">
        <f>"015345931"</f>
        <v>015345931</v>
      </c>
      <c r="G1771" s="1" t="s">
        <v>742</v>
      </c>
      <c r="H1771" s="1" t="s">
        <v>15</v>
      </c>
      <c r="I1771" s="1" t="str">
        <f>"10"</f>
        <v>10</v>
      </c>
      <c r="J1771" s="3" t="str">
        <f>"970"</f>
        <v>970</v>
      </c>
      <c r="K1771" s="4">
        <v>46085</v>
      </c>
      <c r="L1771" s="4">
        <v>46087</v>
      </c>
      <c r="M1771" s="1" t="s">
        <v>8284</v>
      </c>
      <c r="N1771" s="1" t="s">
        <v>8283</v>
      </c>
    </row>
    <row r="1772" spans="1:14" s="1" customFormat="1" x14ac:dyDescent="0.35">
      <c r="A1772" s="1" t="s">
        <v>4492</v>
      </c>
      <c r="B1772" s="1" t="s">
        <v>1303</v>
      </c>
      <c r="C1772" s="1" t="s">
        <v>1362</v>
      </c>
      <c r="D1772" s="1" t="s">
        <v>8282</v>
      </c>
      <c r="E1772" s="1" t="str">
        <f>"5855"</f>
        <v>5855</v>
      </c>
      <c r="F1772" s="1" t="str">
        <f>"015777174"</f>
        <v>015777174</v>
      </c>
      <c r="G1772" s="1" t="s">
        <v>952</v>
      </c>
      <c r="H1772" s="1" t="s">
        <v>15</v>
      </c>
      <c r="I1772" s="1" t="str">
        <f>"15"</f>
        <v>15</v>
      </c>
      <c r="J1772" s="3" t="str">
        <f>"1791"</f>
        <v>1791</v>
      </c>
      <c r="K1772" s="4">
        <v>46095</v>
      </c>
      <c r="L1772" s="4">
        <v>46099</v>
      </c>
      <c r="M1772" s="1" t="s">
        <v>8281</v>
      </c>
      <c r="N1772" s="1" t="s">
        <v>8280</v>
      </c>
    </row>
    <row r="1773" spans="1:14" s="1" customFormat="1" x14ac:dyDescent="0.35">
      <c r="A1773" s="1" t="s">
        <v>4492</v>
      </c>
      <c r="B1773" s="1" t="s">
        <v>1303</v>
      </c>
      <c r="C1773" s="1" t="s">
        <v>1362</v>
      </c>
      <c r="D1773" s="1" t="s">
        <v>8279</v>
      </c>
      <c r="E1773" s="1" t="str">
        <f>"1240"</f>
        <v>1240</v>
      </c>
      <c r="F1773" s="1" t="str">
        <f>"015814106"</f>
        <v>015814106</v>
      </c>
      <c r="G1773" s="1" t="s">
        <v>71</v>
      </c>
      <c r="H1773" s="1" t="s">
        <v>15</v>
      </c>
      <c r="I1773" s="1" t="str">
        <f>"7"</f>
        <v>7</v>
      </c>
      <c r="J1773" s="3" t="str">
        <f>"450"</f>
        <v>450</v>
      </c>
      <c r="K1773" s="4">
        <v>46104</v>
      </c>
      <c r="L1773" s="4">
        <v>46108</v>
      </c>
      <c r="M1773" s="1" t="s">
        <v>8278</v>
      </c>
      <c r="N1773" s="1" t="s">
        <v>8275</v>
      </c>
    </row>
    <row r="1774" spans="1:14" s="1" customFormat="1" x14ac:dyDescent="0.35">
      <c r="A1774" s="1" t="s">
        <v>4492</v>
      </c>
      <c r="B1774" s="1" t="s">
        <v>1303</v>
      </c>
      <c r="C1774" s="1" t="s">
        <v>1362</v>
      </c>
      <c r="D1774" s="1" t="s">
        <v>8277</v>
      </c>
      <c r="E1774" s="1" t="str">
        <f>"1240"</f>
        <v>1240</v>
      </c>
      <c r="F1774" s="1" t="str">
        <f>"015814106"</f>
        <v>015814106</v>
      </c>
      <c r="G1774" s="1" t="s">
        <v>71</v>
      </c>
      <c r="H1774" s="1" t="s">
        <v>15</v>
      </c>
      <c r="I1774" s="1" t="str">
        <f>"4"</f>
        <v>4</v>
      </c>
      <c r="J1774" s="3" t="str">
        <f>"450"</f>
        <v>450</v>
      </c>
      <c r="K1774" s="4">
        <v>46104</v>
      </c>
      <c r="L1774" s="4">
        <v>46108</v>
      </c>
      <c r="M1774" s="1" t="s">
        <v>8276</v>
      </c>
      <c r="N1774" s="1" t="s">
        <v>8275</v>
      </c>
    </row>
    <row r="1775" spans="1:14" s="1" customFormat="1" x14ac:dyDescent="0.35">
      <c r="A1775" s="1" t="s">
        <v>4492</v>
      </c>
      <c r="B1775" s="1" t="s">
        <v>1303</v>
      </c>
      <c r="C1775" s="1" t="s">
        <v>1362</v>
      </c>
      <c r="D1775" s="1" t="s">
        <v>8274</v>
      </c>
      <c r="E1775" s="1" t="str">
        <f>"8465"</f>
        <v>8465</v>
      </c>
      <c r="F1775" s="1" t="str">
        <f>"016046541"</f>
        <v>016046541</v>
      </c>
      <c r="G1775" s="1" t="s">
        <v>52</v>
      </c>
      <c r="H1775" s="1" t="s">
        <v>15</v>
      </c>
      <c r="I1775" s="1" t="str">
        <f>"17"</f>
        <v>17</v>
      </c>
      <c r="J1775" s="3">
        <v>40.270000000000003</v>
      </c>
      <c r="K1775" s="4">
        <v>46105</v>
      </c>
      <c r="L1775" s="4">
        <v>46107</v>
      </c>
      <c r="M1775" s="1" t="s">
        <v>8273</v>
      </c>
      <c r="N1775" s="1" t="s">
        <v>8272</v>
      </c>
    </row>
    <row r="1776" spans="1:14" s="1" customFormat="1" x14ac:dyDescent="0.35">
      <c r="A1776" s="1" t="s">
        <v>4492</v>
      </c>
      <c r="B1776" s="1" t="s">
        <v>1303</v>
      </c>
      <c r="C1776" s="1" t="s">
        <v>1362</v>
      </c>
      <c r="D1776" s="1" t="s">
        <v>8274</v>
      </c>
      <c r="E1776" s="1" t="str">
        <f>"8465"</f>
        <v>8465</v>
      </c>
      <c r="F1776" s="1" t="str">
        <f>"016046541"</f>
        <v>016046541</v>
      </c>
      <c r="G1776" s="1" t="s">
        <v>52</v>
      </c>
      <c r="H1776" s="1" t="s">
        <v>15</v>
      </c>
      <c r="I1776" s="1" t="str">
        <f>"17"</f>
        <v>17</v>
      </c>
      <c r="J1776" s="3">
        <v>40.270000000000003</v>
      </c>
      <c r="K1776" s="4">
        <v>46105</v>
      </c>
      <c r="L1776" s="4">
        <v>46107</v>
      </c>
      <c r="M1776" s="1" t="s">
        <v>8273</v>
      </c>
      <c r="N1776" s="1" t="s">
        <v>8272</v>
      </c>
    </row>
    <row r="1777" spans="1:14" s="1" customFormat="1" x14ac:dyDescent="0.35">
      <c r="A1777" s="1" t="s">
        <v>4492</v>
      </c>
      <c r="B1777" s="1" t="s">
        <v>1303</v>
      </c>
      <c r="C1777" s="1" t="s">
        <v>1362</v>
      </c>
      <c r="D1777" s="1" t="s">
        <v>8271</v>
      </c>
      <c r="E1777" s="1" t="str">
        <f>"1240"</f>
        <v>1240</v>
      </c>
      <c r="F1777" s="1" t="s">
        <v>1364</v>
      </c>
      <c r="G1777" s="1" t="s">
        <v>1365</v>
      </c>
      <c r="H1777" s="1" t="s">
        <v>15</v>
      </c>
      <c r="I1777" s="1" t="str">
        <f>"10"</f>
        <v>10</v>
      </c>
      <c r="J1777" s="3" t="str">
        <f>"1500"</f>
        <v>1500</v>
      </c>
      <c r="K1777" s="4">
        <v>46107</v>
      </c>
      <c r="L1777" s="4">
        <v>46108</v>
      </c>
      <c r="M1777" s="1" t="s">
        <v>4524</v>
      </c>
      <c r="N1777" s="1" t="s">
        <v>8265</v>
      </c>
    </row>
    <row r="1778" spans="1:14" s="1" customFormat="1" x14ac:dyDescent="0.35">
      <c r="A1778" s="1" t="s">
        <v>4492</v>
      </c>
      <c r="B1778" s="1" t="s">
        <v>1303</v>
      </c>
      <c r="C1778" s="1" t="s">
        <v>1362</v>
      </c>
      <c r="D1778" s="1" t="s">
        <v>8270</v>
      </c>
      <c r="E1778" s="1" t="str">
        <f>"1240"</f>
        <v>1240</v>
      </c>
      <c r="F1778" s="1" t="s">
        <v>1364</v>
      </c>
      <c r="G1778" s="1" t="s">
        <v>1365</v>
      </c>
      <c r="H1778" s="1" t="s">
        <v>15</v>
      </c>
      <c r="I1778" s="1" t="str">
        <f>"2"</f>
        <v>2</v>
      </c>
      <c r="J1778" s="3" t="str">
        <f>"1000"</f>
        <v>1000</v>
      </c>
      <c r="K1778" s="4">
        <v>46107</v>
      </c>
      <c r="L1778" s="4">
        <v>46108</v>
      </c>
      <c r="M1778" s="1" t="s">
        <v>4524</v>
      </c>
      <c r="N1778" s="1" t="s">
        <v>8265</v>
      </c>
    </row>
    <row r="1779" spans="1:14" s="1" customFormat="1" x14ac:dyDescent="0.35">
      <c r="A1779" s="1" t="s">
        <v>4492</v>
      </c>
      <c r="B1779" s="1" t="s">
        <v>1303</v>
      </c>
      <c r="C1779" s="1" t="s">
        <v>1362</v>
      </c>
      <c r="D1779" s="1" t="s">
        <v>8269</v>
      </c>
      <c r="E1779" s="1" t="str">
        <f>"1240"</f>
        <v>1240</v>
      </c>
      <c r="F1779" s="1" t="s">
        <v>1364</v>
      </c>
      <c r="G1779" s="1" t="s">
        <v>1365</v>
      </c>
      <c r="H1779" s="1" t="s">
        <v>15</v>
      </c>
      <c r="I1779" s="1" t="str">
        <f>"3"</f>
        <v>3</v>
      </c>
      <c r="J1779" s="3" t="str">
        <f>"500"</f>
        <v>500</v>
      </c>
      <c r="K1779" s="4">
        <v>46107</v>
      </c>
      <c r="L1779" s="4">
        <v>46108</v>
      </c>
      <c r="M1779" s="1" t="s">
        <v>4524</v>
      </c>
      <c r="N1779" s="1" t="s">
        <v>8265</v>
      </c>
    </row>
    <row r="1780" spans="1:14" s="1" customFormat="1" x14ac:dyDescent="0.35">
      <c r="A1780" s="1" t="s">
        <v>4492</v>
      </c>
      <c r="B1780" s="1" t="s">
        <v>1303</v>
      </c>
      <c r="C1780" s="1" t="s">
        <v>1362</v>
      </c>
      <c r="D1780" s="1" t="s">
        <v>8268</v>
      </c>
      <c r="E1780" s="1" t="str">
        <f>"1240"</f>
        <v>1240</v>
      </c>
      <c r="F1780" s="1" t="s">
        <v>1364</v>
      </c>
      <c r="G1780" s="1" t="s">
        <v>1365</v>
      </c>
      <c r="H1780" s="1" t="s">
        <v>15</v>
      </c>
      <c r="I1780" s="1" t="str">
        <f>"10"</f>
        <v>10</v>
      </c>
      <c r="J1780" s="3" t="str">
        <f>"1500"</f>
        <v>1500</v>
      </c>
      <c r="K1780" s="4">
        <v>46107</v>
      </c>
      <c r="L1780" s="4">
        <v>46108</v>
      </c>
      <c r="M1780" s="1" t="s">
        <v>4524</v>
      </c>
      <c r="N1780" s="1" t="s">
        <v>8265</v>
      </c>
    </row>
    <row r="1781" spans="1:14" s="1" customFormat="1" x14ac:dyDescent="0.35">
      <c r="A1781" s="1" t="s">
        <v>4492</v>
      </c>
      <c r="B1781" s="1" t="s">
        <v>1303</v>
      </c>
      <c r="C1781" s="1" t="s">
        <v>1362</v>
      </c>
      <c r="D1781" s="1" t="s">
        <v>8267</v>
      </c>
      <c r="E1781" s="1" t="str">
        <f>"1240"</f>
        <v>1240</v>
      </c>
      <c r="F1781" s="1" t="s">
        <v>1364</v>
      </c>
      <c r="G1781" s="1" t="s">
        <v>1365</v>
      </c>
      <c r="H1781" s="1" t="s">
        <v>15</v>
      </c>
      <c r="I1781" s="1" t="str">
        <f>"4"</f>
        <v>4</v>
      </c>
      <c r="J1781" s="3" t="str">
        <f>"1500"</f>
        <v>1500</v>
      </c>
      <c r="K1781" s="4">
        <v>46107</v>
      </c>
      <c r="L1781" s="4">
        <v>46108</v>
      </c>
      <c r="M1781" s="1" t="s">
        <v>4524</v>
      </c>
      <c r="N1781" s="1" t="s">
        <v>8265</v>
      </c>
    </row>
    <row r="1782" spans="1:14" s="1" customFormat="1" x14ac:dyDescent="0.35">
      <c r="A1782" s="1" t="s">
        <v>4492</v>
      </c>
      <c r="B1782" s="1" t="s">
        <v>1303</v>
      </c>
      <c r="C1782" s="1" t="s">
        <v>1362</v>
      </c>
      <c r="D1782" s="1" t="s">
        <v>8266</v>
      </c>
      <c r="E1782" s="1" t="str">
        <f>"1240"</f>
        <v>1240</v>
      </c>
      <c r="F1782" s="1" t="str">
        <f>"016920791"</f>
        <v>016920791</v>
      </c>
      <c r="G1782" s="1" t="s">
        <v>6044</v>
      </c>
      <c r="H1782" s="1" t="s">
        <v>15</v>
      </c>
      <c r="I1782" s="1" t="str">
        <f>"4"</f>
        <v>4</v>
      </c>
      <c r="J1782" s="3" t="str">
        <f>"1500"</f>
        <v>1500</v>
      </c>
      <c r="K1782" s="4">
        <v>46107</v>
      </c>
      <c r="L1782" s="4">
        <v>46108</v>
      </c>
      <c r="M1782" s="1" t="s">
        <v>4524</v>
      </c>
      <c r="N1782" s="1" t="s">
        <v>8265</v>
      </c>
    </row>
    <row r="1783" spans="1:14" s="1" customFormat="1" x14ac:dyDescent="0.35">
      <c r="A1783" s="1" t="s">
        <v>4492</v>
      </c>
      <c r="B1783" s="1" t="s">
        <v>8264</v>
      </c>
      <c r="C1783" s="1" t="s">
        <v>8263</v>
      </c>
      <c r="D1783" s="1" t="s">
        <v>8262</v>
      </c>
      <c r="E1783" s="1" t="str">
        <f>"2330"</f>
        <v>2330</v>
      </c>
      <c r="F1783" s="1" t="str">
        <f>"014643666"</f>
        <v>014643666</v>
      </c>
      <c r="G1783" s="1" t="s">
        <v>722</v>
      </c>
      <c r="H1783" s="1" t="s">
        <v>15</v>
      </c>
      <c r="I1783" s="1" t="str">
        <f>"1"</f>
        <v>1</v>
      </c>
      <c r="J1783" s="3" t="str">
        <f>"7787"</f>
        <v>7787</v>
      </c>
      <c r="K1783" s="4">
        <v>45995</v>
      </c>
      <c r="L1783" s="4">
        <v>46034</v>
      </c>
      <c r="M1783" s="1" t="s">
        <v>8261</v>
      </c>
      <c r="N1783" s="1" t="s">
        <v>8260</v>
      </c>
    </row>
    <row r="1784" spans="1:14" s="1" customFormat="1" x14ac:dyDescent="0.35">
      <c r="A1784" s="1" t="s">
        <v>4492</v>
      </c>
      <c r="B1784" s="1" t="s">
        <v>3268</v>
      </c>
      <c r="C1784" s="1" t="s">
        <v>8259</v>
      </c>
      <c r="D1784" s="1" t="s">
        <v>8258</v>
      </c>
      <c r="E1784" s="1" t="str">
        <f>"3930"</f>
        <v>3930</v>
      </c>
      <c r="F1784" s="1" t="str">
        <f>"011992449"</f>
        <v>011992449</v>
      </c>
      <c r="G1784" s="1" t="s">
        <v>124</v>
      </c>
      <c r="H1784" s="1" t="s">
        <v>15</v>
      </c>
      <c r="I1784" s="1" t="str">
        <f>"1"</f>
        <v>1</v>
      </c>
      <c r="J1784" s="3">
        <v>30131.1</v>
      </c>
      <c r="K1784" s="4">
        <v>45974</v>
      </c>
      <c r="L1784" s="4">
        <v>46070</v>
      </c>
      <c r="M1784" s="1" t="s">
        <v>8257</v>
      </c>
      <c r="N1784" s="1" t="s">
        <v>8256</v>
      </c>
    </row>
    <row r="1785" spans="1:14" s="1" customFormat="1" x14ac:dyDescent="0.35">
      <c r="A1785" s="1" t="s">
        <v>4492</v>
      </c>
      <c r="B1785" s="1" t="s">
        <v>3356</v>
      </c>
      <c r="C1785" s="1" t="s">
        <v>3545</v>
      </c>
      <c r="D1785" s="1" t="s">
        <v>8255</v>
      </c>
      <c r="E1785" s="1" t="str">
        <f>"2320"</f>
        <v>2320</v>
      </c>
      <c r="F1785" s="1" t="s">
        <v>1016</v>
      </c>
      <c r="G1785" s="1" t="s">
        <v>1017</v>
      </c>
      <c r="H1785" s="1" t="s">
        <v>15</v>
      </c>
      <c r="I1785" s="1" t="str">
        <f>"1"</f>
        <v>1</v>
      </c>
      <c r="J1785" s="3">
        <v>25765.1</v>
      </c>
      <c r="K1785" s="4">
        <v>46027</v>
      </c>
      <c r="L1785" s="4">
        <v>46039</v>
      </c>
      <c r="M1785" s="1" t="s">
        <v>8254</v>
      </c>
      <c r="N1785" s="1" t="s">
        <v>8253</v>
      </c>
    </row>
    <row r="1786" spans="1:14" s="1" customFormat="1" x14ac:dyDescent="0.35">
      <c r="A1786" s="1" t="s">
        <v>4492</v>
      </c>
      <c r="B1786" s="1" t="s">
        <v>3356</v>
      </c>
      <c r="C1786" s="1" t="s">
        <v>3545</v>
      </c>
      <c r="D1786" s="1" t="s">
        <v>8252</v>
      </c>
      <c r="E1786" s="1" t="str">
        <f>"2320"</f>
        <v>2320</v>
      </c>
      <c r="F1786" s="1" t="s">
        <v>100</v>
      </c>
      <c r="G1786" s="1" t="s">
        <v>101</v>
      </c>
      <c r="H1786" s="1" t="s">
        <v>15</v>
      </c>
      <c r="I1786" s="1" t="str">
        <f>"1"</f>
        <v>1</v>
      </c>
      <c r="J1786" s="3" t="str">
        <f>"40000"</f>
        <v>40000</v>
      </c>
      <c r="K1786" s="4">
        <v>46027</v>
      </c>
      <c r="L1786" s="4">
        <v>46030</v>
      </c>
      <c r="M1786" s="1" t="s">
        <v>8251</v>
      </c>
      <c r="N1786" s="1" t="s">
        <v>8250</v>
      </c>
    </row>
    <row r="1787" spans="1:14" s="1" customFormat="1" x14ac:dyDescent="0.35">
      <c r="A1787" s="1" t="s">
        <v>4492</v>
      </c>
      <c r="B1787" s="1" t="s">
        <v>3356</v>
      </c>
      <c r="C1787" s="1" t="s">
        <v>3545</v>
      </c>
      <c r="D1787" s="1" t="s">
        <v>8249</v>
      </c>
      <c r="E1787" s="1" t="str">
        <f>"2320"</f>
        <v>2320</v>
      </c>
      <c r="F1787" s="1" t="s">
        <v>1016</v>
      </c>
      <c r="G1787" s="1" t="s">
        <v>1017</v>
      </c>
      <c r="H1787" s="1" t="s">
        <v>15</v>
      </c>
      <c r="I1787" s="1" t="str">
        <f>"1"</f>
        <v>1</v>
      </c>
      <c r="J1787" s="3">
        <v>25718.639999999999</v>
      </c>
      <c r="K1787" s="4">
        <v>46037</v>
      </c>
      <c r="L1787" s="4">
        <v>46092</v>
      </c>
      <c r="M1787" s="1" t="s">
        <v>8248</v>
      </c>
      <c r="N1787" s="1" t="s">
        <v>8247</v>
      </c>
    </row>
    <row r="1788" spans="1:14" s="1" customFormat="1" x14ac:dyDescent="0.35">
      <c r="A1788" s="1" t="s">
        <v>4492</v>
      </c>
      <c r="B1788" s="1" t="s">
        <v>3356</v>
      </c>
      <c r="C1788" s="1" t="s">
        <v>3570</v>
      </c>
      <c r="D1788" s="1" t="s">
        <v>8246</v>
      </c>
      <c r="E1788" s="1" t="str">
        <f>"2340"</f>
        <v>2340</v>
      </c>
      <c r="F1788" s="1" t="s">
        <v>2469</v>
      </c>
      <c r="G1788" s="1" t="s">
        <v>2470</v>
      </c>
      <c r="H1788" s="1" t="s">
        <v>15</v>
      </c>
      <c r="I1788" s="1" t="str">
        <f>"1"</f>
        <v>1</v>
      </c>
      <c r="J1788" s="3">
        <v>13213.65</v>
      </c>
      <c r="K1788" s="4">
        <v>46027</v>
      </c>
      <c r="L1788" s="4">
        <v>46039</v>
      </c>
      <c r="M1788" s="1" t="s">
        <v>8245</v>
      </c>
      <c r="N1788" s="1" t="s">
        <v>8244</v>
      </c>
    </row>
    <row r="1789" spans="1:14" s="1" customFormat="1" x14ac:dyDescent="0.35">
      <c r="A1789" s="1" t="s">
        <v>4492</v>
      </c>
      <c r="B1789" s="1" t="s">
        <v>3356</v>
      </c>
      <c r="C1789" s="1" t="s">
        <v>3570</v>
      </c>
      <c r="D1789" s="1" t="s">
        <v>8243</v>
      </c>
      <c r="E1789" s="1" t="str">
        <f>"2340"</f>
        <v>2340</v>
      </c>
      <c r="F1789" s="1" t="s">
        <v>179</v>
      </c>
      <c r="G1789" s="1" t="s">
        <v>180</v>
      </c>
      <c r="H1789" s="1" t="s">
        <v>15</v>
      </c>
      <c r="I1789" s="1" t="str">
        <f>"2"</f>
        <v>2</v>
      </c>
      <c r="J1789" s="3" t="str">
        <f>"2500"</f>
        <v>2500</v>
      </c>
      <c r="K1789" s="4">
        <v>46031</v>
      </c>
      <c r="L1789" s="4">
        <v>46050</v>
      </c>
      <c r="M1789" s="1" t="s">
        <v>8242</v>
      </c>
      <c r="N1789" s="1" t="s">
        <v>8241</v>
      </c>
    </row>
    <row r="1790" spans="1:14" s="1" customFormat="1" x14ac:dyDescent="0.35">
      <c r="A1790" s="1" t="s">
        <v>4492</v>
      </c>
      <c r="B1790" s="1" t="s">
        <v>73</v>
      </c>
      <c r="C1790" s="1" t="s">
        <v>177</v>
      </c>
      <c r="D1790" s="1" t="s">
        <v>8240</v>
      </c>
      <c r="E1790" s="1" t="str">
        <f>"4140"</f>
        <v>4140</v>
      </c>
      <c r="F1790" s="1" t="s">
        <v>131</v>
      </c>
      <c r="G1790" s="1" t="s">
        <v>132</v>
      </c>
      <c r="H1790" s="1" t="s">
        <v>15</v>
      </c>
      <c r="I1790" s="1" t="str">
        <f>"2"</f>
        <v>2</v>
      </c>
      <c r="J1790" s="3">
        <v>127.55</v>
      </c>
      <c r="K1790" s="4">
        <v>46002</v>
      </c>
      <c r="L1790" s="4">
        <v>46029</v>
      </c>
      <c r="M1790" s="1" t="s">
        <v>8239</v>
      </c>
      <c r="N1790" s="1" t="s">
        <v>8238</v>
      </c>
    </row>
    <row r="1791" spans="1:14" s="1" customFormat="1" x14ac:dyDescent="0.35">
      <c r="A1791" s="1" t="s">
        <v>4492</v>
      </c>
      <c r="B1791" s="1" t="s">
        <v>73</v>
      </c>
      <c r="C1791" s="1" t="s">
        <v>177</v>
      </c>
      <c r="D1791" s="1" t="s">
        <v>8237</v>
      </c>
      <c r="E1791" s="1" t="str">
        <f>"2320"</f>
        <v>2320</v>
      </c>
      <c r="F1791" s="1" t="s">
        <v>1016</v>
      </c>
      <c r="G1791" s="1" t="s">
        <v>1017</v>
      </c>
      <c r="H1791" s="1" t="s">
        <v>15</v>
      </c>
      <c r="I1791" s="1" t="str">
        <f>"1"</f>
        <v>1</v>
      </c>
      <c r="J1791" s="3" t="str">
        <f>"30000"</f>
        <v>30000</v>
      </c>
      <c r="K1791" s="4">
        <v>46038</v>
      </c>
      <c r="L1791" s="4">
        <v>46039</v>
      </c>
      <c r="M1791" s="1" t="s">
        <v>4524</v>
      </c>
      <c r="N1791" s="1" t="s">
        <v>8236</v>
      </c>
    </row>
    <row r="1792" spans="1:14" s="1" customFormat="1" x14ac:dyDescent="0.35">
      <c r="A1792" s="1" t="s">
        <v>4492</v>
      </c>
      <c r="B1792" s="1" t="s">
        <v>73</v>
      </c>
      <c r="C1792" s="1" t="s">
        <v>177</v>
      </c>
      <c r="D1792" s="1" t="s">
        <v>8235</v>
      </c>
      <c r="E1792" s="1" t="str">
        <f>"2310"</f>
        <v>2310</v>
      </c>
      <c r="F1792" s="1" t="str">
        <f>"014998019"</f>
        <v>014998019</v>
      </c>
      <c r="G1792" s="1" t="s">
        <v>4671</v>
      </c>
      <c r="H1792" s="1" t="s">
        <v>15</v>
      </c>
      <c r="I1792" s="1" t="str">
        <f>"1"</f>
        <v>1</v>
      </c>
      <c r="J1792" s="3" t="str">
        <f>"165000"</f>
        <v>165000</v>
      </c>
      <c r="K1792" s="4">
        <v>46073</v>
      </c>
      <c r="L1792" s="4">
        <v>46077</v>
      </c>
      <c r="M1792" s="1" t="s">
        <v>4524</v>
      </c>
      <c r="N1792" s="1" t="s">
        <v>8234</v>
      </c>
    </row>
    <row r="1793" spans="1:14" s="1" customFormat="1" x14ac:dyDescent="0.35">
      <c r="A1793" s="1" t="s">
        <v>4492</v>
      </c>
      <c r="B1793" s="1" t="s">
        <v>73</v>
      </c>
      <c r="C1793" s="1" t="s">
        <v>177</v>
      </c>
      <c r="D1793" s="1" t="s">
        <v>8233</v>
      </c>
      <c r="E1793" s="1" t="str">
        <f>"2320"</f>
        <v>2320</v>
      </c>
      <c r="F1793" s="1" t="s">
        <v>100</v>
      </c>
      <c r="G1793" s="1" t="s">
        <v>101</v>
      </c>
      <c r="H1793" s="1" t="s">
        <v>15</v>
      </c>
      <c r="I1793" s="1" t="str">
        <f>"1"</f>
        <v>1</v>
      </c>
      <c r="J1793" s="3" t="str">
        <f>"2000"</f>
        <v>2000</v>
      </c>
      <c r="K1793" s="4">
        <v>46074</v>
      </c>
      <c r="L1793" s="4">
        <v>46077</v>
      </c>
      <c r="M1793" s="1" t="s">
        <v>4524</v>
      </c>
      <c r="N1793" s="1" t="s">
        <v>8232</v>
      </c>
    </row>
    <row r="1794" spans="1:14" s="1" customFormat="1" x14ac:dyDescent="0.35">
      <c r="A1794" s="1" t="s">
        <v>4492</v>
      </c>
      <c r="B1794" s="1" t="s">
        <v>73</v>
      </c>
      <c r="C1794" s="1" t="s">
        <v>177</v>
      </c>
      <c r="D1794" s="1" t="s">
        <v>8231</v>
      </c>
      <c r="E1794" s="1" t="str">
        <f>"2320"</f>
        <v>2320</v>
      </c>
      <c r="F1794" s="1" t="str">
        <f>"005401428"</f>
        <v>005401428</v>
      </c>
      <c r="G1794" s="1" t="s">
        <v>930</v>
      </c>
      <c r="H1794" s="1" t="s">
        <v>15</v>
      </c>
      <c r="I1794" s="1" t="str">
        <f>"1"</f>
        <v>1</v>
      </c>
      <c r="J1794" s="3" t="str">
        <f>"13334"</f>
        <v>13334</v>
      </c>
      <c r="K1794" s="4">
        <v>46075</v>
      </c>
      <c r="L1794" s="4">
        <v>46087</v>
      </c>
      <c r="M1794" s="1" t="s">
        <v>8230</v>
      </c>
      <c r="N1794" s="1" t="s">
        <v>8229</v>
      </c>
    </row>
    <row r="1795" spans="1:14" s="1" customFormat="1" x14ac:dyDescent="0.35">
      <c r="A1795" s="1" t="s">
        <v>4492</v>
      </c>
      <c r="B1795" s="1" t="s">
        <v>73</v>
      </c>
      <c r="C1795" s="1" t="s">
        <v>177</v>
      </c>
      <c r="D1795" s="1" t="s">
        <v>8228</v>
      </c>
      <c r="E1795" s="1" t="str">
        <f>"2320"</f>
        <v>2320</v>
      </c>
      <c r="F1795" s="1" t="str">
        <f>"011644815"</f>
        <v>011644815</v>
      </c>
      <c r="G1795" s="1" t="s">
        <v>930</v>
      </c>
      <c r="H1795" s="1" t="s">
        <v>15</v>
      </c>
      <c r="I1795" s="1" t="str">
        <f>"1"</f>
        <v>1</v>
      </c>
      <c r="J1795" s="3" t="str">
        <f>"5000"</f>
        <v>5000</v>
      </c>
      <c r="K1795" s="4">
        <v>46075</v>
      </c>
      <c r="L1795" s="4">
        <v>46087</v>
      </c>
      <c r="M1795" s="1" t="s">
        <v>8227</v>
      </c>
      <c r="N1795" s="1" t="s">
        <v>8226</v>
      </c>
    </row>
    <row r="1796" spans="1:14" s="1" customFormat="1" x14ac:dyDescent="0.35">
      <c r="A1796" s="1" t="s">
        <v>4492</v>
      </c>
      <c r="B1796" s="1" t="s">
        <v>73</v>
      </c>
      <c r="C1796" s="1" t="s">
        <v>177</v>
      </c>
      <c r="D1796" s="1" t="s">
        <v>8225</v>
      </c>
      <c r="E1796" s="1" t="str">
        <f>"2330"</f>
        <v>2330</v>
      </c>
      <c r="F1796" s="1" t="s">
        <v>91</v>
      </c>
      <c r="G1796" s="1" t="s">
        <v>92</v>
      </c>
      <c r="H1796" s="1" t="s">
        <v>15</v>
      </c>
      <c r="I1796" s="1" t="str">
        <f>"1"</f>
        <v>1</v>
      </c>
      <c r="J1796" s="3" t="str">
        <f>"20000"</f>
        <v>20000</v>
      </c>
      <c r="K1796" s="4">
        <v>46075</v>
      </c>
      <c r="L1796" s="4">
        <v>46088</v>
      </c>
      <c r="M1796" s="1" t="s">
        <v>8224</v>
      </c>
      <c r="N1796" s="1" t="s">
        <v>8223</v>
      </c>
    </row>
    <row r="1797" spans="1:14" s="1" customFormat="1" x14ac:dyDescent="0.35">
      <c r="A1797" s="1" t="s">
        <v>4492</v>
      </c>
      <c r="B1797" s="1" t="s">
        <v>73</v>
      </c>
      <c r="C1797" s="1" t="s">
        <v>177</v>
      </c>
      <c r="D1797" s="1" t="s">
        <v>8222</v>
      </c>
      <c r="E1797" s="1" t="str">
        <f>"2320"</f>
        <v>2320</v>
      </c>
      <c r="F1797" s="1" t="str">
        <f>"010948229"</f>
        <v>010948229</v>
      </c>
      <c r="G1797" s="1" t="s">
        <v>930</v>
      </c>
      <c r="H1797" s="1" t="s">
        <v>15</v>
      </c>
      <c r="I1797" s="1" t="str">
        <f>"1"</f>
        <v>1</v>
      </c>
      <c r="J1797" s="3">
        <v>9989.75</v>
      </c>
      <c r="K1797" s="4">
        <v>46084</v>
      </c>
      <c r="L1797" s="4">
        <v>46095</v>
      </c>
      <c r="M1797" s="1" t="s">
        <v>4524</v>
      </c>
      <c r="N1797" s="1" t="s">
        <v>8221</v>
      </c>
    </row>
    <row r="1798" spans="1:14" s="1" customFormat="1" x14ac:dyDescent="0.35">
      <c r="A1798" s="1" t="s">
        <v>4492</v>
      </c>
      <c r="B1798" s="1" t="s">
        <v>73</v>
      </c>
      <c r="C1798" s="1" t="s">
        <v>177</v>
      </c>
      <c r="D1798" s="1" t="s">
        <v>8220</v>
      </c>
      <c r="E1798" s="1" t="str">
        <f>"2310"</f>
        <v>2310</v>
      </c>
      <c r="F1798" s="1" t="s">
        <v>4332</v>
      </c>
      <c r="G1798" s="1" t="s">
        <v>4333</v>
      </c>
      <c r="H1798" s="1" t="s">
        <v>15</v>
      </c>
      <c r="I1798" s="1" t="str">
        <f>"1"</f>
        <v>1</v>
      </c>
      <c r="J1798" s="3" t="str">
        <f>"20000"</f>
        <v>20000</v>
      </c>
      <c r="K1798" s="4">
        <v>46084</v>
      </c>
      <c r="L1798" s="4">
        <v>46095</v>
      </c>
      <c r="M1798" s="1" t="s">
        <v>4524</v>
      </c>
      <c r="N1798" s="1" t="s">
        <v>8219</v>
      </c>
    </row>
    <row r="1799" spans="1:14" s="1" customFormat="1" x14ac:dyDescent="0.35">
      <c r="A1799" s="1" t="s">
        <v>4492</v>
      </c>
      <c r="B1799" s="1" t="s">
        <v>73</v>
      </c>
      <c r="C1799" s="1" t="s">
        <v>177</v>
      </c>
      <c r="D1799" s="1" t="s">
        <v>8218</v>
      </c>
      <c r="E1799" s="1" t="str">
        <f>"2320"</f>
        <v>2320</v>
      </c>
      <c r="F1799" s="1" t="str">
        <f>"007529812"</f>
        <v>007529812</v>
      </c>
      <c r="G1799" s="1" t="s">
        <v>2570</v>
      </c>
      <c r="H1799" s="1" t="s">
        <v>15</v>
      </c>
      <c r="I1799" s="1" t="str">
        <f>"1"</f>
        <v>1</v>
      </c>
      <c r="J1799" s="3" t="str">
        <f>"21046"</f>
        <v>21046</v>
      </c>
      <c r="K1799" s="4">
        <v>46090</v>
      </c>
      <c r="L1799" s="4">
        <v>46103</v>
      </c>
      <c r="M1799" s="1" t="s">
        <v>8217</v>
      </c>
      <c r="N1799" s="1" t="s">
        <v>8216</v>
      </c>
    </row>
    <row r="1800" spans="1:14" s="1" customFormat="1" x14ac:dyDescent="0.35">
      <c r="A1800" s="1" t="s">
        <v>4492</v>
      </c>
      <c r="B1800" s="1" t="s">
        <v>1989</v>
      </c>
      <c r="C1800" s="1" t="s">
        <v>2074</v>
      </c>
      <c r="D1800" s="1" t="s">
        <v>8215</v>
      </c>
      <c r="E1800" s="1" t="str">
        <f>"5845"</f>
        <v>5845</v>
      </c>
      <c r="F1800" s="1" t="str">
        <f>"015856680"</f>
        <v>015856680</v>
      </c>
      <c r="G1800" s="1" t="s">
        <v>2841</v>
      </c>
      <c r="H1800" s="1" t="s">
        <v>15</v>
      </c>
      <c r="I1800" s="1" t="str">
        <f>"2"</f>
        <v>2</v>
      </c>
      <c r="J1800" s="3">
        <v>4802.62</v>
      </c>
      <c r="K1800" s="4">
        <v>46078</v>
      </c>
      <c r="L1800" s="4">
        <v>46088</v>
      </c>
      <c r="M1800" s="1" t="s">
        <v>8214</v>
      </c>
      <c r="N1800" s="1" t="s">
        <v>8213</v>
      </c>
    </row>
    <row r="1801" spans="1:14" s="1" customFormat="1" x14ac:dyDescent="0.35">
      <c r="A1801" s="1" t="s">
        <v>4492</v>
      </c>
      <c r="B1801" s="1" t="s">
        <v>692</v>
      </c>
      <c r="C1801" s="1" t="s">
        <v>796</v>
      </c>
      <c r="D1801" s="1" t="s">
        <v>8212</v>
      </c>
      <c r="E1801" s="1" t="str">
        <f>"2920"</f>
        <v>2920</v>
      </c>
      <c r="F1801" s="1" t="s">
        <v>1309</v>
      </c>
      <c r="G1801" s="1" t="s">
        <v>1310</v>
      </c>
      <c r="H1801" s="1" t="s">
        <v>15</v>
      </c>
      <c r="I1801" s="1" t="str">
        <f>"2"</f>
        <v>2</v>
      </c>
      <c r="J1801" s="3" t="str">
        <f>"2905"</f>
        <v>2905</v>
      </c>
      <c r="K1801" s="4">
        <v>46014</v>
      </c>
      <c r="L1801" s="4">
        <v>46034</v>
      </c>
      <c r="M1801" s="1" t="s">
        <v>8211</v>
      </c>
      <c r="N1801" s="1" t="s">
        <v>8210</v>
      </c>
    </row>
    <row r="1802" spans="1:14" s="1" customFormat="1" x14ac:dyDescent="0.35">
      <c r="A1802" s="1" t="s">
        <v>4492</v>
      </c>
      <c r="B1802" s="1" t="s">
        <v>692</v>
      </c>
      <c r="C1802" s="1" t="s">
        <v>796</v>
      </c>
      <c r="D1802" s="1" t="s">
        <v>8209</v>
      </c>
      <c r="E1802" s="1" t="str">
        <f>"5965"</f>
        <v>5965</v>
      </c>
      <c r="F1802" s="1" t="s">
        <v>7497</v>
      </c>
      <c r="G1802" s="1" t="s">
        <v>7496</v>
      </c>
      <c r="H1802" s="1" t="s">
        <v>15</v>
      </c>
      <c r="I1802" s="1" t="str">
        <f>"6"</f>
        <v>6</v>
      </c>
      <c r="J1802" s="3">
        <v>733.58</v>
      </c>
      <c r="K1802" s="4">
        <v>46042</v>
      </c>
      <c r="L1802" s="4">
        <v>46043</v>
      </c>
      <c r="M1802" s="1" t="s">
        <v>4524</v>
      </c>
      <c r="N1802" s="1" t="s">
        <v>8208</v>
      </c>
    </row>
    <row r="1803" spans="1:14" s="1" customFormat="1" x14ac:dyDescent="0.35">
      <c r="A1803" s="1" t="s">
        <v>4492</v>
      </c>
      <c r="B1803" s="1" t="s">
        <v>692</v>
      </c>
      <c r="C1803" s="1" t="s">
        <v>796</v>
      </c>
      <c r="D1803" s="1" t="s">
        <v>8207</v>
      </c>
      <c r="E1803" s="1" t="str">
        <f>"6910"</f>
        <v>6910</v>
      </c>
      <c r="F1803" s="1" t="str">
        <f>"016052207"</f>
        <v>016052207</v>
      </c>
      <c r="G1803" s="1" t="s">
        <v>8206</v>
      </c>
      <c r="H1803" s="1" t="s">
        <v>15</v>
      </c>
      <c r="I1803" s="1" t="str">
        <f>"2"</f>
        <v>2</v>
      </c>
      <c r="J1803" s="3">
        <v>1220.8</v>
      </c>
      <c r="K1803" s="4">
        <v>46043</v>
      </c>
      <c r="L1803" s="4">
        <v>46046</v>
      </c>
      <c r="M1803" s="1" t="s">
        <v>8205</v>
      </c>
      <c r="N1803" s="1" t="s">
        <v>8204</v>
      </c>
    </row>
    <row r="1804" spans="1:14" s="1" customFormat="1" x14ac:dyDescent="0.35">
      <c r="A1804" s="1" t="s">
        <v>4492</v>
      </c>
      <c r="B1804" s="1" t="s">
        <v>692</v>
      </c>
      <c r="C1804" s="1" t="s">
        <v>796</v>
      </c>
      <c r="D1804" s="1" t="s">
        <v>8203</v>
      </c>
      <c r="E1804" s="1" t="str">
        <f>"1240"</f>
        <v>1240</v>
      </c>
      <c r="F1804" s="1" t="str">
        <f>"014111265"</f>
        <v>014111265</v>
      </c>
      <c r="G1804" s="1" t="s">
        <v>71</v>
      </c>
      <c r="H1804" s="1" t="s">
        <v>15</v>
      </c>
      <c r="I1804" s="1" t="str">
        <f>"5"</f>
        <v>5</v>
      </c>
      <c r="J1804" s="3" t="str">
        <f>"339"</f>
        <v>339</v>
      </c>
      <c r="K1804" s="4">
        <v>46056</v>
      </c>
      <c r="L1804" s="4">
        <v>46059</v>
      </c>
      <c r="M1804" s="1" t="s">
        <v>8202</v>
      </c>
      <c r="N1804" s="1" t="s">
        <v>8201</v>
      </c>
    </row>
    <row r="1805" spans="1:14" s="1" customFormat="1" x14ac:dyDescent="0.35">
      <c r="A1805" s="1" t="s">
        <v>4492</v>
      </c>
      <c r="B1805" s="1" t="s">
        <v>692</v>
      </c>
      <c r="C1805" s="1" t="s">
        <v>796</v>
      </c>
      <c r="D1805" s="1" t="s">
        <v>8200</v>
      </c>
      <c r="E1805" s="1" t="str">
        <f>"1240"</f>
        <v>1240</v>
      </c>
      <c r="F1805" s="1" t="str">
        <f>"014111265"</f>
        <v>014111265</v>
      </c>
      <c r="G1805" s="1" t="s">
        <v>71</v>
      </c>
      <c r="H1805" s="1" t="s">
        <v>15</v>
      </c>
      <c r="I1805" s="1" t="str">
        <f>"4"</f>
        <v>4</v>
      </c>
      <c r="J1805" s="3" t="str">
        <f>"339"</f>
        <v>339</v>
      </c>
      <c r="K1805" s="4">
        <v>46059</v>
      </c>
      <c r="L1805" s="4">
        <v>46060</v>
      </c>
      <c r="M1805" s="1" t="s">
        <v>8199</v>
      </c>
      <c r="N1805" s="1" t="s">
        <v>8198</v>
      </c>
    </row>
    <row r="1806" spans="1:14" s="1" customFormat="1" x14ac:dyDescent="0.35">
      <c r="A1806" s="1" t="s">
        <v>4492</v>
      </c>
      <c r="B1806" s="1" t="s">
        <v>2641</v>
      </c>
      <c r="C1806" s="1" t="s">
        <v>2652</v>
      </c>
      <c r="D1806" s="1" t="s">
        <v>8197</v>
      </c>
      <c r="E1806" s="1" t="str">
        <f>"2320"</f>
        <v>2320</v>
      </c>
      <c r="F1806" s="1" t="str">
        <f>"014133739"</f>
        <v>014133739</v>
      </c>
      <c r="G1806" s="1" t="s">
        <v>1860</v>
      </c>
      <c r="H1806" s="1" t="s">
        <v>15</v>
      </c>
      <c r="I1806" s="1" t="str">
        <f>"1"</f>
        <v>1</v>
      </c>
      <c r="J1806" s="3" t="str">
        <f>"192513"</f>
        <v>192513</v>
      </c>
      <c r="K1806" s="4">
        <v>46027</v>
      </c>
      <c r="L1806" s="4">
        <v>46044</v>
      </c>
      <c r="M1806" s="1" t="s">
        <v>8196</v>
      </c>
      <c r="N1806" s="1" t="s">
        <v>8195</v>
      </c>
    </row>
    <row r="1807" spans="1:14" s="1" customFormat="1" x14ac:dyDescent="0.35">
      <c r="A1807" s="1" t="s">
        <v>4492</v>
      </c>
      <c r="B1807" s="1" t="s">
        <v>3268</v>
      </c>
      <c r="C1807" s="1" t="s">
        <v>3322</v>
      </c>
      <c r="D1807" s="1" t="s">
        <v>8194</v>
      </c>
      <c r="E1807" s="1" t="str">
        <f>"2320"</f>
        <v>2320</v>
      </c>
      <c r="F1807" s="1" t="s">
        <v>100</v>
      </c>
      <c r="G1807" s="1" t="s">
        <v>101</v>
      </c>
      <c r="H1807" s="1" t="s">
        <v>15</v>
      </c>
      <c r="I1807" s="1" t="str">
        <f>"1"</f>
        <v>1</v>
      </c>
      <c r="J1807" s="3">
        <v>21545.32</v>
      </c>
      <c r="K1807" s="4">
        <v>46027</v>
      </c>
      <c r="L1807" s="4">
        <v>46069</v>
      </c>
      <c r="M1807" s="1" t="s">
        <v>8193</v>
      </c>
      <c r="N1807" s="1" t="s">
        <v>8192</v>
      </c>
    </row>
    <row r="1808" spans="1:14" s="1" customFormat="1" x14ac:dyDescent="0.35">
      <c r="A1808" s="1" t="s">
        <v>4492</v>
      </c>
      <c r="B1808" s="1" t="s">
        <v>3268</v>
      </c>
      <c r="C1808" s="1" t="s">
        <v>3322</v>
      </c>
      <c r="D1808" s="1" t="s">
        <v>8191</v>
      </c>
      <c r="E1808" s="1" t="str">
        <f>"6230"</f>
        <v>6230</v>
      </c>
      <c r="F1808" s="1" t="s">
        <v>3594</v>
      </c>
      <c r="G1808" s="1" t="s">
        <v>3595</v>
      </c>
      <c r="H1808" s="1" t="s">
        <v>15</v>
      </c>
      <c r="I1808" s="1" t="str">
        <f>"4"</f>
        <v>4</v>
      </c>
      <c r="J1808" s="3" t="str">
        <f>"1000"</f>
        <v>1000</v>
      </c>
      <c r="K1808" s="4">
        <v>46027</v>
      </c>
      <c r="L1808" s="4">
        <v>46028</v>
      </c>
      <c r="M1808" s="1" t="s">
        <v>4524</v>
      </c>
      <c r="N1808" s="1" t="s">
        <v>8190</v>
      </c>
    </row>
    <row r="1809" spans="1:14" s="1" customFormat="1" x14ac:dyDescent="0.35">
      <c r="A1809" s="1" t="s">
        <v>4492</v>
      </c>
      <c r="B1809" s="1" t="s">
        <v>3268</v>
      </c>
      <c r="C1809" s="1" t="s">
        <v>3322</v>
      </c>
      <c r="D1809" s="1" t="s">
        <v>8189</v>
      </c>
      <c r="E1809" s="1" t="str">
        <f>"6720"</f>
        <v>6720</v>
      </c>
      <c r="F1809" s="1" t="s">
        <v>1199</v>
      </c>
      <c r="G1809" s="1" t="s">
        <v>1200</v>
      </c>
      <c r="H1809" s="1" t="s">
        <v>15</v>
      </c>
      <c r="I1809" s="1" t="str">
        <f>"1"</f>
        <v>1</v>
      </c>
      <c r="J1809" s="3" t="str">
        <f>"18000"</f>
        <v>18000</v>
      </c>
      <c r="K1809" s="4">
        <v>46062</v>
      </c>
      <c r="L1809" s="4">
        <v>46074</v>
      </c>
      <c r="M1809" s="1" t="s">
        <v>4524</v>
      </c>
      <c r="N1809" s="1" t="s">
        <v>8188</v>
      </c>
    </row>
    <row r="1810" spans="1:14" s="1" customFormat="1" x14ac:dyDescent="0.35">
      <c r="A1810" s="1" t="s">
        <v>4492</v>
      </c>
      <c r="B1810" s="1" t="s">
        <v>2641</v>
      </c>
      <c r="C1810" s="1" t="s">
        <v>2656</v>
      </c>
      <c r="D1810" s="1" t="s">
        <v>8187</v>
      </c>
      <c r="E1810" s="1" t="str">
        <f>"8150"</f>
        <v>8150</v>
      </c>
      <c r="F1810" s="1" t="s">
        <v>8179</v>
      </c>
      <c r="G1810" s="1" t="s">
        <v>8178</v>
      </c>
      <c r="H1810" s="1" t="s">
        <v>15</v>
      </c>
      <c r="I1810" s="1" t="str">
        <f>"1"</f>
        <v>1</v>
      </c>
      <c r="J1810" s="3" t="str">
        <f>"3600"</f>
        <v>3600</v>
      </c>
      <c r="K1810" s="4">
        <v>46084</v>
      </c>
      <c r="L1810" s="4">
        <v>46087</v>
      </c>
      <c r="M1810" s="1" t="s">
        <v>8186</v>
      </c>
      <c r="N1810" s="1" t="s">
        <v>8185</v>
      </c>
    </row>
    <row r="1811" spans="1:14" s="1" customFormat="1" x14ac:dyDescent="0.35">
      <c r="A1811" s="1" t="s">
        <v>4492</v>
      </c>
      <c r="B1811" s="1" t="s">
        <v>2641</v>
      </c>
      <c r="C1811" s="1" t="s">
        <v>2656</v>
      </c>
      <c r="D1811" s="1" t="s">
        <v>8184</v>
      </c>
      <c r="E1811" s="1" t="str">
        <f>"8465"</f>
        <v>8465</v>
      </c>
      <c r="F1811" s="1" t="str">
        <f>"015196440"</f>
        <v>015196440</v>
      </c>
      <c r="G1811" s="1" t="s">
        <v>8183</v>
      </c>
      <c r="H1811" s="1" t="s">
        <v>15</v>
      </c>
      <c r="I1811" s="1" t="str">
        <f>"1"</f>
        <v>1</v>
      </c>
      <c r="J1811" s="3">
        <v>27.59</v>
      </c>
      <c r="K1811" s="4">
        <v>46098</v>
      </c>
      <c r="L1811" s="4">
        <v>46107</v>
      </c>
      <c r="M1811" s="1" t="s">
        <v>8182</v>
      </c>
      <c r="N1811" s="1" t="s">
        <v>8181</v>
      </c>
    </row>
    <row r="1812" spans="1:14" s="1" customFormat="1" x14ac:dyDescent="0.35">
      <c r="A1812" s="1" t="s">
        <v>4492</v>
      </c>
      <c r="B1812" s="1" t="s">
        <v>2641</v>
      </c>
      <c r="C1812" s="1" t="s">
        <v>2656</v>
      </c>
      <c r="D1812" s="1" t="s">
        <v>8180</v>
      </c>
      <c r="E1812" s="1" t="str">
        <f>"8150"</f>
        <v>8150</v>
      </c>
      <c r="F1812" s="1" t="s">
        <v>8179</v>
      </c>
      <c r="G1812" s="1" t="s">
        <v>8178</v>
      </c>
      <c r="H1812" s="1" t="s">
        <v>15</v>
      </c>
      <c r="I1812" s="1" t="str">
        <f>"1"</f>
        <v>1</v>
      </c>
      <c r="J1812" s="3" t="str">
        <f>"3500"</f>
        <v>3500</v>
      </c>
      <c r="K1812" s="4">
        <v>46098</v>
      </c>
      <c r="L1812" s="4">
        <v>46107</v>
      </c>
      <c r="M1812" s="1" t="s">
        <v>8177</v>
      </c>
      <c r="N1812" s="1" t="s">
        <v>8176</v>
      </c>
    </row>
    <row r="1813" spans="1:14" s="1" customFormat="1" x14ac:dyDescent="0.35">
      <c r="A1813" s="1" t="s">
        <v>4492</v>
      </c>
      <c r="B1813" s="1" t="s">
        <v>2641</v>
      </c>
      <c r="C1813" s="1" t="s">
        <v>2656</v>
      </c>
      <c r="D1813" s="1" t="s">
        <v>8175</v>
      </c>
      <c r="E1813" s="1" t="str">
        <f>"2340"</f>
        <v>2340</v>
      </c>
      <c r="F1813" s="1" t="s">
        <v>1071</v>
      </c>
      <c r="G1813" s="1" t="s">
        <v>1072</v>
      </c>
      <c r="H1813" s="1" t="s">
        <v>15</v>
      </c>
      <c r="I1813" s="1" t="str">
        <f>"1"</f>
        <v>1</v>
      </c>
      <c r="J1813" s="3" t="str">
        <f>"5000"</f>
        <v>5000</v>
      </c>
      <c r="K1813" s="4">
        <v>46098</v>
      </c>
      <c r="L1813" s="4">
        <v>46100</v>
      </c>
      <c r="M1813" s="1" t="s">
        <v>8174</v>
      </c>
      <c r="N1813" s="1" t="s">
        <v>8171</v>
      </c>
    </row>
    <row r="1814" spans="1:14" s="1" customFormat="1" x14ac:dyDescent="0.35">
      <c r="A1814" s="1" t="s">
        <v>4492</v>
      </c>
      <c r="B1814" s="1" t="s">
        <v>2641</v>
      </c>
      <c r="C1814" s="1" t="s">
        <v>2656</v>
      </c>
      <c r="D1814" s="1" t="s">
        <v>8173</v>
      </c>
      <c r="E1814" s="1" t="str">
        <f>"2340"</f>
        <v>2340</v>
      </c>
      <c r="F1814" s="1" t="s">
        <v>1071</v>
      </c>
      <c r="G1814" s="1" t="s">
        <v>1072</v>
      </c>
      <c r="H1814" s="1" t="s">
        <v>15</v>
      </c>
      <c r="I1814" s="1" t="str">
        <f>"1"</f>
        <v>1</v>
      </c>
      <c r="J1814" s="3" t="str">
        <f>"5000"</f>
        <v>5000</v>
      </c>
      <c r="K1814" s="4">
        <v>46098</v>
      </c>
      <c r="L1814" s="4">
        <v>46100</v>
      </c>
      <c r="M1814" s="1" t="s">
        <v>8172</v>
      </c>
      <c r="N1814" s="1" t="s">
        <v>8171</v>
      </c>
    </row>
    <row r="1815" spans="1:14" s="1" customFormat="1" x14ac:dyDescent="0.35">
      <c r="A1815" s="1" t="s">
        <v>4492</v>
      </c>
      <c r="B1815" s="1" t="s">
        <v>2641</v>
      </c>
      <c r="C1815" s="1" t="s">
        <v>2656</v>
      </c>
      <c r="D1815" s="1" t="s">
        <v>8170</v>
      </c>
      <c r="E1815" s="1" t="str">
        <f>"5180"</f>
        <v>5180</v>
      </c>
      <c r="F1815" s="1" t="str">
        <f>"015878129"</f>
        <v>015878129</v>
      </c>
      <c r="G1815" s="1" t="s">
        <v>322</v>
      </c>
      <c r="H1815" s="1" t="s">
        <v>15</v>
      </c>
      <c r="I1815" s="1" t="str">
        <f>"1"</f>
        <v>1</v>
      </c>
      <c r="J1815" s="3">
        <v>1720.12</v>
      </c>
      <c r="K1815" s="4">
        <v>46098</v>
      </c>
      <c r="L1815" s="4">
        <v>46109</v>
      </c>
      <c r="M1815" s="1" t="s">
        <v>8169</v>
      </c>
      <c r="N1815" s="1" t="s">
        <v>8166</v>
      </c>
    </row>
    <row r="1816" spans="1:14" s="1" customFormat="1" x14ac:dyDescent="0.35">
      <c r="A1816" s="1" t="s">
        <v>4492</v>
      </c>
      <c r="B1816" s="1" t="s">
        <v>2641</v>
      </c>
      <c r="C1816" s="1" t="s">
        <v>2656</v>
      </c>
      <c r="D1816" s="1" t="s">
        <v>8168</v>
      </c>
      <c r="E1816" s="1" t="str">
        <f>"5180"</f>
        <v>5180</v>
      </c>
      <c r="F1816" s="1" t="str">
        <f>"015878129"</f>
        <v>015878129</v>
      </c>
      <c r="G1816" s="1" t="s">
        <v>322</v>
      </c>
      <c r="H1816" s="1" t="s">
        <v>15</v>
      </c>
      <c r="I1816" s="1" t="str">
        <f>"2"</f>
        <v>2</v>
      </c>
      <c r="J1816" s="3">
        <v>1720.12</v>
      </c>
      <c r="K1816" s="4">
        <v>46098</v>
      </c>
      <c r="L1816" s="4">
        <v>46109</v>
      </c>
      <c r="M1816" s="1" t="s">
        <v>8167</v>
      </c>
      <c r="N1816" s="1" t="s">
        <v>8166</v>
      </c>
    </row>
    <row r="1817" spans="1:14" s="1" customFormat="1" x14ac:dyDescent="0.35">
      <c r="A1817" s="1" t="s">
        <v>4492</v>
      </c>
      <c r="B1817" s="1" t="s">
        <v>73</v>
      </c>
      <c r="C1817" s="1" t="s">
        <v>8165</v>
      </c>
      <c r="D1817" s="1" t="s">
        <v>8164</v>
      </c>
      <c r="E1817" s="1" t="str">
        <f>"5855"</f>
        <v>5855</v>
      </c>
      <c r="F1817" s="1" t="str">
        <f>"015847217"</f>
        <v>015847217</v>
      </c>
      <c r="G1817" s="1" t="s">
        <v>614</v>
      </c>
      <c r="H1817" s="1" t="s">
        <v>15</v>
      </c>
      <c r="I1817" s="1" t="str">
        <f>"5"</f>
        <v>5</v>
      </c>
      <c r="J1817" s="3" t="str">
        <f>"34084"</f>
        <v>34084</v>
      </c>
      <c r="K1817" s="4">
        <v>46108</v>
      </c>
      <c r="L1817" s="4">
        <v>46110</v>
      </c>
      <c r="M1817" s="1" t="s">
        <v>4524</v>
      </c>
      <c r="N1817" s="1" t="s">
        <v>8163</v>
      </c>
    </row>
    <row r="1818" spans="1:14" s="1" customFormat="1" x14ac:dyDescent="0.35">
      <c r="A1818" s="1" t="s">
        <v>4492</v>
      </c>
      <c r="B1818" s="1" t="s">
        <v>2641</v>
      </c>
      <c r="C1818" s="1" t="s">
        <v>2690</v>
      </c>
      <c r="D1818" s="1" t="s">
        <v>8162</v>
      </c>
      <c r="E1818" s="1" t="str">
        <f>"8340"</f>
        <v>8340</v>
      </c>
      <c r="F1818" s="1" t="str">
        <f>"010266096"</f>
        <v>010266096</v>
      </c>
      <c r="G1818" s="1" t="s">
        <v>8161</v>
      </c>
      <c r="H1818" s="1" t="s">
        <v>15</v>
      </c>
      <c r="I1818" s="1" t="str">
        <f>"14"</f>
        <v>14</v>
      </c>
      <c r="J1818" s="3">
        <v>79.16</v>
      </c>
      <c r="K1818" s="4">
        <v>46023</v>
      </c>
      <c r="L1818" s="4">
        <v>46025</v>
      </c>
      <c r="M1818" s="1" t="s">
        <v>4524</v>
      </c>
      <c r="N1818" s="1" t="s">
        <v>8160</v>
      </c>
    </row>
    <row r="1819" spans="1:14" s="1" customFormat="1" x14ac:dyDescent="0.35">
      <c r="A1819" s="1" t="s">
        <v>4492</v>
      </c>
      <c r="B1819" s="1" t="s">
        <v>2641</v>
      </c>
      <c r="C1819" s="1" t="s">
        <v>2690</v>
      </c>
      <c r="D1819" s="1" t="s">
        <v>8159</v>
      </c>
      <c r="E1819" s="1" t="str">
        <f>"8415"</f>
        <v>8415</v>
      </c>
      <c r="F1819" s="1" t="str">
        <f>"015398176"</f>
        <v>015398176</v>
      </c>
      <c r="G1819" s="1" t="s">
        <v>3003</v>
      </c>
      <c r="H1819" s="1" t="s">
        <v>47</v>
      </c>
      <c r="I1819" s="1" t="str">
        <f>"1"</f>
        <v>1</v>
      </c>
      <c r="J1819" s="3">
        <v>64.31</v>
      </c>
      <c r="K1819" s="4">
        <v>46023</v>
      </c>
      <c r="L1819" s="4">
        <v>46025</v>
      </c>
      <c r="M1819" s="1" t="s">
        <v>4524</v>
      </c>
      <c r="N1819" s="1" t="s">
        <v>8156</v>
      </c>
    </row>
    <row r="1820" spans="1:14" s="1" customFormat="1" x14ac:dyDescent="0.35">
      <c r="A1820" s="1" t="s">
        <v>4492</v>
      </c>
      <c r="B1820" s="1" t="s">
        <v>2641</v>
      </c>
      <c r="C1820" s="1" t="s">
        <v>2690</v>
      </c>
      <c r="D1820" s="1" t="s">
        <v>8158</v>
      </c>
      <c r="E1820" s="1" t="str">
        <f>"8415"</f>
        <v>8415</v>
      </c>
      <c r="F1820" s="1" t="str">
        <f>"002687870"</f>
        <v>002687870</v>
      </c>
      <c r="G1820" s="1" t="s">
        <v>3003</v>
      </c>
      <c r="H1820" s="1" t="s">
        <v>47</v>
      </c>
      <c r="I1820" s="1" t="str">
        <f>"1"</f>
        <v>1</v>
      </c>
      <c r="J1820" s="3">
        <v>37.479999999999997</v>
      </c>
      <c r="K1820" s="4">
        <v>46023</v>
      </c>
      <c r="L1820" s="4">
        <v>46025</v>
      </c>
      <c r="M1820" s="1" t="s">
        <v>4524</v>
      </c>
      <c r="N1820" s="1" t="s">
        <v>8156</v>
      </c>
    </row>
    <row r="1821" spans="1:14" s="1" customFormat="1" x14ac:dyDescent="0.35">
      <c r="A1821" s="1" t="s">
        <v>4492</v>
      </c>
      <c r="B1821" s="1" t="s">
        <v>2641</v>
      </c>
      <c r="C1821" s="1" t="s">
        <v>2690</v>
      </c>
      <c r="D1821" s="1" t="s">
        <v>8157</v>
      </c>
      <c r="E1821" s="1" t="str">
        <f>"8415"</f>
        <v>8415</v>
      </c>
      <c r="F1821" s="1" t="str">
        <f>"015272767"</f>
        <v>015272767</v>
      </c>
      <c r="G1821" s="1" t="s">
        <v>1983</v>
      </c>
      <c r="H1821" s="1" t="s">
        <v>47</v>
      </c>
      <c r="I1821" s="1" t="str">
        <f>"2"</f>
        <v>2</v>
      </c>
      <c r="J1821" s="3">
        <v>41.07</v>
      </c>
      <c r="K1821" s="4">
        <v>46023</v>
      </c>
      <c r="L1821" s="4">
        <v>46025</v>
      </c>
      <c r="M1821" s="1" t="s">
        <v>4524</v>
      </c>
      <c r="N1821" s="1" t="s">
        <v>8156</v>
      </c>
    </row>
    <row r="1822" spans="1:14" s="1" customFormat="1" x14ac:dyDescent="0.35">
      <c r="A1822" s="1" t="s">
        <v>4492</v>
      </c>
      <c r="B1822" s="1" t="s">
        <v>2641</v>
      </c>
      <c r="C1822" s="1" t="s">
        <v>2690</v>
      </c>
      <c r="D1822" s="1" t="s">
        <v>8155</v>
      </c>
      <c r="E1822" s="1" t="str">
        <f>"8415"</f>
        <v>8415</v>
      </c>
      <c r="F1822" s="1" t="str">
        <f>"015386312"</f>
        <v>015386312</v>
      </c>
      <c r="G1822" s="1" t="s">
        <v>2097</v>
      </c>
      <c r="H1822" s="1" t="s">
        <v>15</v>
      </c>
      <c r="I1822" s="1" t="str">
        <f>"1"</f>
        <v>1</v>
      </c>
      <c r="J1822" s="3">
        <v>137.97999999999999</v>
      </c>
      <c r="K1822" s="4">
        <v>46023</v>
      </c>
      <c r="L1822" s="4">
        <v>46025</v>
      </c>
      <c r="M1822" s="1" t="s">
        <v>4524</v>
      </c>
      <c r="N1822" s="1" t="s">
        <v>8150</v>
      </c>
    </row>
    <row r="1823" spans="1:14" s="1" customFormat="1" x14ac:dyDescent="0.35">
      <c r="A1823" s="1" t="s">
        <v>4492</v>
      </c>
      <c r="B1823" s="1" t="s">
        <v>2641</v>
      </c>
      <c r="C1823" s="1" t="s">
        <v>2690</v>
      </c>
      <c r="D1823" s="1" t="s">
        <v>8154</v>
      </c>
      <c r="E1823" s="1" t="str">
        <f>"8415"</f>
        <v>8415</v>
      </c>
      <c r="F1823" s="1" t="str">
        <f>"012281315"</f>
        <v>012281315</v>
      </c>
      <c r="G1823" s="1" t="s">
        <v>781</v>
      </c>
      <c r="H1823" s="1" t="s">
        <v>15</v>
      </c>
      <c r="I1823" s="1" t="str">
        <f>"1"</f>
        <v>1</v>
      </c>
      <c r="J1823" s="3">
        <v>155.33000000000001</v>
      </c>
      <c r="K1823" s="4">
        <v>46023</v>
      </c>
      <c r="L1823" s="4">
        <v>46025</v>
      </c>
      <c r="M1823" s="1" t="s">
        <v>4524</v>
      </c>
      <c r="N1823" s="1" t="s">
        <v>8150</v>
      </c>
    </row>
    <row r="1824" spans="1:14" s="1" customFormat="1" x14ac:dyDescent="0.35">
      <c r="A1824" s="1" t="s">
        <v>4492</v>
      </c>
      <c r="B1824" s="1" t="s">
        <v>2641</v>
      </c>
      <c r="C1824" s="1" t="s">
        <v>2690</v>
      </c>
      <c r="D1824" s="1" t="s">
        <v>8153</v>
      </c>
      <c r="E1824" s="1" t="str">
        <f>"8415"</f>
        <v>8415</v>
      </c>
      <c r="F1824" s="1" t="str">
        <f>"016764684"</f>
        <v>016764684</v>
      </c>
      <c r="G1824" s="1" t="s">
        <v>781</v>
      </c>
      <c r="H1824" s="1" t="s">
        <v>15</v>
      </c>
      <c r="I1824" s="1" t="str">
        <f>"1"</f>
        <v>1</v>
      </c>
      <c r="J1824" s="3">
        <v>171.6</v>
      </c>
      <c r="K1824" s="4">
        <v>46023</v>
      </c>
      <c r="L1824" s="4">
        <v>46025</v>
      </c>
      <c r="M1824" s="1" t="s">
        <v>4524</v>
      </c>
      <c r="N1824" s="1" t="s">
        <v>8150</v>
      </c>
    </row>
    <row r="1825" spans="1:14" s="1" customFormat="1" x14ac:dyDescent="0.35">
      <c r="A1825" s="1" t="s">
        <v>4492</v>
      </c>
      <c r="B1825" s="1" t="s">
        <v>2641</v>
      </c>
      <c r="C1825" s="1" t="s">
        <v>2690</v>
      </c>
      <c r="D1825" s="1" t="s">
        <v>8152</v>
      </c>
      <c r="E1825" s="1" t="str">
        <f>"8415"</f>
        <v>8415</v>
      </c>
      <c r="F1825" s="1" t="str">
        <f>"016073027"</f>
        <v>016073027</v>
      </c>
      <c r="G1825" s="1" t="s">
        <v>8151</v>
      </c>
      <c r="H1825" s="1" t="s">
        <v>15</v>
      </c>
      <c r="I1825" s="1" t="str">
        <f>"2"</f>
        <v>2</v>
      </c>
      <c r="J1825" s="3">
        <v>104.66</v>
      </c>
      <c r="K1825" s="4">
        <v>46023</v>
      </c>
      <c r="L1825" s="4">
        <v>46025</v>
      </c>
      <c r="M1825" s="1" t="s">
        <v>4524</v>
      </c>
      <c r="N1825" s="1" t="s">
        <v>8150</v>
      </c>
    </row>
    <row r="1826" spans="1:14" s="1" customFormat="1" x14ac:dyDescent="0.35">
      <c r="A1826" s="1" t="s">
        <v>4492</v>
      </c>
      <c r="B1826" s="1" t="s">
        <v>2641</v>
      </c>
      <c r="C1826" s="1" t="s">
        <v>2690</v>
      </c>
      <c r="D1826" s="1" t="s">
        <v>8149</v>
      </c>
      <c r="E1826" s="1" t="str">
        <f>"8415"</f>
        <v>8415</v>
      </c>
      <c r="F1826" s="1" t="str">
        <f>"014618337"</f>
        <v>014618337</v>
      </c>
      <c r="G1826" s="1" t="s">
        <v>822</v>
      </c>
      <c r="H1826" s="1" t="s">
        <v>15</v>
      </c>
      <c r="I1826" s="1" t="str">
        <f>"2"</f>
        <v>2</v>
      </c>
      <c r="J1826" s="3">
        <v>58.54</v>
      </c>
      <c r="K1826" s="4">
        <v>46023</v>
      </c>
      <c r="L1826" s="4">
        <v>46025</v>
      </c>
      <c r="M1826" s="1" t="s">
        <v>4524</v>
      </c>
      <c r="N1826" s="1" t="s">
        <v>8144</v>
      </c>
    </row>
    <row r="1827" spans="1:14" s="1" customFormat="1" x14ac:dyDescent="0.35">
      <c r="A1827" s="1" t="s">
        <v>4492</v>
      </c>
      <c r="B1827" s="1" t="s">
        <v>2641</v>
      </c>
      <c r="C1827" s="1" t="s">
        <v>2690</v>
      </c>
      <c r="D1827" s="1" t="s">
        <v>8148</v>
      </c>
      <c r="E1827" s="1" t="str">
        <f>"8415"</f>
        <v>8415</v>
      </c>
      <c r="F1827" s="1" t="str">
        <f>"016411728"</f>
        <v>016411728</v>
      </c>
      <c r="G1827" s="1" t="s">
        <v>3008</v>
      </c>
      <c r="H1827" s="1" t="s">
        <v>15</v>
      </c>
      <c r="I1827" s="1" t="str">
        <f>"4"</f>
        <v>4</v>
      </c>
      <c r="J1827" s="3">
        <v>24.6</v>
      </c>
      <c r="K1827" s="4">
        <v>46023</v>
      </c>
      <c r="L1827" s="4">
        <v>46025</v>
      </c>
      <c r="M1827" s="1" t="s">
        <v>4524</v>
      </c>
      <c r="N1827" s="1" t="s">
        <v>8144</v>
      </c>
    </row>
    <row r="1828" spans="1:14" s="1" customFormat="1" x14ac:dyDescent="0.35">
      <c r="A1828" s="1" t="s">
        <v>4492</v>
      </c>
      <c r="B1828" s="1" t="s">
        <v>2641</v>
      </c>
      <c r="C1828" s="1" t="s">
        <v>2690</v>
      </c>
      <c r="D1828" s="1" t="s">
        <v>8147</v>
      </c>
      <c r="E1828" s="1" t="str">
        <f>"8415"</f>
        <v>8415</v>
      </c>
      <c r="F1828" s="1" t="str">
        <f>"014618337"</f>
        <v>014618337</v>
      </c>
      <c r="G1828" s="1" t="s">
        <v>822</v>
      </c>
      <c r="H1828" s="1" t="s">
        <v>15</v>
      </c>
      <c r="I1828" s="1" t="str">
        <f>"3"</f>
        <v>3</v>
      </c>
      <c r="J1828" s="3">
        <v>58.54</v>
      </c>
      <c r="K1828" s="4">
        <v>46023</v>
      </c>
      <c r="L1828" s="4">
        <v>46025</v>
      </c>
      <c r="M1828" s="1" t="s">
        <v>4524</v>
      </c>
      <c r="N1828" s="1" t="s">
        <v>8144</v>
      </c>
    </row>
    <row r="1829" spans="1:14" s="1" customFormat="1" x14ac:dyDescent="0.35">
      <c r="A1829" s="1" t="s">
        <v>4492</v>
      </c>
      <c r="B1829" s="1" t="s">
        <v>2641</v>
      </c>
      <c r="C1829" s="1" t="s">
        <v>2690</v>
      </c>
      <c r="D1829" s="1" t="s">
        <v>8146</v>
      </c>
      <c r="E1829" s="1" t="str">
        <f>"8415"</f>
        <v>8415</v>
      </c>
      <c r="F1829" s="1" t="str">
        <f>"014726912"</f>
        <v>014726912</v>
      </c>
      <c r="G1829" s="1" t="s">
        <v>8145</v>
      </c>
      <c r="H1829" s="1" t="s">
        <v>15</v>
      </c>
      <c r="I1829" s="1" t="str">
        <f>"4"</f>
        <v>4</v>
      </c>
      <c r="J1829" s="3" t="str">
        <f>"42"</f>
        <v>42</v>
      </c>
      <c r="K1829" s="4">
        <v>46023</v>
      </c>
      <c r="L1829" s="4">
        <v>46025</v>
      </c>
      <c r="M1829" s="1" t="s">
        <v>4524</v>
      </c>
      <c r="N1829" s="1" t="s">
        <v>8144</v>
      </c>
    </row>
    <row r="1830" spans="1:14" s="1" customFormat="1" x14ac:dyDescent="0.35">
      <c r="A1830" s="1" t="s">
        <v>4492</v>
      </c>
      <c r="B1830" s="1" t="s">
        <v>2641</v>
      </c>
      <c r="C1830" s="1" t="s">
        <v>2690</v>
      </c>
      <c r="D1830" s="1" t="s">
        <v>8143</v>
      </c>
      <c r="E1830" s="1" t="str">
        <f>"8465"</f>
        <v>8465</v>
      </c>
      <c r="F1830" s="1" t="str">
        <f>"015800981"</f>
        <v>015800981</v>
      </c>
      <c r="G1830" s="1" t="s">
        <v>343</v>
      </c>
      <c r="H1830" s="1" t="s">
        <v>15</v>
      </c>
      <c r="I1830" s="1" t="str">
        <f>"4"</f>
        <v>4</v>
      </c>
      <c r="J1830" s="3">
        <v>75.150000000000006</v>
      </c>
      <c r="K1830" s="4">
        <v>46023</v>
      </c>
      <c r="L1830" s="4">
        <v>46025</v>
      </c>
      <c r="M1830" s="1" t="s">
        <v>4524</v>
      </c>
      <c r="N1830" s="1" t="s">
        <v>8142</v>
      </c>
    </row>
    <row r="1831" spans="1:14" s="1" customFormat="1" x14ac:dyDescent="0.35">
      <c r="A1831" s="1" t="s">
        <v>4492</v>
      </c>
      <c r="B1831" s="1" t="s">
        <v>2641</v>
      </c>
      <c r="C1831" s="1" t="s">
        <v>2690</v>
      </c>
      <c r="D1831" s="1" t="s">
        <v>8141</v>
      </c>
      <c r="E1831" s="1" t="str">
        <f>"8430"</f>
        <v>8430</v>
      </c>
      <c r="F1831" s="1" t="str">
        <f>"015400469"</f>
        <v>015400469</v>
      </c>
      <c r="G1831" s="1" t="s">
        <v>2366</v>
      </c>
      <c r="H1831" s="1" t="s">
        <v>47</v>
      </c>
      <c r="I1831" s="1" t="str">
        <f>"4"</f>
        <v>4</v>
      </c>
      <c r="J1831" s="3">
        <v>98.39</v>
      </c>
      <c r="K1831" s="4">
        <v>46023</v>
      </c>
      <c r="L1831" s="4">
        <v>46025</v>
      </c>
      <c r="M1831" s="1" t="s">
        <v>4524</v>
      </c>
      <c r="N1831" s="1" t="s">
        <v>8122</v>
      </c>
    </row>
    <row r="1832" spans="1:14" s="1" customFormat="1" x14ac:dyDescent="0.35">
      <c r="A1832" s="1" t="s">
        <v>4492</v>
      </c>
      <c r="B1832" s="1" t="s">
        <v>2641</v>
      </c>
      <c r="C1832" s="1" t="s">
        <v>2690</v>
      </c>
      <c r="D1832" s="1" t="s">
        <v>8140</v>
      </c>
      <c r="E1832" s="1" t="str">
        <f>"8430"</f>
        <v>8430</v>
      </c>
      <c r="F1832" s="1" t="str">
        <f>"015359769"</f>
        <v>015359769</v>
      </c>
      <c r="G1832" s="1" t="s">
        <v>2366</v>
      </c>
      <c r="H1832" s="1" t="s">
        <v>47</v>
      </c>
      <c r="I1832" s="1" t="str">
        <f>"2"</f>
        <v>2</v>
      </c>
      <c r="J1832" s="3">
        <v>135.72999999999999</v>
      </c>
      <c r="K1832" s="4">
        <v>46023</v>
      </c>
      <c r="L1832" s="4">
        <v>46025</v>
      </c>
      <c r="M1832" s="1" t="s">
        <v>4524</v>
      </c>
      <c r="N1832" s="1" t="s">
        <v>8122</v>
      </c>
    </row>
    <row r="1833" spans="1:14" s="1" customFormat="1" x14ac:dyDescent="0.35">
      <c r="A1833" s="1" t="s">
        <v>4492</v>
      </c>
      <c r="B1833" s="1" t="s">
        <v>2641</v>
      </c>
      <c r="C1833" s="1" t="s">
        <v>2690</v>
      </c>
      <c r="D1833" s="1" t="s">
        <v>8139</v>
      </c>
      <c r="E1833" s="1" t="str">
        <f>"8340"</f>
        <v>8340</v>
      </c>
      <c r="F1833" s="1" t="str">
        <f>"016728427"</f>
        <v>016728427</v>
      </c>
      <c r="G1833" s="1" t="s">
        <v>2958</v>
      </c>
      <c r="H1833" s="1" t="s">
        <v>15</v>
      </c>
      <c r="I1833" s="1" t="str">
        <f>"1"</f>
        <v>1</v>
      </c>
      <c r="J1833" s="3">
        <v>152.96</v>
      </c>
      <c r="K1833" s="4">
        <v>46023</v>
      </c>
      <c r="L1833" s="4">
        <v>46025</v>
      </c>
      <c r="M1833" s="1" t="s">
        <v>4524</v>
      </c>
      <c r="N1833" s="1" t="s">
        <v>8138</v>
      </c>
    </row>
    <row r="1834" spans="1:14" s="1" customFormat="1" x14ac:dyDescent="0.35">
      <c r="A1834" s="1" t="s">
        <v>4492</v>
      </c>
      <c r="B1834" s="1" t="s">
        <v>2641</v>
      </c>
      <c r="C1834" s="1" t="s">
        <v>2690</v>
      </c>
      <c r="D1834" s="1" t="s">
        <v>8137</v>
      </c>
      <c r="E1834" s="1" t="str">
        <f>"8415"</f>
        <v>8415</v>
      </c>
      <c r="F1834" s="1" t="str">
        <f>"015597322"</f>
        <v>015597322</v>
      </c>
      <c r="G1834" s="1" t="s">
        <v>8136</v>
      </c>
      <c r="H1834" s="1" t="s">
        <v>47</v>
      </c>
      <c r="I1834" s="1" t="str">
        <f>"22"</f>
        <v>22</v>
      </c>
      <c r="J1834" s="3">
        <v>15.18</v>
      </c>
      <c r="K1834" s="4">
        <v>46023</v>
      </c>
      <c r="L1834" s="4">
        <v>46025</v>
      </c>
      <c r="M1834" s="1" t="s">
        <v>4524</v>
      </c>
      <c r="N1834" s="1" t="s">
        <v>8135</v>
      </c>
    </row>
    <row r="1835" spans="1:14" s="1" customFormat="1" x14ac:dyDescent="0.35">
      <c r="A1835" s="1" t="s">
        <v>4492</v>
      </c>
      <c r="B1835" s="1" t="s">
        <v>2641</v>
      </c>
      <c r="C1835" s="1" t="s">
        <v>2690</v>
      </c>
      <c r="D1835" s="1" t="s">
        <v>8134</v>
      </c>
      <c r="E1835" s="1" t="str">
        <f>"8415"</f>
        <v>8415</v>
      </c>
      <c r="F1835" s="1" t="str">
        <f>"015580890"</f>
        <v>015580890</v>
      </c>
      <c r="G1835" s="1" t="s">
        <v>6430</v>
      </c>
      <c r="H1835" s="1" t="s">
        <v>15</v>
      </c>
      <c r="I1835" s="1" t="str">
        <f>"2"</f>
        <v>2</v>
      </c>
      <c r="J1835" s="3">
        <v>122.95</v>
      </c>
      <c r="K1835" s="4">
        <v>46023</v>
      </c>
      <c r="L1835" s="4">
        <v>46025</v>
      </c>
      <c r="M1835" s="1" t="s">
        <v>4524</v>
      </c>
      <c r="N1835" s="1" t="s">
        <v>8133</v>
      </c>
    </row>
    <row r="1836" spans="1:14" s="1" customFormat="1" x14ac:dyDescent="0.35">
      <c r="A1836" s="1" t="s">
        <v>4492</v>
      </c>
      <c r="B1836" s="1" t="s">
        <v>2641</v>
      </c>
      <c r="C1836" s="1" t="s">
        <v>2690</v>
      </c>
      <c r="D1836" s="1" t="s">
        <v>8132</v>
      </c>
      <c r="E1836" s="1" t="str">
        <f>"8465"</f>
        <v>8465</v>
      </c>
      <c r="F1836" s="1" t="str">
        <f>"013969926"</f>
        <v>013969926</v>
      </c>
      <c r="G1836" s="1" t="s">
        <v>8131</v>
      </c>
      <c r="H1836" s="1" t="s">
        <v>15</v>
      </c>
      <c r="I1836" s="1" t="str">
        <f>"3"</f>
        <v>3</v>
      </c>
      <c r="J1836" s="3">
        <v>78.95</v>
      </c>
      <c r="K1836" s="4">
        <v>46023</v>
      </c>
      <c r="L1836" s="4">
        <v>46025</v>
      </c>
      <c r="M1836" s="1" t="s">
        <v>4524</v>
      </c>
      <c r="N1836" s="1" t="s">
        <v>8130</v>
      </c>
    </row>
    <row r="1837" spans="1:14" s="1" customFormat="1" x14ac:dyDescent="0.35">
      <c r="A1837" s="1" t="s">
        <v>4492</v>
      </c>
      <c r="B1837" s="1" t="s">
        <v>2641</v>
      </c>
      <c r="C1837" s="1" t="s">
        <v>2690</v>
      </c>
      <c r="D1837" s="1" t="s">
        <v>8129</v>
      </c>
      <c r="E1837" s="1" t="str">
        <f>"8465"</f>
        <v>8465</v>
      </c>
      <c r="F1837" s="1" t="str">
        <f>"015472670"</f>
        <v>015472670</v>
      </c>
      <c r="G1837" s="1" t="s">
        <v>8127</v>
      </c>
      <c r="H1837" s="1" t="s">
        <v>15</v>
      </c>
      <c r="I1837" s="1" t="str">
        <f>"27"</f>
        <v>27</v>
      </c>
      <c r="J1837" s="3">
        <v>19.27</v>
      </c>
      <c r="K1837" s="4">
        <v>46023</v>
      </c>
      <c r="L1837" s="4">
        <v>46025</v>
      </c>
      <c r="M1837" s="1" t="s">
        <v>4524</v>
      </c>
      <c r="N1837" s="1" t="s">
        <v>8126</v>
      </c>
    </row>
    <row r="1838" spans="1:14" s="1" customFormat="1" x14ac:dyDescent="0.35">
      <c r="A1838" s="1" t="s">
        <v>4492</v>
      </c>
      <c r="B1838" s="1" t="s">
        <v>2641</v>
      </c>
      <c r="C1838" s="1" t="s">
        <v>2690</v>
      </c>
      <c r="D1838" s="1" t="s">
        <v>8128</v>
      </c>
      <c r="E1838" s="1" t="str">
        <f>"8465"</f>
        <v>8465</v>
      </c>
      <c r="F1838" s="1" t="str">
        <f>"015472656"</f>
        <v>015472656</v>
      </c>
      <c r="G1838" s="1" t="s">
        <v>8127</v>
      </c>
      <c r="H1838" s="1" t="s">
        <v>15</v>
      </c>
      <c r="I1838" s="1" t="str">
        <f>"37"</f>
        <v>37</v>
      </c>
      <c r="J1838" s="3">
        <v>14.43</v>
      </c>
      <c r="K1838" s="4">
        <v>46023</v>
      </c>
      <c r="L1838" s="4">
        <v>46025</v>
      </c>
      <c r="M1838" s="1" t="s">
        <v>4524</v>
      </c>
      <c r="N1838" s="1" t="s">
        <v>8126</v>
      </c>
    </row>
    <row r="1839" spans="1:14" s="1" customFormat="1" x14ac:dyDescent="0.35">
      <c r="A1839" s="1" t="s">
        <v>4492</v>
      </c>
      <c r="B1839" s="1" t="s">
        <v>2641</v>
      </c>
      <c r="C1839" s="1" t="s">
        <v>2690</v>
      </c>
      <c r="D1839" s="1" t="s">
        <v>8125</v>
      </c>
      <c r="E1839" s="1" t="str">
        <f>"8430"</f>
        <v>8430</v>
      </c>
      <c r="F1839" s="1" t="str">
        <f>"016943672"</f>
        <v>016943672</v>
      </c>
      <c r="G1839" s="1" t="s">
        <v>2366</v>
      </c>
      <c r="H1839" s="1" t="s">
        <v>47</v>
      </c>
      <c r="I1839" s="1" t="str">
        <f>"10"</f>
        <v>10</v>
      </c>
      <c r="J1839" s="3">
        <v>157.69</v>
      </c>
      <c r="K1839" s="4">
        <v>46023</v>
      </c>
      <c r="L1839" s="4">
        <v>46025</v>
      </c>
      <c r="M1839" s="1" t="s">
        <v>4524</v>
      </c>
      <c r="N1839" s="1" t="s">
        <v>8122</v>
      </c>
    </row>
    <row r="1840" spans="1:14" s="1" customFormat="1" x14ac:dyDescent="0.35">
      <c r="A1840" s="1" t="s">
        <v>4492</v>
      </c>
      <c r="B1840" s="1" t="s">
        <v>2641</v>
      </c>
      <c r="C1840" s="1" t="s">
        <v>2690</v>
      </c>
      <c r="D1840" s="1" t="s">
        <v>8124</v>
      </c>
      <c r="E1840" s="1" t="str">
        <f>"8430"</f>
        <v>8430</v>
      </c>
      <c r="F1840" s="1" t="str">
        <f>"015416131"</f>
        <v>015416131</v>
      </c>
      <c r="G1840" s="1" t="s">
        <v>2366</v>
      </c>
      <c r="H1840" s="1" t="s">
        <v>47</v>
      </c>
      <c r="I1840" s="1" t="str">
        <f>"1"</f>
        <v>1</v>
      </c>
      <c r="J1840" s="3">
        <v>78.23</v>
      </c>
      <c r="K1840" s="4">
        <v>46023</v>
      </c>
      <c r="L1840" s="4">
        <v>46025</v>
      </c>
      <c r="M1840" s="1" t="s">
        <v>4524</v>
      </c>
      <c r="N1840" s="1" t="s">
        <v>8122</v>
      </c>
    </row>
    <row r="1841" spans="1:14" s="1" customFormat="1" x14ac:dyDescent="0.35">
      <c r="A1841" s="1" t="s">
        <v>4492</v>
      </c>
      <c r="B1841" s="1" t="s">
        <v>2641</v>
      </c>
      <c r="C1841" s="1" t="s">
        <v>2690</v>
      </c>
      <c r="D1841" s="1" t="s">
        <v>8123</v>
      </c>
      <c r="E1841" s="1" t="str">
        <f>"8430"</f>
        <v>8430</v>
      </c>
      <c r="F1841" s="1" t="str">
        <f>"016943672"</f>
        <v>016943672</v>
      </c>
      <c r="G1841" s="1" t="s">
        <v>2366</v>
      </c>
      <c r="H1841" s="1" t="s">
        <v>47</v>
      </c>
      <c r="I1841" s="1" t="str">
        <f>"9"</f>
        <v>9</v>
      </c>
      <c r="J1841" s="3">
        <v>157.69</v>
      </c>
      <c r="K1841" s="4">
        <v>46023</v>
      </c>
      <c r="L1841" s="4">
        <v>46025</v>
      </c>
      <c r="M1841" s="1" t="s">
        <v>4524</v>
      </c>
      <c r="N1841" s="1" t="s">
        <v>8122</v>
      </c>
    </row>
    <row r="1842" spans="1:14" s="1" customFormat="1" x14ac:dyDescent="0.35">
      <c r="A1842" s="1" t="s">
        <v>4492</v>
      </c>
      <c r="B1842" s="1" t="s">
        <v>2641</v>
      </c>
      <c r="C1842" s="1" t="s">
        <v>2690</v>
      </c>
      <c r="D1842" s="1" t="s">
        <v>8121</v>
      </c>
      <c r="E1842" s="1" t="str">
        <f>"8405"</f>
        <v>8405</v>
      </c>
      <c r="F1842" s="1" t="str">
        <f>"015472555"</f>
        <v>015472555</v>
      </c>
      <c r="G1842" s="1" t="s">
        <v>5064</v>
      </c>
      <c r="H1842" s="1" t="s">
        <v>15</v>
      </c>
      <c r="I1842" s="1" t="str">
        <f>"34"</f>
        <v>34</v>
      </c>
      <c r="J1842" s="3">
        <v>63.02</v>
      </c>
      <c r="K1842" s="4">
        <v>46023</v>
      </c>
      <c r="L1842" s="4">
        <v>46025</v>
      </c>
      <c r="M1842" s="1" t="s">
        <v>4524</v>
      </c>
      <c r="N1842" s="1" t="s">
        <v>8119</v>
      </c>
    </row>
    <row r="1843" spans="1:14" s="1" customFormat="1" x14ac:dyDescent="0.35">
      <c r="A1843" s="1" t="s">
        <v>4492</v>
      </c>
      <c r="B1843" s="1" t="s">
        <v>2641</v>
      </c>
      <c r="C1843" s="1" t="s">
        <v>2690</v>
      </c>
      <c r="D1843" s="1" t="s">
        <v>8120</v>
      </c>
      <c r="E1843" s="1" t="str">
        <f>"8405"</f>
        <v>8405</v>
      </c>
      <c r="F1843" s="1" t="str">
        <f>"015472559"</f>
        <v>015472559</v>
      </c>
      <c r="G1843" s="1" t="s">
        <v>893</v>
      </c>
      <c r="H1843" s="1" t="s">
        <v>15</v>
      </c>
      <c r="I1843" s="1" t="str">
        <f>"23"</f>
        <v>23</v>
      </c>
      <c r="J1843" s="3">
        <v>38.4</v>
      </c>
      <c r="K1843" s="4">
        <v>46023</v>
      </c>
      <c r="L1843" s="4">
        <v>46025</v>
      </c>
      <c r="M1843" s="1" t="s">
        <v>4524</v>
      </c>
      <c r="N1843" s="1" t="s">
        <v>8119</v>
      </c>
    </row>
    <row r="1844" spans="1:14" s="1" customFormat="1" x14ac:dyDescent="0.35">
      <c r="A1844" s="1" t="s">
        <v>4492</v>
      </c>
      <c r="B1844" s="1" t="s">
        <v>2641</v>
      </c>
      <c r="C1844" s="1" t="s">
        <v>2690</v>
      </c>
      <c r="D1844" s="1" t="s">
        <v>8118</v>
      </c>
      <c r="E1844" s="1" t="str">
        <f>"8465"</f>
        <v>8465</v>
      </c>
      <c r="F1844" s="1" t="str">
        <f>"013936515"</f>
        <v>013936515</v>
      </c>
      <c r="G1844" s="1" t="s">
        <v>975</v>
      </c>
      <c r="H1844" s="1" t="s">
        <v>15</v>
      </c>
      <c r="I1844" s="1" t="str">
        <f>"19"</f>
        <v>19</v>
      </c>
      <c r="J1844" s="3">
        <v>68.81</v>
      </c>
      <c r="K1844" s="4">
        <v>46023</v>
      </c>
      <c r="L1844" s="4">
        <v>46025</v>
      </c>
      <c r="M1844" s="1" t="s">
        <v>4524</v>
      </c>
      <c r="N1844" s="1" t="s">
        <v>8114</v>
      </c>
    </row>
    <row r="1845" spans="1:14" s="1" customFormat="1" x14ac:dyDescent="0.35">
      <c r="A1845" s="1" t="s">
        <v>4492</v>
      </c>
      <c r="B1845" s="1" t="s">
        <v>2641</v>
      </c>
      <c r="C1845" s="1" t="s">
        <v>2690</v>
      </c>
      <c r="D1845" s="1" t="s">
        <v>8117</v>
      </c>
      <c r="E1845" s="1" t="str">
        <f>"8465"</f>
        <v>8465</v>
      </c>
      <c r="F1845" s="1" t="str">
        <f>"015472706"</f>
        <v>015472706</v>
      </c>
      <c r="G1845" s="1" t="s">
        <v>1961</v>
      </c>
      <c r="H1845" s="1" t="s">
        <v>15</v>
      </c>
      <c r="I1845" s="1" t="str">
        <f>"17"</f>
        <v>17</v>
      </c>
      <c r="J1845" s="3">
        <v>68.84</v>
      </c>
      <c r="K1845" s="4">
        <v>46023</v>
      </c>
      <c r="L1845" s="4">
        <v>46025</v>
      </c>
      <c r="M1845" s="1" t="s">
        <v>4524</v>
      </c>
      <c r="N1845" s="1" t="s">
        <v>8114</v>
      </c>
    </row>
    <row r="1846" spans="1:14" s="1" customFormat="1" x14ac:dyDescent="0.35">
      <c r="A1846" s="1" t="s">
        <v>4492</v>
      </c>
      <c r="B1846" s="1" t="s">
        <v>2641</v>
      </c>
      <c r="C1846" s="1" t="s">
        <v>2690</v>
      </c>
      <c r="D1846" s="1" t="s">
        <v>8116</v>
      </c>
      <c r="E1846" s="1" t="str">
        <f>"8340"</f>
        <v>8340</v>
      </c>
      <c r="F1846" s="1" t="str">
        <f>"015216438"</f>
        <v>015216438</v>
      </c>
      <c r="G1846" s="1" t="s">
        <v>8115</v>
      </c>
      <c r="H1846" s="1" t="s">
        <v>15</v>
      </c>
      <c r="I1846" s="1" t="str">
        <f>"29"</f>
        <v>29</v>
      </c>
      <c r="J1846" s="3">
        <v>383.11</v>
      </c>
      <c r="K1846" s="4">
        <v>46023</v>
      </c>
      <c r="L1846" s="4">
        <v>46025</v>
      </c>
      <c r="M1846" s="1" t="s">
        <v>4524</v>
      </c>
      <c r="N1846" s="1" t="s">
        <v>8114</v>
      </c>
    </row>
    <row r="1847" spans="1:14" s="1" customFormat="1" x14ac:dyDescent="0.35">
      <c r="A1847" s="1" t="s">
        <v>4492</v>
      </c>
      <c r="B1847" s="1" t="s">
        <v>2641</v>
      </c>
      <c r="C1847" s="1" t="s">
        <v>2690</v>
      </c>
      <c r="D1847" s="1" t="s">
        <v>8113</v>
      </c>
      <c r="E1847" s="1" t="str">
        <f>"8465"</f>
        <v>8465</v>
      </c>
      <c r="F1847" s="1" t="str">
        <f>"015472644"</f>
        <v>015472644</v>
      </c>
      <c r="G1847" s="1" t="s">
        <v>3250</v>
      </c>
      <c r="H1847" s="1" t="s">
        <v>15</v>
      </c>
      <c r="I1847" s="1" t="str">
        <f>"25"</f>
        <v>25</v>
      </c>
      <c r="J1847" s="3">
        <v>131.53</v>
      </c>
      <c r="K1847" s="4">
        <v>46023</v>
      </c>
      <c r="L1847" s="4">
        <v>46025</v>
      </c>
      <c r="M1847" s="1" t="s">
        <v>4524</v>
      </c>
      <c r="N1847" s="1" t="s">
        <v>8112</v>
      </c>
    </row>
    <row r="1848" spans="1:14" s="1" customFormat="1" x14ac:dyDescent="0.35">
      <c r="A1848" s="1" t="s">
        <v>4492</v>
      </c>
      <c r="B1848" s="1" t="s">
        <v>2641</v>
      </c>
      <c r="C1848" s="1" t="s">
        <v>2690</v>
      </c>
      <c r="D1848" s="1" t="s">
        <v>8111</v>
      </c>
      <c r="E1848" s="1" t="str">
        <f>"3930"</f>
        <v>3930</v>
      </c>
      <c r="F1848" s="1" t="s">
        <v>95</v>
      </c>
      <c r="G1848" s="1" t="s">
        <v>96</v>
      </c>
      <c r="H1848" s="1" t="s">
        <v>15</v>
      </c>
      <c r="I1848" s="1" t="str">
        <f>"1"</f>
        <v>1</v>
      </c>
      <c r="J1848" s="3">
        <v>20970.8</v>
      </c>
      <c r="K1848" s="4">
        <v>46020</v>
      </c>
      <c r="L1848" s="4">
        <v>46043</v>
      </c>
      <c r="M1848" s="1" t="s">
        <v>8110</v>
      </c>
      <c r="N1848" s="1" t="s">
        <v>2719</v>
      </c>
    </row>
    <row r="1849" spans="1:14" s="1" customFormat="1" x14ac:dyDescent="0.35">
      <c r="A1849" s="1" t="s">
        <v>4492</v>
      </c>
      <c r="B1849" s="1" t="s">
        <v>2641</v>
      </c>
      <c r="C1849" s="1" t="s">
        <v>2690</v>
      </c>
      <c r="D1849" s="1" t="s">
        <v>8109</v>
      </c>
      <c r="E1849" s="1" t="str">
        <f>"3930"</f>
        <v>3930</v>
      </c>
      <c r="F1849" s="1" t="s">
        <v>95</v>
      </c>
      <c r="G1849" s="1" t="s">
        <v>96</v>
      </c>
      <c r="H1849" s="1" t="s">
        <v>15</v>
      </c>
      <c r="I1849" s="1" t="str">
        <f>"1"</f>
        <v>1</v>
      </c>
      <c r="J1849" s="3" t="str">
        <f>"37157"</f>
        <v>37157</v>
      </c>
      <c r="K1849" s="4">
        <v>46020</v>
      </c>
      <c r="L1849" s="4">
        <v>46027</v>
      </c>
      <c r="M1849" s="1" t="s">
        <v>8108</v>
      </c>
      <c r="N1849" s="1" t="s">
        <v>2719</v>
      </c>
    </row>
    <row r="1850" spans="1:14" s="1" customFormat="1" x14ac:dyDescent="0.35">
      <c r="A1850" s="1" t="s">
        <v>4492</v>
      </c>
      <c r="B1850" s="1" t="s">
        <v>2641</v>
      </c>
      <c r="C1850" s="1" t="s">
        <v>2690</v>
      </c>
      <c r="D1850" s="1" t="s">
        <v>8107</v>
      </c>
      <c r="E1850" s="1" t="str">
        <f>"3930"</f>
        <v>3930</v>
      </c>
      <c r="F1850" s="1" t="s">
        <v>95</v>
      </c>
      <c r="G1850" s="1" t="s">
        <v>96</v>
      </c>
      <c r="H1850" s="1" t="s">
        <v>15</v>
      </c>
      <c r="I1850" s="1" t="str">
        <f>"1"</f>
        <v>1</v>
      </c>
      <c r="J1850" s="3" t="str">
        <f>"37157"</f>
        <v>37157</v>
      </c>
      <c r="K1850" s="4">
        <v>46020</v>
      </c>
      <c r="L1850" s="4">
        <v>46043</v>
      </c>
      <c r="M1850" s="1" t="s">
        <v>8106</v>
      </c>
      <c r="N1850" s="1" t="s">
        <v>2719</v>
      </c>
    </row>
    <row r="1851" spans="1:14" s="1" customFormat="1" x14ac:dyDescent="0.35">
      <c r="A1851" s="1" t="s">
        <v>4492</v>
      </c>
      <c r="B1851" s="1" t="s">
        <v>2641</v>
      </c>
      <c r="C1851" s="1" t="s">
        <v>2690</v>
      </c>
      <c r="D1851" s="1" t="s">
        <v>8105</v>
      </c>
      <c r="E1851" s="1" t="str">
        <f>"7830"</f>
        <v>7830</v>
      </c>
      <c r="F1851" s="1" t="s">
        <v>2167</v>
      </c>
      <c r="G1851" s="1" t="s">
        <v>2168</v>
      </c>
      <c r="H1851" s="1" t="s">
        <v>15</v>
      </c>
      <c r="I1851" s="1" t="str">
        <f>"1"</f>
        <v>1</v>
      </c>
      <c r="J1851" s="3" t="str">
        <f>"800"</f>
        <v>800</v>
      </c>
      <c r="K1851" s="4">
        <v>46027</v>
      </c>
      <c r="L1851" s="4">
        <v>46044</v>
      </c>
      <c r="M1851" s="1" t="s">
        <v>8104</v>
      </c>
      <c r="N1851" s="1" t="s">
        <v>8103</v>
      </c>
    </row>
    <row r="1852" spans="1:14" s="1" customFormat="1" x14ac:dyDescent="0.35">
      <c r="A1852" s="1" t="s">
        <v>4492</v>
      </c>
      <c r="B1852" s="1" t="s">
        <v>2641</v>
      </c>
      <c r="C1852" s="1" t="s">
        <v>2690</v>
      </c>
      <c r="D1852" s="1" t="s">
        <v>8102</v>
      </c>
      <c r="E1852" s="1" t="str">
        <f>"4520"</f>
        <v>4520</v>
      </c>
      <c r="F1852" s="1" t="str">
        <f>"014318927"</f>
        <v>014318927</v>
      </c>
      <c r="G1852" s="1" t="s">
        <v>138</v>
      </c>
      <c r="H1852" s="1" t="s">
        <v>15</v>
      </c>
      <c r="I1852" s="1" t="str">
        <f>"6"</f>
        <v>6</v>
      </c>
      <c r="J1852" s="3">
        <v>16718.580000000002</v>
      </c>
      <c r="K1852" s="4">
        <v>46035</v>
      </c>
      <c r="L1852" s="4">
        <v>46044</v>
      </c>
      <c r="M1852" s="1" t="s">
        <v>8101</v>
      </c>
      <c r="N1852" s="1" t="s">
        <v>8100</v>
      </c>
    </row>
    <row r="1853" spans="1:14" s="1" customFormat="1" x14ac:dyDescent="0.35">
      <c r="A1853" s="1" t="s">
        <v>4492</v>
      </c>
      <c r="B1853" s="1" t="s">
        <v>2641</v>
      </c>
      <c r="C1853" s="1" t="s">
        <v>2690</v>
      </c>
      <c r="D1853" s="1" t="s">
        <v>8099</v>
      </c>
      <c r="E1853" s="1" t="str">
        <f>"5140"</f>
        <v>5140</v>
      </c>
      <c r="F1853" s="1" t="str">
        <f>"014408588"</f>
        <v>014408588</v>
      </c>
      <c r="G1853" s="1" t="s">
        <v>592</v>
      </c>
      <c r="H1853" s="1" t="s">
        <v>15</v>
      </c>
      <c r="I1853" s="1" t="str">
        <f>"1"</f>
        <v>1</v>
      </c>
      <c r="J1853" s="3">
        <v>2326.9699999999998</v>
      </c>
      <c r="K1853" s="4">
        <v>46033</v>
      </c>
      <c r="L1853" s="4">
        <v>46064</v>
      </c>
      <c r="M1853" s="1" t="s">
        <v>8098</v>
      </c>
      <c r="N1853" s="1" t="s">
        <v>2756</v>
      </c>
    </row>
    <row r="1854" spans="1:14" s="1" customFormat="1" x14ac:dyDescent="0.35">
      <c r="A1854" s="1" t="s">
        <v>4492</v>
      </c>
      <c r="B1854" s="1" t="s">
        <v>2641</v>
      </c>
      <c r="C1854" s="1" t="s">
        <v>2690</v>
      </c>
      <c r="D1854" s="1" t="s">
        <v>8097</v>
      </c>
      <c r="E1854" s="1" t="str">
        <f>"5140"</f>
        <v>5140</v>
      </c>
      <c r="F1854" s="1" t="str">
        <f>"014408588"</f>
        <v>014408588</v>
      </c>
      <c r="G1854" s="1" t="s">
        <v>592</v>
      </c>
      <c r="H1854" s="1" t="s">
        <v>15</v>
      </c>
      <c r="I1854" s="1" t="str">
        <f>"1"</f>
        <v>1</v>
      </c>
      <c r="J1854" s="3">
        <v>2326.9699999999998</v>
      </c>
      <c r="K1854" s="4">
        <v>46033</v>
      </c>
      <c r="L1854" s="4">
        <v>46064</v>
      </c>
      <c r="M1854" s="1" t="s">
        <v>8096</v>
      </c>
      <c r="N1854" s="1" t="s">
        <v>2756</v>
      </c>
    </row>
    <row r="1855" spans="1:14" s="1" customFormat="1" x14ac:dyDescent="0.35">
      <c r="A1855" s="1" t="s">
        <v>4492</v>
      </c>
      <c r="B1855" s="1" t="s">
        <v>2641</v>
      </c>
      <c r="C1855" s="1" t="s">
        <v>2690</v>
      </c>
      <c r="D1855" s="1" t="s">
        <v>8095</v>
      </c>
      <c r="E1855" s="1" t="str">
        <f>"5120"</f>
        <v>5120</v>
      </c>
      <c r="F1855" s="1" t="s">
        <v>2085</v>
      </c>
      <c r="G1855" s="1" t="s">
        <v>2086</v>
      </c>
      <c r="H1855" s="1" t="s">
        <v>15</v>
      </c>
      <c r="I1855" s="1" t="str">
        <f>"1"</f>
        <v>1</v>
      </c>
      <c r="J1855" s="3" t="str">
        <f>"360"</f>
        <v>360</v>
      </c>
      <c r="K1855" s="4">
        <v>46033</v>
      </c>
      <c r="L1855" s="4">
        <v>46064</v>
      </c>
      <c r="M1855" s="1" t="s">
        <v>8094</v>
      </c>
      <c r="N1855" s="1" t="s">
        <v>2756</v>
      </c>
    </row>
    <row r="1856" spans="1:14" s="1" customFormat="1" x14ac:dyDescent="0.35">
      <c r="A1856" s="1" t="s">
        <v>4492</v>
      </c>
      <c r="B1856" s="1" t="s">
        <v>2641</v>
      </c>
      <c r="C1856" s="1" t="s">
        <v>2690</v>
      </c>
      <c r="D1856" s="1" t="s">
        <v>8093</v>
      </c>
      <c r="E1856" s="1" t="str">
        <f>"5120"</f>
        <v>5120</v>
      </c>
      <c r="F1856" s="1" t="s">
        <v>2085</v>
      </c>
      <c r="G1856" s="1" t="s">
        <v>2086</v>
      </c>
      <c r="H1856" s="1" t="s">
        <v>15</v>
      </c>
      <c r="I1856" s="1" t="str">
        <f>"1"</f>
        <v>1</v>
      </c>
      <c r="J1856" s="3" t="str">
        <f>"839"</f>
        <v>839</v>
      </c>
      <c r="K1856" s="4">
        <v>46033</v>
      </c>
      <c r="L1856" s="4">
        <v>46064</v>
      </c>
      <c r="M1856" s="1" t="s">
        <v>8092</v>
      </c>
      <c r="N1856" s="1" t="s">
        <v>2756</v>
      </c>
    </row>
    <row r="1857" spans="1:14" s="1" customFormat="1" x14ac:dyDescent="0.35">
      <c r="A1857" s="1" t="s">
        <v>4492</v>
      </c>
      <c r="B1857" s="1" t="s">
        <v>2641</v>
      </c>
      <c r="C1857" s="1" t="s">
        <v>2690</v>
      </c>
      <c r="D1857" s="1" t="s">
        <v>8091</v>
      </c>
      <c r="E1857" s="1" t="str">
        <f>"5120"</f>
        <v>5120</v>
      </c>
      <c r="F1857" s="1" t="s">
        <v>2085</v>
      </c>
      <c r="G1857" s="1" t="s">
        <v>2086</v>
      </c>
      <c r="H1857" s="1" t="s">
        <v>15</v>
      </c>
      <c r="I1857" s="1" t="str">
        <f>"1"</f>
        <v>1</v>
      </c>
      <c r="J1857" s="3" t="str">
        <f>"839"</f>
        <v>839</v>
      </c>
      <c r="K1857" s="4">
        <v>46033</v>
      </c>
      <c r="L1857" s="4">
        <v>46064</v>
      </c>
      <c r="M1857" s="1" t="s">
        <v>8090</v>
      </c>
      <c r="N1857" s="1" t="s">
        <v>2756</v>
      </c>
    </row>
    <row r="1858" spans="1:14" s="1" customFormat="1" x14ac:dyDescent="0.35">
      <c r="A1858" s="1" t="s">
        <v>4492</v>
      </c>
      <c r="B1858" s="1" t="s">
        <v>2641</v>
      </c>
      <c r="C1858" s="1" t="s">
        <v>2690</v>
      </c>
      <c r="D1858" s="1" t="s">
        <v>8089</v>
      </c>
      <c r="E1858" s="1" t="str">
        <f>"5120"</f>
        <v>5120</v>
      </c>
      <c r="F1858" s="1" t="s">
        <v>2085</v>
      </c>
      <c r="G1858" s="1" t="s">
        <v>2086</v>
      </c>
      <c r="H1858" s="1" t="s">
        <v>15</v>
      </c>
      <c r="I1858" s="1" t="str">
        <f>"2"</f>
        <v>2</v>
      </c>
      <c r="J1858" s="3" t="str">
        <f>"2499"</f>
        <v>2499</v>
      </c>
      <c r="K1858" s="4">
        <v>46033</v>
      </c>
      <c r="L1858" s="4">
        <v>46034</v>
      </c>
      <c r="M1858" s="1" t="s">
        <v>8088</v>
      </c>
      <c r="N1858" s="1" t="s">
        <v>2756</v>
      </c>
    </row>
    <row r="1859" spans="1:14" s="1" customFormat="1" x14ac:dyDescent="0.35">
      <c r="A1859" s="1" t="s">
        <v>4492</v>
      </c>
      <c r="B1859" s="1" t="s">
        <v>2641</v>
      </c>
      <c r="C1859" s="1" t="s">
        <v>2690</v>
      </c>
      <c r="D1859" s="1" t="s">
        <v>8089</v>
      </c>
      <c r="E1859" s="1" t="str">
        <f>"5120"</f>
        <v>5120</v>
      </c>
      <c r="F1859" s="1" t="s">
        <v>2085</v>
      </c>
      <c r="G1859" s="1" t="s">
        <v>2086</v>
      </c>
      <c r="H1859" s="1" t="s">
        <v>15</v>
      </c>
      <c r="I1859" s="1" t="str">
        <f>"2"</f>
        <v>2</v>
      </c>
      <c r="J1859" s="3" t="str">
        <f>"2499"</f>
        <v>2499</v>
      </c>
      <c r="K1859" s="4">
        <v>46033</v>
      </c>
      <c r="L1859" s="4">
        <v>46034</v>
      </c>
      <c r="M1859" s="1" t="s">
        <v>8088</v>
      </c>
      <c r="N1859" s="1" t="s">
        <v>2756</v>
      </c>
    </row>
    <row r="1860" spans="1:14" s="1" customFormat="1" x14ac:dyDescent="0.35">
      <c r="A1860" s="1" t="s">
        <v>4492</v>
      </c>
      <c r="B1860" s="1" t="s">
        <v>2641</v>
      </c>
      <c r="C1860" s="1" t="s">
        <v>2690</v>
      </c>
      <c r="D1860" s="1" t="s">
        <v>8087</v>
      </c>
      <c r="E1860" s="1" t="str">
        <f>"8465"</f>
        <v>8465</v>
      </c>
      <c r="F1860" s="1" t="str">
        <f>"015801556"</f>
        <v>015801556</v>
      </c>
      <c r="G1860" s="1" t="s">
        <v>1636</v>
      </c>
      <c r="H1860" s="1" t="s">
        <v>257</v>
      </c>
      <c r="I1860" s="1" t="str">
        <f>"3"</f>
        <v>3</v>
      </c>
      <c r="J1860" s="3">
        <v>226.99</v>
      </c>
      <c r="K1860" s="4">
        <v>46051</v>
      </c>
      <c r="L1860" s="4">
        <v>46055</v>
      </c>
      <c r="M1860" s="1" t="s">
        <v>8086</v>
      </c>
      <c r="N1860" s="1" t="s">
        <v>8085</v>
      </c>
    </row>
    <row r="1861" spans="1:14" s="1" customFormat="1" x14ac:dyDescent="0.35">
      <c r="A1861" s="1" t="s">
        <v>4492</v>
      </c>
      <c r="B1861" s="1" t="s">
        <v>2641</v>
      </c>
      <c r="C1861" s="1" t="s">
        <v>2690</v>
      </c>
      <c r="D1861" s="1" t="s">
        <v>8084</v>
      </c>
      <c r="E1861" s="1" t="str">
        <f>"1080"</f>
        <v>1080</v>
      </c>
      <c r="F1861" s="1" t="str">
        <f>"014750696"</f>
        <v>014750696</v>
      </c>
      <c r="G1861" s="1" t="s">
        <v>2705</v>
      </c>
      <c r="H1861" s="1" t="s">
        <v>15</v>
      </c>
      <c r="I1861" s="1" t="str">
        <f>"1"</f>
        <v>1</v>
      </c>
      <c r="J1861" s="3" t="str">
        <f>"1204"</f>
        <v>1204</v>
      </c>
      <c r="K1861" s="4">
        <v>46042</v>
      </c>
      <c r="L1861" s="4">
        <v>46045</v>
      </c>
      <c r="M1861" s="1" t="s">
        <v>8083</v>
      </c>
      <c r="N1861" s="1" t="s">
        <v>8082</v>
      </c>
    </row>
    <row r="1862" spans="1:14" s="1" customFormat="1" x14ac:dyDescent="0.35">
      <c r="A1862" s="1" t="s">
        <v>4492</v>
      </c>
      <c r="B1862" s="1" t="s">
        <v>2641</v>
      </c>
      <c r="C1862" s="1" t="s">
        <v>2690</v>
      </c>
      <c r="D1862" s="1" t="s">
        <v>8081</v>
      </c>
      <c r="E1862" s="1" t="str">
        <f>"7910"</f>
        <v>7910</v>
      </c>
      <c r="F1862" s="1" t="s">
        <v>5766</v>
      </c>
      <c r="G1862" s="1" t="s">
        <v>5765</v>
      </c>
      <c r="H1862" s="1" t="s">
        <v>15</v>
      </c>
      <c r="I1862" s="1" t="str">
        <f>"2"</f>
        <v>2</v>
      </c>
      <c r="J1862" s="3" t="str">
        <f>"300"</f>
        <v>300</v>
      </c>
      <c r="K1862" s="4">
        <v>46042</v>
      </c>
      <c r="L1862" s="4">
        <v>46046</v>
      </c>
      <c r="M1862" s="1" t="s">
        <v>8080</v>
      </c>
      <c r="N1862" s="1" t="s">
        <v>8079</v>
      </c>
    </row>
    <row r="1863" spans="1:14" s="1" customFormat="1" x14ac:dyDescent="0.35">
      <c r="A1863" s="1" t="s">
        <v>4492</v>
      </c>
      <c r="B1863" s="1" t="s">
        <v>2641</v>
      </c>
      <c r="C1863" s="1" t="s">
        <v>2690</v>
      </c>
      <c r="D1863" s="1" t="s">
        <v>8078</v>
      </c>
      <c r="E1863" s="1" t="str">
        <f>"5180"</f>
        <v>5180</v>
      </c>
      <c r="F1863" s="1" t="str">
        <f>"016282375"</f>
        <v>016282375</v>
      </c>
      <c r="G1863" s="1" t="s">
        <v>322</v>
      </c>
      <c r="H1863" s="1" t="s">
        <v>168</v>
      </c>
      <c r="I1863" s="1" t="str">
        <f>"23"</f>
        <v>23</v>
      </c>
      <c r="J1863" s="3" t="str">
        <f>"3655"</f>
        <v>3655</v>
      </c>
      <c r="K1863" s="4">
        <v>46042</v>
      </c>
      <c r="L1863" s="4">
        <v>46092</v>
      </c>
      <c r="M1863" s="1" t="s">
        <v>8077</v>
      </c>
      <c r="N1863" s="1" t="s">
        <v>2828</v>
      </c>
    </row>
    <row r="1864" spans="1:14" s="1" customFormat="1" x14ac:dyDescent="0.35">
      <c r="A1864" s="1" t="s">
        <v>4492</v>
      </c>
      <c r="B1864" s="1" t="s">
        <v>2641</v>
      </c>
      <c r="C1864" s="1" t="s">
        <v>2690</v>
      </c>
      <c r="D1864" s="1" t="s">
        <v>8076</v>
      </c>
      <c r="E1864" s="1" t="str">
        <f>"8415"</f>
        <v>8415</v>
      </c>
      <c r="F1864" s="1" t="str">
        <f>"015553795"</f>
        <v>015553795</v>
      </c>
      <c r="G1864" s="1" t="s">
        <v>2194</v>
      </c>
      <c r="H1864" s="1" t="s">
        <v>47</v>
      </c>
      <c r="I1864" s="1" t="str">
        <f>"1"</f>
        <v>1</v>
      </c>
      <c r="J1864" s="3">
        <v>59.36</v>
      </c>
      <c r="K1864" s="4">
        <v>46042</v>
      </c>
      <c r="L1864" s="4">
        <v>46055</v>
      </c>
      <c r="M1864" s="1" t="s">
        <v>8075</v>
      </c>
      <c r="N1864" s="1" t="s">
        <v>3053</v>
      </c>
    </row>
    <row r="1865" spans="1:14" s="1" customFormat="1" x14ac:dyDescent="0.35">
      <c r="A1865" s="1" t="s">
        <v>4492</v>
      </c>
      <c r="B1865" s="1" t="s">
        <v>2641</v>
      </c>
      <c r="C1865" s="1" t="s">
        <v>2690</v>
      </c>
      <c r="D1865" s="1" t="s">
        <v>8074</v>
      </c>
      <c r="E1865" s="1" t="str">
        <f>"8415"</f>
        <v>8415</v>
      </c>
      <c r="F1865" s="1" t="str">
        <f>"015674020"</f>
        <v>015674020</v>
      </c>
      <c r="G1865" s="1" t="s">
        <v>2194</v>
      </c>
      <c r="H1865" s="1" t="s">
        <v>47</v>
      </c>
      <c r="I1865" s="1" t="str">
        <f>"2"</f>
        <v>2</v>
      </c>
      <c r="J1865" s="3">
        <v>40.79</v>
      </c>
      <c r="K1865" s="4">
        <v>46042</v>
      </c>
      <c r="L1865" s="4">
        <v>46055</v>
      </c>
      <c r="M1865" s="1" t="s">
        <v>8073</v>
      </c>
      <c r="N1865" s="1" t="s">
        <v>3053</v>
      </c>
    </row>
    <row r="1866" spans="1:14" s="1" customFormat="1" x14ac:dyDescent="0.35">
      <c r="A1866" s="1" t="s">
        <v>4492</v>
      </c>
      <c r="B1866" s="1" t="s">
        <v>2641</v>
      </c>
      <c r="C1866" s="1" t="s">
        <v>2690</v>
      </c>
      <c r="D1866" s="1" t="s">
        <v>8072</v>
      </c>
      <c r="E1866" s="1" t="str">
        <f>"8415"</f>
        <v>8415</v>
      </c>
      <c r="F1866" s="1" t="str">
        <f>"015585605"</f>
        <v>015585605</v>
      </c>
      <c r="G1866" s="1" t="s">
        <v>8071</v>
      </c>
      <c r="H1866" s="1" t="s">
        <v>47</v>
      </c>
      <c r="I1866" s="1" t="str">
        <f>"1"</f>
        <v>1</v>
      </c>
      <c r="J1866" s="3">
        <v>163.56</v>
      </c>
      <c r="K1866" s="4">
        <v>46049</v>
      </c>
      <c r="L1866" s="4">
        <v>46071</v>
      </c>
      <c r="M1866" s="1" t="s">
        <v>8070</v>
      </c>
      <c r="N1866" s="1" t="s">
        <v>3035</v>
      </c>
    </row>
    <row r="1867" spans="1:14" s="1" customFormat="1" x14ac:dyDescent="0.35">
      <c r="A1867" s="1" t="s">
        <v>4492</v>
      </c>
      <c r="B1867" s="1" t="s">
        <v>2641</v>
      </c>
      <c r="C1867" s="1" t="s">
        <v>2690</v>
      </c>
      <c r="D1867" s="1" t="s">
        <v>8069</v>
      </c>
      <c r="E1867" s="1" t="str">
        <f>"8415"</f>
        <v>8415</v>
      </c>
      <c r="F1867" s="1" t="str">
        <f>"015272757"</f>
        <v>015272757</v>
      </c>
      <c r="G1867" s="1" t="s">
        <v>1983</v>
      </c>
      <c r="H1867" s="1" t="s">
        <v>47</v>
      </c>
      <c r="I1867" s="1" t="str">
        <f>"11"</f>
        <v>11</v>
      </c>
      <c r="J1867" s="3">
        <v>41.07</v>
      </c>
      <c r="K1867" s="4">
        <v>46049</v>
      </c>
      <c r="L1867" s="4">
        <v>46071</v>
      </c>
      <c r="M1867" s="1" t="s">
        <v>8068</v>
      </c>
      <c r="N1867" s="1" t="s">
        <v>3035</v>
      </c>
    </row>
    <row r="1868" spans="1:14" s="1" customFormat="1" x14ac:dyDescent="0.35">
      <c r="A1868" s="1" t="s">
        <v>4492</v>
      </c>
      <c r="B1868" s="1" t="s">
        <v>2641</v>
      </c>
      <c r="C1868" s="1" t="s">
        <v>2690</v>
      </c>
      <c r="D1868" s="1" t="s">
        <v>8067</v>
      </c>
      <c r="E1868" s="1" t="str">
        <f>"8415"</f>
        <v>8415</v>
      </c>
      <c r="F1868" s="1" t="str">
        <f>"015272767"</f>
        <v>015272767</v>
      </c>
      <c r="G1868" s="1" t="s">
        <v>1983</v>
      </c>
      <c r="H1868" s="1" t="s">
        <v>47</v>
      </c>
      <c r="I1868" s="1" t="str">
        <f>"3"</f>
        <v>3</v>
      </c>
      <c r="J1868" s="3">
        <v>41.07</v>
      </c>
      <c r="K1868" s="4">
        <v>46049</v>
      </c>
      <c r="L1868" s="4">
        <v>46071</v>
      </c>
      <c r="M1868" s="1" t="s">
        <v>8066</v>
      </c>
      <c r="N1868" s="1" t="s">
        <v>3035</v>
      </c>
    </row>
    <row r="1869" spans="1:14" s="1" customFormat="1" x14ac:dyDescent="0.35">
      <c r="A1869" s="1" t="s">
        <v>4492</v>
      </c>
      <c r="B1869" s="1" t="s">
        <v>2641</v>
      </c>
      <c r="C1869" s="1" t="s">
        <v>2690</v>
      </c>
      <c r="D1869" s="1" t="s">
        <v>8065</v>
      </c>
      <c r="E1869" s="1" t="str">
        <f>"3920"</f>
        <v>3920</v>
      </c>
      <c r="F1869" s="1" t="s">
        <v>8064</v>
      </c>
      <c r="G1869" s="1" t="s">
        <v>8063</v>
      </c>
      <c r="H1869" s="1" t="s">
        <v>15</v>
      </c>
      <c r="I1869" s="1" t="str">
        <f>"3"</f>
        <v>3</v>
      </c>
      <c r="J1869" s="3" t="str">
        <f>"100"</f>
        <v>100</v>
      </c>
      <c r="K1869" s="4">
        <v>46055</v>
      </c>
      <c r="L1869" s="4">
        <v>46055</v>
      </c>
      <c r="M1869" s="1" t="s">
        <v>4524</v>
      </c>
      <c r="N1869" s="1" t="s">
        <v>8062</v>
      </c>
    </row>
    <row r="1870" spans="1:14" s="1" customFormat="1" x14ac:dyDescent="0.35">
      <c r="A1870" s="1" t="s">
        <v>4492</v>
      </c>
      <c r="B1870" s="1" t="s">
        <v>2641</v>
      </c>
      <c r="C1870" s="1" t="s">
        <v>2690</v>
      </c>
      <c r="D1870" s="1" t="s">
        <v>8061</v>
      </c>
      <c r="E1870" s="1" t="str">
        <f>"6130"</f>
        <v>6130</v>
      </c>
      <c r="F1870" s="1" t="s">
        <v>161</v>
      </c>
      <c r="G1870" s="1" t="s">
        <v>162</v>
      </c>
      <c r="H1870" s="1" t="s">
        <v>15</v>
      </c>
      <c r="I1870" s="1" t="str">
        <f>"2"</f>
        <v>2</v>
      </c>
      <c r="J1870" s="3" t="str">
        <f>"250"</f>
        <v>250</v>
      </c>
      <c r="K1870" s="4">
        <v>46055</v>
      </c>
      <c r="L1870" s="4">
        <v>46055</v>
      </c>
      <c r="M1870" s="1" t="s">
        <v>4524</v>
      </c>
      <c r="N1870" s="1" t="s">
        <v>8060</v>
      </c>
    </row>
    <row r="1871" spans="1:14" s="1" customFormat="1" x14ac:dyDescent="0.35">
      <c r="A1871" s="1" t="s">
        <v>4492</v>
      </c>
      <c r="B1871" s="1" t="s">
        <v>2641</v>
      </c>
      <c r="C1871" s="1" t="s">
        <v>2690</v>
      </c>
      <c r="D1871" s="1" t="s">
        <v>8059</v>
      </c>
      <c r="E1871" s="1" t="str">
        <f>"4220"</f>
        <v>4220</v>
      </c>
      <c r="F1871" s="1" t="str">
        <f>"014159817"</f>
        <v>014159817</v>
      </c>
      <c r="G1871" s="1" t="s">
        <v>1880</v>
      </c>
      <c r="H1871" s="1" t="s">
        <v>15</v>
      </c>
      <c r="I1871" s="1" t="str">
        <f>"12"</f>
        <v>12</v>
      </c>
      <c r="J1871" s="3">
        <v>100.81</v>
      </c>
      <c r="K1871" s="4">
        <v>46047</v>
      </c>
      <c r="L1871" s="4">
        <v>46060</v>
      </c>
      <c r="M1871" s="1" t="s">
        <v>8058</v>
      </c>
      <c r="N1871" s="1" t="s">
        <v>8057</v>
      </c>
    </row>
    <row r="1872" spans="1:14" s="1" customFormat="1" x14ac:dyDescent="0.35">
      <c r="A1872" s="1" t="s">
        <v>4492</v>
      </c>
      <c r="B1872" s="1" t="s">
        <v>2641</v>
      </c>
      <c r="C1872" s="1" t="s">
        <v>2690</v>
      </c>
      <c r="D1872" s="1" t="s">
        <v>8056</v>
      </c>
      <c r="E1872" s="1" t="str">
        <f>"8465"</f>
        <v>8465</v>
      </c>
      <c r="F1872" s="1" t="str">
        <f>"014168517"</f>
        <v>014168517</v>
      </c>
      <c r="G1872" s="1" t="s">
        <v>5703</v>
      </c>
      <c r="H1872" s="1" t="s">
        <v>15</v>
      </c>
      <c r="I1872" s="1" t="str">
        <f>"25"</f>
        <v>25</v>
      </c>
      <c r="J1872" s="3">
        <v>152.18</v>
      </c>
      <c r="K1872" s="4">
        <v>46047</v>
      </c>
      <c r="L1872" s="4">
        <v>46057</v>
      </c>
      <c r="M1872" s="1" t="s">
        <v>8055</v>
      </c>
      <c r="N1872" s="1" t="s">
        <v>8054</v>
      </c>
    </row>
    <row r="1873" spans="1:14" s="1" customFormat="1" x14ac:dyDescent="0.35">
      <c r="A1873" s="1" t="s">
        <v>4492</v>
      </c>
      <c r="B1873" s="1" t="s">
        <v>2641</v>
      </c>
      <c r="C1873" s="1" t="s">
        <v>2690</v>
      </c>
      <c r="D1873" s="1" t="s">
        <v>8053</v>
      </c>
      <c r="E1873" s="1" t="str">
        <f>"8415"</f>
        <v>8415</v>
      </c>
      <c r="F1873" s="1" t="str">
        <f>"015388482"</f>
        <v>015388482</v>
      </c>
      <c r="G1873" s="1" t="s">
        <v>2194</v>
      </c>
      <c r="H1873" s="1" t="s">
        <v>15</v>
      </c>
      <c r="I1873" s="1" t="str">
        <f>"11"</f>
        <v>11</v>
      </c>
      <c r="J1873" s="3" t="str">
        <f>"15"</f>
        <v>15</v>
      </c>
      <c r="K1873" s="4">
        <v>46047</v>
      </c>
      <c r="L1873" s="4">
        <v>46055</v>
      </c>
      <c r="M1873" s="1" t="s">
        <v>8052</v>
      </c>
      <c r="N1873" s="1" t="s">
        <v>8045</v>
      </c>
    </row>
    <row r="1874" spans="1:14" s="1" customFormat="1" x14ac:dyDescent="0.35">
      <c r="A1874" s="1" t="s">
        <v>4492</v>
      </c>
      <c r="B1874" s="1" t="s">
        <v>2641</v>
      </c>
      <c r="C1874" s="1" t="s">
        <v>2690</v>
      </c>
      <c r="D1874" s="1" t="s">
        <v>8051</v>
      </c>
      <c r="E1874" s="1" t="str">
        <f>"8415"</f>
        <v>8415</v>
      </c>
      <c r="F1874" s="1" t="str">
        <f>"015388486"</f>
        <v>015388486</v>
      </c>
      <c r="G1874" s="1" t="s">
        <v>2194</v>
      </c>
      <c r="H1874" s="1" t="s">
        <v>15</v>
      </c>
      <c r="I1874" s="1" t="str">
        <f>"10"</f>
        <v>10</v>
      </c>
      <c r="J1874" s="3" t="str">
        <f>"15"</f>
        <v>15</v>
      </c>
      <c r="K1874" s="4">
        <v>46047</v>
      </c>
      <c r="L1874" s="4">
        <v>46055</v>
      </c>
      <c r="M1874" s="1" t="s">
        <v>8050</v>
      </c>
      <c r="N1874" s="1" t="s">
        <v>8045</v>
      </c>
    </row>
    <row r="1875" spans="1:14" s="1" customFormat="1" x14ac:dyDescent="0.35">
      <c r="A1875" s="1" t="s">
        <v>4492</v>
      </c>
      <c r="B1875" s="1" t="s">
        <v>2641</v>
      </c>
      <c r="C1875" s="1" t="s">
        <v>2690</v>
      </c>
      <c r="D1875" s="1" t="s">
        <v>8049</v>
      </c>
      <c r="E1875" s="1" t="str">
        <f>"8415"</f>
        <v>8415</v>
      </c>
      <c r="F1875" s="1" t="str">
        <f>"015388727"</f>
        <v>015388727</v>
      </c>
      <c r="G1875" s="1" t="s">
        <v>2194</v>
      </c>
      <c r="H1875" s="1" t="s">
        <v>47</v>
      </c>
      <c r="I1875" s="1" t="str">
        <f>"20"</f>
        <v>20</v>
      </c>
      <c r="J1875" s="3">
        <v>27.16</v>
      </c>
      <c r="K1875" s="4">
        <v>46047</v>
      </c>
      <c r="L1875" s="4">
        <v>46051</v>
      </c>
      <c r="M1875" s="1" t="s">
        <v>8048</v>
      </c>
      <c r="N1875" s="1" t="s">
        <v>8045</v>
      </c>
    </row>
    <row r="1876" spans="1:14" s="1" customFormat="1" x14ac:dyDescent="0.35">
      <c r="A1876" s="1" t="s">
        <v>4492</v>
      </c>
      <c r="B1876" s="1" t="s">
        <v>2641</v>
      </c>
      <c r="C1876" s="1" t="s">
        <v>2690</v>
      </c>
      <c r="D1876" s="1" t="s">
        <v>8047</v>
      </c>
      <c r="E1876" s="1" t="str">
        <f>"8415"</f>
        <v>8415</v>
      </c>
      <c r="F1876" s="1" t="str">
        <f>"015388730"</f>
        <v>015388730</v>
      </c>
      <c r="G1876" s="1" t="s">
        <v>2194</v>
      </c>
      <c r="H1876" s="1" t="s">
        <v>15</v>
      </c>
      <c r="I1876" s="1" t="str">
        <f>"20"</f>
        <v>20</v>
      </c>
      <c r="J1876" s="3">
        <v>27.16</v>
      </c>
      <c r="K1876" s="4">
        <v>46047</v>
      </c>
      <c r="L1876" s="4">
        <v>46051</v>
      </c>
      <c r="M1876" s="1" t="s">
        <v>8046</v>
      </c>
      <c r="N1876" s="1" t="s">
        <v>8045</v>
      </c>
    </row>
    <row r="1877" spans="1:14" s="1" customFormat="1" x14ac:dyDescent="0.35">
      <c r="A1877" s="1" t="s">
        <v>4492</v>
      </c>
      <c r="B1877" s="1" t="s">
        <v>2641</v>
      </c>
      <c r="C1877" s="1" t="s">
        <v>2690</v>
      </c>
      <c r="D1877" s="1" t="s">
        <v>8044</v>
      </c>
      <c r="E1877" s="1" t="str">
        <f>"8415"</f>
        <v>8415</v>
      </c>
      <c r="F1877" s="1" t="str">
        <f>"015460369"</f>
        <v>015460369</v>
      </c>
      <c r="G1877" s="1" t="s">
        <v>822</v>
      </c>
      <c r="H1877" s="1" t="s">
        <v>15</v>
      </c>
      <c r="I1877" s="1" t="str">
        <f>"20"</f>
        <v>20</v>
      </c>
      <c r="J1877" s="3">
        <v>39.33</v>
      </c>
      <c r="K1877" s="4">
        <v>46047</v>
      </c>
      <c r="L1877" s="4">
        <v>46058</v>
      </c>
      <c r="M1877" s="1" t="s">
        <v>8043</v>
      </c>
      <c r="N1877" s="1" t="s">
        <v>8042</v>
      </c>
    </row>
    <row r="1878" spans="1:14" s="1" customFormat="1" x14ac:dyDescent="0.35">
      <c r="A1878" s="1" t="s">
        <v>4492</v>
      </c>
      <c r="B1878" s="1" t="s">
        <v>2641</v>
      </c>
      <c r="C1878" s="1" t="s">
        <v>2690</v>
      </c>
      <c r="D1878" s="1" t="s">
        <v>8041</v>
      </c>
      <c r="E1878" s="1" t="str">
        <f>"8420"</f>
        <v>8420</v>
      </c>
      <c r="F1878" s="1" t="s">
        <v>3044</v>
      </c>
      <c r="G1878" s="1" t="s">
        <v>3045</v>
      </c>
      <c r="H1878" s="1" t="s">
        <v>15</v>
      </c>
      <c r="I1878" s="1" t="str">
        <f>"14"</f>
        <v>14</v>
      </c>
      <c r="J1878" s="3" t="str">
        <f>"5"</f>
        <v>5</v>
      </c>
      <c r="K1878" s="4">
        <v>46047</v>
      </c>
      <c r="L1878" s="4">
        <v>46058</v>
      </c>
      <c r="M1878" s="1" t="s">
        <v>8040</v>
      </c>
      <c r="N1878" s="1" t="s">
        <v>3049</v>
      </c>
    </row>
    <row r="1879" spans="1:14" s="1" customFormat="1" x14ac:dyDescent="0.35">
      <c r="A1879" s="1" t="s">
        <v>4492</v>
      </c>
      <c r="B1879" s="1" t="s">
        <v>2641</v>
      </c>
      <c r="C1879" s="1" t="s">
        <v>2690</v>
      </c>
      <c r="D1879" s="1" t="s">
        <v>8039</v>
      </c>
      <c r="E1879" s="1" t="str">
        <f>"5120"</f>
        <v>5120</v>
      </c>
      <c r="F1879" s="1" t="s">
        <v>2085</v>
      </c>
      <c r="G1879" s="1" t="s">
        <v>2086</v>
      </c>
      <c r="H1879" s="1" t="s">
        <v>15</v>
      </c>
      <c r="I1879" s="1" t="str">
        <f>"1"</f>
        <v>1</v>
      </c>
      <c r="J1879" s="3" t="str">
        <f>"20"</f>
        <v>20</v>
      </c>
      <c r="K1879" s="4">
        <v>46049</v>
      </c>
      <c r="L1879" s="4">
        <v>46060</v>
      </c>
      <c r="M1879" s="1" t="s">
        <v>8038</v>
      </c>
      <c r="N1879" s="1" t="s">
        <v>8037</v>
      </c>
    </row>
    <row r="1880" spans="1:14" s="1" customFormat="1" x14ac:dyDescent="0.35">
      <c r="A1880" s="1" t="s">
        <v>4492</v>
      </c>
      <c r="B1880" s="1" t="s">
        <v>2641</v>
      </c>
      <c r="C1880" s="1" t="s">
        <v>2690</v>
      </c>
      <c r="D1880" s="1" t="s">
        <v>8036</v>
      </c>
      <c r="E1880" s="1" t="str">
        <f>"5120"</f>
        <v>5120</v>
      </c>
      <c r="F1880" s="1" t="s">
        <v>2085</v>
      </c>
      <c r="G1880" s="1" t="s">
        <v>2086</v>
      </c>
      <c r="H1880" s="1" t="s">
        <v>15</v>
      </c>
      <c r="I1880" s="1" t="str">
        <f>"6"</f>
        <v>6</v>
      </c>
      <c r="J1880" s="3" t="str">
        <f>"15"</f>
        <v>15</v>
      </c>
      <c r="K1880" s="4">
        <v>46049</v>
      </c>
      <c r="L1880" s="4">
        <v>46051</v>
      </c>
      <c r="M1880" s="1" t="s">
        <v>8035</v>
      </c>
      <c r="N1880" s="1" t="s">
        <v>8034</v>
      </c>
    </row>
    <row r="1881" spans="1:14" s="1" customFormat="1" x14ac:dyDescent="0.35">
      <c r="A1881" s="1" t="s">
        <v>4492</v>
      </c>
      <c r="B1881" s="1" t="s">
        <v>2641</v>
      </c>
      <c r="C1881" s="1" t="s">
        <v>2690</v>
      </c>
      <c r="D1881" s="1" t="s">
        <v>8033</v>
      </c>
      <c r="E1881" s="1" t="str">
        <f>"8415"</f>
        <v>8415</v>
      </c>
      <c r="F1881" s="1" t="s">
        <v>836</v>
      </c>
      <c r="G1881" s="1" t="s">
        <v>837</v>
      </c>
      <c r="H1881" s="1" t="s">
        <v>47</v>
      </c>
      <c r="I1881" s="1" t="str">
        <f>"1"</f>
        <v>1</v>
      </c>
      <c r="J1881" s="3" t="str">
        <f>"200"</f>
        <v>200</v>
      </c>
      <c r="K1881" s="4">
        <v>46049</v>
      </c>
      <c r="L1881" s="4">
        <v>46050</v>
      </c>
      <c r="M1881" s="1" t="s">
        <v>4524</v>
      </c>
      <c r="N1881" s="1" t="s">
        <v>3035</v>
      </c>
    </row>
    <row r="1882" spans="1:14" s="1" customFormat="1" x14ac:dyDescent="0.35">
      <c r="A1882" s="1" t="s">
        <v>4492</v>
      </c>
      <c r="B1882" s="1" t="s">
        <v>2641</v>
      </c>
      <c r="C1882" s="1" t="s">
        <v>2690</v>
      </c>
      <c r="D1882" s="1" t="s">
        <v>8032</v>
      </c>
      <c r="E1882" s="1" t="str">
        <f>"2340"</f>
        <v>2340</v>
      </c>
      <c r="F1882" s="1" t="s">
        <v>1071</v>
      </c>
      <c r="G1882" s="1" t="s">
        <v>1072</v>
      </c>
      <c r="H1882" s="1" t="s">
        <v>15</v>
      </c>
      <c r="I1882" s="1" t="str">
        <f>"1"</f>
        <v>1</v>
      </c>
      <c r="J1882" s="3" t="str">
        <f>"6000"</f>
        <v>6000</v>
      </c>
      <c r="K1882" s="4">
        <v>46056</v>
      </c>
      <c r="L1882" s="4">
        <v>46067</v>
      </c>
      <c r="M1882" s="1" t="s">
        <v>8031</v>
      </c>
      <c r="N1882" s="1" t="s">
        <v>2715</v>
      </c>
    </row>
    <row r="1883" spans="1:14" s="1" customFormat="1" x14ac:dyDescent="0.35">
      <c r="A1883" s="1" t="s">
        <v>4492</v>
      </c>
      <c r="B1883" s="1" t="s">
        <v>2641</v>
      </c>
      <c r="C1883" s="1" t="s">
        <v>2690</v>
      </c>
      <c r="D1883" s="1" t="s">
        <v>8030</v>
      </c>
      <c r="E1883" s="1" t="str">
        <f>"8465"</f>
        <v>8465</v>
      </c>
      <c r="F1883" s="1" t="str">
        <f>"015801303"</f>
        <v>015801303</v>
      </c>
      <c r="G1883" s="1" t="s">
        <v>1964</v>
      </c>
      <c r="H1883" s="1" t="s">
        <v>15</v>
      </c>
      <c r="I1883" s="1" t="str">
        <f>"11"</f>
        <v>11</v>
      </c>
      <c r="J1883" s="3">
        <v>19.87</v>
      </c>
      <c r="K1883" s="4">
        <v>46056</v>
      </c>
      <c r="L1883" s="4">
        <v>46059</v>
      </c>
      <c r="M1883" s="1" t="s">
        <v>8029</v>
      </c>
      <c r="N1883" s="1" t="s">
        <v>3065</v>
      </c>
    </row>
    <row r="1884" spans="1:14" s="1" customFormat="1" x14ac:dyDescent="0.35">
      <c r="A1884" s="1" t="s">
        <v>4492</v>
      </c>
      <c r="B1884" s="1" t="s">
        <v>2641</v>
      </c>
      <c r="C1884" s="1" t="s">
        <v>2690</v>
      </c>
      <c r="D1884" s="1" t="s">
        <v>8028</v>
      </c>
      <c r="E1884" s="1" t="str">
        <f>"8465"</f>
        <v>8465</v>
      </c>
      <c r="F1884" s="1" t="str">
        <f>"016419405"</f>
        <v>016419405</v>
      </c>
      <c r="G1884" s="1" t="s">
        <v>1968</v>
      </c>
      <c r="H1884" s="1" t="s">
        <v>15</v>
      </c>
      <c r="I1884" s="1" t="str">
        <f>"12"</f>
        <v>12</v>
      </c>
      <c r="J1884" s="3">
        <v>26.22</v>
      </c>
      <c r="K1884" s="4">
        <v>46056</v>
      </c>
      <c r="L1884" s="4">
        <v>46060</v>
      </c>
      <c r="M1884" s="1" t="s">
        <v>8027</v>
      </c>
      <c r="N1884" s="1" t="s">
        <v>3065</v>
      </c>
    </row>
    <row r="1885" spans="1:14" s="1" customFormat="1" x14ac:dyDescent="0.35">
      <c r="A1885" s="1" t="s">
        <v>4492</v>
      </c>
      <c r="B1885" s="1" t="s">
        <v>2641</v>
      </c>
      <c r="C1885" s="1" t="s">
        <v>2690</v>
      </c>
      <c r="D1885" s="1" t="s">
        <v>8026</v>
      </c>
      <c r="E1885" s="1" t="str">
        <f>"8415"</f>
        <v>8415</v>
      </c>
      <c r="F1885" s="1" t="str">
        <f>"015674128"</f>
        <v>015674128</v>
      </c>
      <c r="G1885" s="1" t="s">
        <v>2194</v>
      </c>
      <c r="H1885" s="1" t="s">
        <v>47</v>
      </c>
      <c r="I1885" s="1" t="str">
        <f>"35"</f>
        <v>35</v>
      </c>
      <c r="J1885" s="3">
        <v>40.79</v>
      </c>
      <c r="K1885" s="4">
        <v>46056</v>
      </c>
      <c r="L1885" s="4">
        <v>46058</v>
      </c>
      <c r="M1885" s="1" t="s">
        <v>8025</v>
      </c>
      <c r="N1885" s="1" t="s">
        <v>3028</v>
      </c>
    </row>
    <row r="1886" spans="1:14" s="1" customFormat="1" x14ac:dyDescent="0.35">
      <c r="A1886" s="1" t="s">
        <v>4492</v>
      </c>
      <c r="B1886" s="1" t="s">
        <v>2641</v>
      </c>
      <c r="C1886" s="1" t="s">
        <v>2690</v>
      </c>
      <c r="D1886" s="1" t="s">
        <v>8024</v>
      </c>
      <c r="E1886" s="1" t="str">
        <f>"8415"</f>
        <v>8415</v>
      </c>
      <c r="F1886" s="1" t="str">
        <f>"015674782"</f>
        <v>015674782</v>
      </c>
      <c r="G1886" s="1" t="s">
        <v>3008</v>
      </c>
      <c r="H1886" s="1" t="s">
        <v>15</v>
      </c>
      <c r="I1886" s="1" t="str">
        <f>"70"</f>
        <v>70</v>
      </c>
      <c r="J1886" s="3">
        <v>43.63</v>
      </c>
      <c r="K1886" s="4">
        <v>46056</v>
      </c>
      <c r="L1886" s="4">
        <v>46058</v>
      </c>
      <c r="M1886" s="1" t="s">
        <v>8023</v>
      </c>
      <c r="N1886" s="1" t="s">
        <v>3028</v>
      </c>
    </row>
    <row r="1887" spans="1:14" s="1" customFormat="1" x14ac:dyDescent="0.35">
      <c r="A1887" s="1" t="s">
        <v>4492</v>
      </c>
      <c r="B1887" s="1" t="s">
        <v>2641</v>
      </c>
      <c r="C1887" s="1" t="s">
        <v>2690</v>
      </c>
      <c r="D1887" s="1" t="s">
        <v>8022</v>
      </c>
      <c r="E1887" s="1" t="str">
        <f>"8415"</f>
        <v>8415</v>
      </c>
      <c r="F1887" s="1" t="str">
        <f>"015674279"</f>
        <v>015674279</v>
      </c>
      <c r="G1887" s="1" t="s">
        <v>3008</v>
      </c>
      <c r="H1887" s="1" t="s">
        <v>15</v>
      </c>
      <c r="I1887" s="1" t="str">
        <f>"70"</f>
        <v>70</v>
      </c>
      <c r="J1887" s="3">
        <v>43.63</v>
      </c>
      <c r="K1887" s="4">
        <v>46056</v>
      </c>
      <c r="L1887" s="4">
        <v>46058</v>
      </c>
      <c r="M1887" s="1" t="s">
        <v>8021</v>
      </c>
      <c r="N1887" s="1" t="s">
        <v>3028</v>
      </c>
    </row>
    <row r="1888" spans="1:14" s="1" customFormat="1" x14ac:dyDescent="0.35">
      <c r="A1888" s="1" t="s">
        <v>4492</v>
      </c>
      <c r="B1888" s="1" t="s">
        <v>2641</v>
      </c>
      <c r="C1888" s="1" t="s">
        <v>2690</v>
      </c>
      <c r="D1888" s="1" t="s">
        <v>8020</v>
      </c>
      <c r="E1888" s="1" t="str">
        <f>"8415"</f>
        <v>8415</v>
      </c>
      <c r="F1888" s="1" t="str">
        <f>"015553842"</f>
        <v>015553842</v>
      </c>
      <c r="G1888" s="1" t="s">
        <v>2194</v>
      </c>
      <c r="H1888" s="1" t="s">
        <v>47</v>
      </c>
      <c r="I1888" s="1" t="str">
        <f>"35"</f>
        <v>35</v>
      </c>
      <c r="J1888" s="3">
        <v>59.36</v>
      </c>
      <c r="K1888" s="4">
        <v>46056</v>
      </c>
      <c r="L1888" s="4">
        <v>46058</v>
      </c>
      <c r="M1888" s="1" t="s">
        <v>8019</v>
      </c>
      <c r="N1888" s="1" t="s">
        <v>3028</v>
      </c>
    </row>
    <row r="1889" spans="1:14" s="1" customFormat="1" x14ac:dyDescent="0.35">
      <c r="A1889" s="1" t="s">
        <v>4492</v>
      </c>
      <c r="B1889" s="1" t="s">
        <v>2641</v>
      </c>
      <c r="C1889" s="1" t="s">
        <v>2690</v>
      </c>
      <c r="D1889" s="1" t="s">
        <v>8018</v>
      </c>
      <c r="E1889" s="1" t="str">
        <f>"8415"</f>
        <v>8415</v>
      </c>
      <c r="F1889" s="1" t="str">
        <f>"015030766"</f>
        <v>015030766</v>
      </c>
      <c r="G1889" s="1" t="s">
        <v>822</v>
      </c>
      <c r="H1889" s="1" t="s">
        <v>15</v>
      </c>
      <c r="I1889" s="1" t="str">
        <f>"35"</f>
        <v>35</v>
      </c>
      <c r="J1889" s="3">
        <v>33.47</v>
      </c>
      <c r="K1889" s="4">
        <v>46056</v>
      </c>
      <c r="L1889" s="4">
        <v>46058</v>
      </c>
      <c r="M1889" s="1" t="s">
        <v>8017</v>
      </c>
      <c r="N1889" s="1" t="s">
        <v>2971</v>
      </c>
    </row>
    <row r="1890" spans="1:14" s="1" customFormat="1" x14ac:dyDescent="0.35">
      <c r="A1890" s="1" t="s">
        <v>4492</v>
      </c>
      <c r="B1890" s="1" t="s">
        <v>2641</v>
      </c>
      <c r="C1890" s="1" t="s">
        <v>2690</v>
      </c>
      <c r="D1890" s="1" t="s">
        <v>8016</v>
      </c>
      <c r="E1890" s="1" t="str">
        <f>"8415"</f>
        <v>8415</v>
      </c>
      <c r="F1890" s="1" t="str">
        <f>"015674279"</f>
        <v>015674279</v>
      </c>
      <c r="G1890" s="1" t="s">
        <v>3008</v>
      </c>
      <c r="H1890" s="1" t="s">
        <v>15</v>
      </c>
      <c r="I1890" s="1" t="str">
        <f>"70"</f>
        <v>70</v>
      </c>
      <c r="J1890" s="3">
        <v>43.63</v>
      </c>
      <c r="K1890" s="4">
        <v>46057</v>
      </c>
      <c r="L1890" s="4">
        <v>46058</v>
      </c>
      <c r="M1890" s="1" t="s">
        <v>8015</v>
      </c>
      <c r="N1890" s="1" t="s">
        <v>8014</v>
      </c>
    </row>
    <row r="1891" spans="1:14" s="1" customFormat="1" x14ac:dyDescent="0.35">
      <c r="A1891" s="1" t="s">
        <v>4492</v>
      </c>
      <c r="B1891" s="1" t="s">
        <v>2641</v>
      </c>
      <c r="C1891" s="1" t="s">
        <v>2690</v>
      </c>
      <c r="D1891" s="1" t="s">
        <v>8013</v>
      </c>
      <c r="E1891" s="1" t="str">
        <f>"8415"</f>
        <v>8415</v>
      </c>
      <c r="F1891" s="1" t="str">
        <f>"015553842"</f>
        <v>015553842</v>
      </c>
      <c r="G1891" s="1" t="s">
        <v>2194</v>
      </c>
      <c r="H1891" s="1" t="s">
        <v>47</v>
      </c>
      <c r="I1891" s="1" t="str">
        <f>"60"</f>
        <v>60</v>
      </c>
      <c r="J1891" s="3">
        <v>59.36</v>
      </c>
      <c r="K1891" s="4">
        <v>46057</v>
      </c>
      <c r="L1891" s="4">
        <v>46058</v>
      </c>
      <c r="M1891" s="1" t="s">
        <v>8012</v>
      </c>
      <c r="N1891" s="1" t="s">
        <v>3028</v>
      </c>
    </row>
    <row r="1892" spans="1:14" s="1" customFormat="1" x14ac:dyDescent="0.35">
      <c r="A1892" s="1" t="s">
        <v>4492</v>
      </c>
      <c r="B1892" s="1" t="s">
        <v>2641</v>
      </c>
      <c r="C1892" s="1" t="s">
        <v>2690</v>
      </c>
      <c r="D1892" s="1" t="s">
        <v>8011</v>
      </c>
      <c r="E1892" s="1" t="str">
        <f>"8415"</f>
        <v>8415</v>
      </c>
      <c r="F1892" s="1" t="str">
        <f>"015674128"</f>
        <v>015674128</v>
      </c>
      <c r="G1892" s="1" t="s">
        <v>2194</v>
      </c>
      <c r="H1892" s="1" t="s">
        <v>47</v>
      </c>
      <c r="I1892" s="1" t="str">
        <f>"46"</f>
        <v>46</v>
      </c>
      <c r="J1892" s="3">
        <v>40.79</v>
      </c>
      <c r="K1892" s="4">
        <v>46057</v>
      </c>
      <c r="L1892" s="4">
        <v>46058</v>
      </c>
      <c r="M1892" s="1" t="s">
        <v>8010</v>
      </c>
      <c r="N1892" s="1" t="s">
        <v>3028</v>
      </c>
    </row>
    <row r="1893" spans="1:14" s="1" customFormat="1" x14ac:dyDescent="0.35">
      <c r="A1893" s="1" t="s">
        <v>4492</v>
      </c>
      <c r="B1893" s="1" t="s">
        <v>2641</v>
      </c>
      <c r="C1893" s="1" t="s">
        <v>2690</v>
      </c>
      <c r="D1893" s="1" t="s">
        <v>8009</v>
      </c>
      <c r="E1893" s="1" t="str">
        <f>"5210"</f>
        <v>5210</v>
      </c>
      <c r="F1893" s="1" t="s">
        <v>2830</v>
      </c>
      <c r="G1893" s="1" t="s">
        <v>2831</v>
      </c>
      <c r="H1893" s="1" t="s">
        <v>15</v>
      </c>
      <c r="I1893" s="1" t="str">
        <f>"1"</f>
        <v>1</v>
      </c>
      <c r="J1893" s="3" t="str">
        <f>"3500"</f>
        <v>3500</v>
      </c>
      <c r="K1893" s="4">
        <v>46067</v>
      </c>
      <c r="L1893" s="4">
        <v>46071</v>
      </c>
      <c r="M1893" s="1" t="s">
        <v>8008</v>
      </c>
      <c r="N1893" s="1" t="s">
        <v>2804</v>
      </c>
    </row>
    <row r="1894" spans="1:14" s="1" customFormat="1" x14ac:dyDescent="0.35">
      <c r="A1894" s="1" t="s">
        <v>4492</v>
      </c>
      <c r="B1894" s="1" t="s">
        <v>2641</v>
      </c>
      <c r="C1894" s="1" t="s">
        <v>2690</v>
      </c>
      <c r="D1894" s="1" t="s">
        <v>8007</v>
      </c>
      <c r="E1894" s="1" t="str">
        <f>"5130"</f>
        <v>5130</v>
      </c>
      <c r="F1894" s="1" t="s">
        <v>2557</v>
      </c>
      <c r="G1894" s="1" t="s">
        <v>2558</v>
      </c>
      <c r="H1894" s="1" t="s">
        <v>15</v>
      </c>
      <c r="I1894" s="1" t="str">
        <f>"7"</f>
        <v>7</v>
      </c>
      <c r="J1894" s="3" t="str">
        <f>"60"</f>
        <v>60</v>
      </c>
      <c r="K1894" s="4">
        <v>46068</v>
      </c>
      <c r="L1894" s="4">
        <v>46071</v>
      </c>
      <c r="M1894" s="1" t="s">
        <v>8006</v>
      </c>
      <c r="N1894" s="1" t="s">
        <v>2717</v>
      </c>
    </row>
    <row r="1895" spans="1:14" s="1" customFormat="1" x14ac:dyDescent="0.35">
      <c r="A1895" s="1" t="s">
        <v>4492</v>
      </c>
      <c r="B1895" s="1" t="s">
        <v>2641</v>
      </c>
      <c r="C1895" s="1" t="s">
        <v>2690</v>
      </c>
      <c r="D1895" s="1" t="s">
        <v>8005</v>
      </c>
      <c r="E1895" s="1" t="str">
        <f>"5130"</f>
        <v>5130</v>
      </c>
      <c r="F1895" s="1" t="s">
        <v>579</v>
      </c>
      <c r="G1895" s="1" t="s">
        <v>580</v>
      </c>
      <c r="H1895" s="1" t="s">
        <v>15</v>
      </c>
      <c r="I1895" s="1" t="str">
        <f>"14"</f>
        <v>14</v>
      </c>
      <c r="J1895" s="3" t="str">
        <f>"50"</f>
        <v>50</v>
      </c>
      <c r="K1895" s="4">
        <v>46070</v>
      </c>
      <c r="L1895" s="4">
        <v>46092</v>
      </c>
      <c r="M1895" s="1" t="s">
        <v>8004</v>
      </c>
      <c r="N1895" s="1" t="s">
        <v>2816</v>
      </c>
    </row>
    <row r="1896" spans="1:14" s="1" customFormat="1" x14ac:dyDescent="0.35">
      <c r="A1896" s="1" t="s">
        <v>4492</v>
      </c>
      <c r="B1896" s="1" t="s">
        <v>2641</v>
      </c>
      <c r="C1896" s="1" t="s">
        <v>2690</v>
      </c>
      <c r="D1896" s="1" t="s">
        <v>8003</v>
      </c>
      <c r="E1896" s="1" t="str">
        <f>"1990"</f>
        <v>1990</v>
      </c>
      <c r="F1896" s="1" t="s">
        <v>5830</v>
      </c>
      <c r="G1896" s="1" t="s">
        <v>5829</v>
      </c>
      <c r="H1896" s="1" t="s">
        <v>15</v>
      </c>
      <c r="I1896" s="1" t="str">
        <f>"1"</f>
        <v>1</v>
      </c>
      <c r="J1896" s="3" t="str">
        <f>"42624"</f>
        <v>42624</v>
      </c>
      <c r="K1896" s="4">
        <v>46070</v>
      </c>
      <c r="L1896" s="4">
        <v>46070</v>
      </c>
      <c r="M1896" s="1" t="s">
        <v>8002</v>
      </c>
      <c r="N1896" s="1" t="s">
        <v>8001</v>
      </c>
    </row>
    <row r="1897" spans="1:14" s="1" customFormat="1" x14ac:dyDescent="0.35">
      <c r="A1897" s="1" t="s">
        <v>4492</v>
      </c>
      <c r="B1897" s="1" t="s">
        <v>2641</v>
      </c>
      <c r="C1897" s="1" t="s">
        <v>2690</v>
      </c>
      <c r="D1897" s="1" t="s">
        <v>8003</v>
      </c>
      <c r="E1897" s="1" t="str">
        <f>"1990"</f>
        <v>1990</v>
      </c>
      <c r="F1897" s="1" t="s">
        <v>5830</v>
      </c>
      <c r="G1897" s="1" t="s">
        <v>5829</v>
      </c>
      <c r="H1897" s="1" t="s">
        <v>15</v>
      </c>
      <c r="I1897" s="1" t="str">
        <f>"1"</f>
        <v>1</v>
      </c>
      <c r="J1897" s="3" t="str">
        <f>"42624"</f>
        <v>42624</v>
      </c>
      <c r="K1897" s="4">
        <v>46070</v>
      </c>
      <c r="L1897" s="4">
        <v>46070</v>
      </c>
      <c r="M1897" s="1" t="s">
        <v>8002</v>
      </c>
      <c r="N1897" s="1" t="s">
        <v>8001</v>
      </c>
    </row>
    <row r="1898" spans="1:14" s="1" customFormat="1" x14ac:dyDescent="0.35">
      <c r="A1898" s="1" t="s">
        <v>4492</v>
      </c>
      <c r="B1898" s="1" t="s">
        <v>2641</v>
      </c>
      <c r="C1898" s="1" t="s">
        <v>2690</v>
      </c>
      <c r="D1898" s="1" t="s">
        <v>8000</v>
      </c>
      <c r="E1898" s="1" t="str">
        <f>"5120"</f>
        <v>5120</v>
      </c>
      <c r="F1898" s="1" t="s">
        <v>2085</v>
      </c>
      <c r="G1898" s="1" t="s">
        <v>2086</v>
      </c>
      <c r="H1898" s="1" t="s">
        <v>15</v>
      </c>
      <c r="I1898" s="1" t="str">
        <f>"7"</f>
        <v>7</v>
      </c>
      <c r="J1898" s="3" t="str">
        <f>"60"</f>
        <v>60</v>
      </c>
      <c r="K1898" s="4">
        <v>46075</v>
      </c>
      <c r="L1898" s="4">
        <v>46088</v>
      </c>
      <c r="M1898" s="1" t="s">
        <v>7999</v>
      </c>
      <c r="N1898" s="1" t="s">
        <v>2750</v>
      </c>
    </row>
    <row r="1899" spans="1:14" s="1" customFormat="1" x14ac:dyDescent="0.35">
      <c r="A1899" s="1" t="s">
        <v>4492</v>
      </c>
      <c r="B1899" s="1" t="s">
        <v>2641</v>
      </c>
      <c r="C1899" s="1" t="s">
        <v>2690</v>
      </c>
      <c r="D1899" s="1" t="s">
        <v>7998</v>
      </c>
      <c r="E1899" s="1" t="str">
        <f>"5180"</f>
        <v>5180</v>
      </c>
      <c r="F1899" s="1" t="str">
        <f>"005961474"</f>
        <v>005961474</v>
      </c>
      <c r="G1899" s="1" t="s">
        <v>1143</v>
      </c>
      <c r="H1899" s="1" t="s">
        <v>168</v>
      </c>
      <c r="I1899" s="1" t="str">
        <f>"1"</f>
        <v>1</v>
      </c>
      <c r="J1899" s="3" t="str">
        <f>"5688"</f>
        <v>5688</v>
      </c>
      <c r="K1899" s="4">
        <v>46075</v>
      </c>
      <c r="L1899" s="4">
        <v>46077</v>
      </c>
      <c r="M1899" s="1" t="s">
        <v>4524</v>
      </c>
      <c r="N1899" s="1" t="s">
        <v>2750</v>
      </c>
    </row>
    <row r="1900" spans="1:14" s="1" customFormat="1" x14ac:dyDescent="0.35">
      <c r="A1900" s="1" t="s">
        <v>4492</v>
      </c>
      <c r="B1900" s="1" t="s">
        <v>2641</v>
      </c>
      <c r="C1900" s="1" t="s">
        <v>2690</v>
      </c>
      <c r="D1900" s="1" t="s">
        <v>7997</v>
      </c>
      <c r="E1900" s="1" t="str">
        <f>"5180"</f>
        <v>5180</v>
      </c>
      <c r="F1900" s="1" t="str">
        <f>"014993546"</f>
        <v>014993546</v>
      </c>
      <c r="G1900" s="1" t="s">
        <v>2134</v>
      </c>
      <c r="H1900" s="1" t="s">
        <v>168</v>
      </c>
      <c r="I1900" s="1" t="str">
        <f>"1"</f>
        <v>1</v>
      </c>
      <c r="J1900" s="3" t="str">
        <f>"4918"</f>
        <v>4918</v>
      </c>
      <c r="K1900" s="4">
        <v>46075</v>
      </c>
      <c r="L1900" s="4">
        <v>46087</v>
      </c>
      <c r="M1900" s="1" t="s">
        <v>7996</v>
      </c>
      <c r="N1900" s="1" t="s">
        <v>2750</v>
      </c>
    </row>
    <row r="1901" spans="1:14" s="1" customFormat="1" x14ac:dyDescent="0.35">
      <c r="A1901" s="1" t="s">
        <v>4492</v>
      </c>
      <c r="B1901" s="1" t="s">
        <v>2641</v>
      </c>
      <c r="C1901" s="1" t="s">
        <v>2690</v>
      </c>
      <c r="D1901" s="1" t="s">
        <v>7995</v>
      </c>
      <c r="E1901" s="1" t="str">
        <f>"2340"</f>
        <v>2340</v>
      </c>
      <c r="F1901" s="1" t="s">
        <v>1071</v>
      </c>
      <c r="G1901" s="1" t="s">
        <v>1072</v>
      </c>
      <c r="H1901" s="1" t="s">
        <v>15</v>
      </c>
      <c r="I1901" s="1" t="str">
        <f>"1"</f>
        <v>1</v>
      </c>
      <c r="J1901" s="3" t="str">
        <f>"17200"</f>
        <v>17200</v>
      </c>
      <c r="K1901" s="4">
        <v>46076</v>
      </c>
      <c r="L1901" s="4">
        <v>46097</v>
      </c>
      <c r="M1901" s="1" t="s">
        <v>7994</v>
      </c>
      <c r="N1901" s="1" t="s">
        <v>7993</v>
      </c>
    </row>
    <row r="1902" spans="1:14" s="1" customFormat="1" x14ac:dyDescent="0.35">
      <c r="A1902" s="1" t="s">
        <v>4492</v>
      </c>
      <c r="B1902" s="1" t="s">
        <v>2641</v>
      </c>
      <c r="C1902" s="1" t="s">
        <v>2690</v>
      </c>
      <c r="D1902" s="1" t="s">
        <v>7992</v>
      </c>
      <c r="E1902" s="1" t="str">
        <f>"5180"</f>
        <v>5180</v>
      </c>
      <c r="F1902" s="1" t="str">
        <f>"014993546"</f>
        <v>014993546</v>
      </c>
      <c r="G1902" s="1" t="s">
        <v>2134</v>
      </c>
      <c r="H1902" s="1" t="s">
        <v>168</v>
      </c>
      <c r="I1902" s="1" t="str">
        <f>"1"</f>
        <v>1</v>
      </c>
      <c r="J1902" s="3" t="str">
        <f>"4918"</f>
        <v>4918</v>
      </c>
      <c r="K1902" s="4">
        <v>46078</v>
      </c>
      <c r="L1902" s="4">
        <v>46087</v>
      </c>
      <c r="M1902" s="1" t="s">
        <v>7991</v>
      </c>
      <c r="N1902" s="1" t="s">
        <v>2717</v>
      </c>
    </row>
    <row r="1903" spans="1:14" s="1" customFormat="1" x14ac:dyDescent="0.35">
      <c r="A1903" s="1" t="s">
        <v>4492</v>
      </c>
      <c r="B1903" s="1" t="s">
        <v>2641</v>
      </c>
      <c r="C1903" s="1" t="s">
        <v>2690</v>
      </c>
      <c r="D1903" s="1" t="s">
        <v>7990</v>
      </c>
      <c r="E1903" s="1" t="str">
        <f>"8340"</f>
        <v>8340</v>
      </c>
      <c r="F1903" s="1" t="str">
        <f>"016288855"</f>
        <v>016288855</v>
      </c>
      <c r="G1903" s="1" t="s">
        <v>2955</v>
      </c>
      <c r="H1903" s="1" t="s">
        <v>15</v>
      </c>
      <c r="I1903" s="1" t="str">
        <f>"6"</f>
        <v>6</v>
      </c>
      <c r="J1903" s="3">
        <v>396.38</v>
      </c>
      <c r="K1903" s="4">
        <v>46082</v>
      </c>
      <c r="L1903" s="4">
        <v>46087</v>
      </c>
      <c r="M1903" s="1" t="s">
        <v>7989</v>
      </c>
      <c r="N1903" s="1" t="s">
        <v>2956</v>
      </c>
    </row>
    <row r="1904" spans="1:14" s="1" customFormat="1" x14ac:dyDescent="0.35">
      <c r="A1904" s="1" t="s">
        <v>4492</v>
      </c>
      <c r="B1904" s="1" t="s">
        <v>2641</v>
      </c>
      <c r="C1904" s="1" t="s">
        <v>2690</v>
      </c>
      <c r="D1904" s="1" t="s">
        <v>7988</v>
      </c>
      <c r="E1904" s="1" t="str">
        <f>"2310"</f>
        <v>2310</v>
      </c>
      <c r="F1904" s="1" t="s">
        <v>4332</v>
      </c>
      <c r="G1904" s="1" t="s">
        <v>4333</v>
      </c>
      <c r="H1904" s="1" t="s">
        <v>15</v>
      </c>
      <c r="I1904" s="1" t="str">
        <f>"1"</f>
        <v>1</v>
      </c>
      <c r="J1904" s="3" t="str">
        <f>"15000"</f>
        <v>15000</v>
      </c>
      <c r="K1904" s="4">
        <v>46090</v>
      </c>
      <c r="L1904" s="4">
        <v>46090</v>
      </c>
      <c r="M1904" s="1" t="s">
        <v>7987</v>
      </c>
      <c r="N1904" s="1" t="s">
        <v>7986</v>
      </c>
    </row>
    <row r="1905" spans="1:14" s="1" customFormat="1" x14ac:dyDescent="0.35">
      <c r="A1905" s="1" t="s">
        <v>4492</v>
      </c>
      <c r="B1905" s="1" t="s">
        <v>2641</v>
      </c>
      <c r="C1905" s="1" t="s">
        <v>2690</v>
      </c>
      <c r="D1905" s="1" t="s">
        <v>7988</v>
      </c>
      <c r="E1905" s="1" t="str">
        <f>"2310"</f>
        <v>2310</v>
      </c>
      <c r="F1905" s="1" t="s">
        <v>4332</v>
      </c>
      <c r="G1905" s="1" t="s">
        <v>4333</v>
      </c>
      <c r="H1905" s="1" t="s">
        <v>15</v>
      </c>
      <c r="I1905" s="1" t="str">
        <f>"1"</f>
        <v>1</v>
      </c>
      <c r="J1905" s="3" t="str">
        <f>"15000"</f>
        <v>15000</v>
      </c>
      <c r="K1905" s="4">
        <v>46090</v>
      </c>
      <c r="L1905" s="4">
        <v>46090</v>
      </c>
      <c r="M1905" s="1" t="s">
        <v>7987</v>
      </c>
      <c r="N1905" s="1" t="s">
        <v>7986</v>
      </c>
    </row>
    <row r="1906" spans="1:14" s="1" customFormat="1" x14ac:dyDescent="0.35">
      <c r="A1906" s="1" t="s">
        <v>4492</v>
      </c>
      <c r="B1906" s="1" t="s">
        <v>2641</v>
      </c>
      <c r="C1906" s="1" t="s">
        <v>2690</v>
      </c>
      <c r="D1906" s="1" t="s">
        <v>7985</v>
      </c>
      <c r="E1906" s="1" t="str">
        <f>"2320"</f>
        <v>2320</v>
      </c>
      <c r="F1906" s="1" t="s">
        <v>1664</v>
      </c>
      <c r="G1906" s="1" t="s">
        <v>1665</v>
      </c>
      <c r="H1906" s="1" t="s">
        <v>15</v>
      </c>
      <c r="I1906" s="1" t="str">
        <f>"1"</f>
        <v>1</v>
      </c>
      <c r="J1906" s="3" t="str">
        <f>"10000"</f>
        <v>10000</v>
      </c>
      <c r="K1906" s="4">
        <v>46090</v>
      </c>
      <c r="L1906" s="4">
        <v>46104</v>
      </c>
      <c r="M1906" s="1" t="s">
        <v>7984</v>
      </c>
      <c r="N1906" s="1" t="s">
        <v>7983</v>
      </c>
    </row>
    <row r="1907" spans="1:14" s="1" customFormat="1" x14ac:dyDescent="0.35">
      <c r="A1907" s="1" t="s">
        <v>4492</v>
      </c>
      <c r="B1907" s="1" t="s">
        <v>2641</v>
      </c>
      <c r="C1907" s="1" t="s">
        <v>2690</v>
      </c>
      <c r="D1907" s="1" t="s">
        <v>7982</v>
      </c>
      <c r="E1907" s="1" t="str">
        <f>"5130"</f>
        <v>5130</v>
      </c>
      <c r="F1907" s="1" t="str">
        <f>"010146856"</f>
        <v>010146856</v>
      </c>
      <c r="G1907" s="1" t="s">
        <v>2806</v>
      </c>
      <c r="H1907" s="1" t="s">
        <v>168</v>
      </c>
      <c r="I1907" s="1" t="str">
        <f>"8"</f>
        <v>8</v>
      </c>
      <c r="J1907" s="3">
        <v>78.760000000000005</v>
      </c>
      <c r="K1907" s="4">
        <v>46090</v>
      </c>
      <c r="L1907" s="4">
        <v>46103</v>
      </c>
      <c r="M1907" s="1" t="s">
        <v>7981</v>
      </c>
      <c r="N1907" s="1" t="s">
        <v>2746</v>
      </c>
    </row>
    <row r="1908" spans="1:14" s="1" customFormat="1" x14ac:dyDescent="0.35">
      <c r="A1908" s="1" t="s">
        <v>4492</v>
      </c>
      <c r="B1908" s="1" t="s">
        <v>2641</v>
      </c>
      <c r="C1908" s="1" t="s">
        <v>2690</v>
      </c>
      <c r="D1908" s="1" t="s">
        <v>7980</v>
      </c>
      <c r="E1908" s="1" t="str">
        <f>"2310"</f>
        <v>2310</v>
      </c>
      <c r="F1908" s="1" t="str">
        <f>"011112274"</f>
        <v>011112274</v>
      </c>
      <c r="G1908" s="1" t="s">
        <v>2654</v>
      </c>
      <c r="H1908" s="1" t="s">
        <v>15</v>
      </c>
      <c r="I1908" s="1" t="str">
        <f>"1"</f>
        <v>1</v>
      </c>
      <c r="J1908" s="3" t="str">
        <f>"96466"</f>
        <v>96466</v>
      </c>
      <c r="K1908" s="4">
        <v>46090</v>
      </c>
      <c r="L1908" s="4">
        <v>46106</v>
      </c>
      <c r="M1908" s="1" t="s">
        <v>7979</v>
      </c>
      <c r="N1908" s="1" t="s">
        <v>7978</v>
      </c>
    </row>
    <row r="1909" spans="1:14" s="1" customFormat="1" x14ac:dyDescent="0.35">
      <c r="A1909" s="1" t="s">
        <v>4492</v>
      </c>
      <c r="B1909" s="1" t="s">
        <v>2641</v>
      </c>
      <c r="C1909" s="1" t="s">
        <v>2690</v>
      </c>
      <c r="D1909" s="1" t="s">
        <v>7977</v>
      </c>
      <c r="E1909" s="1" t="str">
        <f>"2320"</f>
        <v>2320</v>
      </c>
      <c r="F1909" s="1" t="str">
        <f>"013469317"</f>
        <v>013469317</v>
      </c>
      <c r="G1909" s="1" t="s">
        <v>1860</v>
      </c>
      <c r="H1909" s="1" t="s">
        <v>15</v>
      </c>
      <c r="I1909" s="1" t="str">
        <f>"1"</f>
        <v>1</v>
      </c>
      <c r="J1909" s="3" t="str">
        <f>"94171"</f>
        <v>94171</v>
      </c>
      <c r="K1909" s="4">
        <v>46092</v>
      </c>
      <c r="L1909" s="4">
        <v>46093</v>
      </c>
      <c r="M1909" s="1" t="s">
        <v>7976</v>
      </c>
      <c r="N1909" s="1" t="s">
        <v>7975</v>
      </c>
    </row>
    <row r="1910" spans="1:14" s="1" customFormat="1" x14ac:dyDescent="0.35">
      <c r="A1910" s="1" t="s">
        <v>4492</v>
      </c>
      <c r="B1910" s="1" t="s">
        <v>2641</v>
      </c>
      <c r="C1910" s="1" t="s">
        <v>2690</v>
      </c>
      <c r="D1910" s="1" t="s">
        <v>7977</v>
      </c>
      <c r="E1910" s="1" t="str">
        <f>"2320"</f>
        <v>2320</v>
      </c>
      <c r="F1910" s="1" t="str">
        <f>"013469317"</f>
        <v>013469317</v>
      </c>
      <c r="G1910" s="1" t="s">
        <v>1860</v>
      </c>
      <c r="H1910" s="1" t="s">
        <v>15</v>
      </c>
      <c r="I1910" s="1" t="str">
        <f>"1"</f>
        <v>1</v>
      </c>
      <c r="J1910" s="3" t="str">
        <f>"94171"</f>
        <v>94171</v>
      </c>
      <c r="K1910" s="4">
        <v>46092</v>
      </c>
      <c r="L1910" s="4">
        <v>46093</v>
      </c>
      <c r="M1910" s="1" t="s">
        <v>7976</v>
      </c>
      <c r="N1910" s="1" t="s">
        <v>7975</v>
      </c>
    </row>
    <row r="1911" spans="1:14" s="1" customFormat="1" x14ac:dyDescent="0.35">
      <c r="A1911" s="1" t="s">
        <v>4492</v>
      </c>
      <c r="B1911" s="1" t="s">
        <v>2641</v>
      </c>
      <c r="C1911" s="1" t="s">
        <v>2690</v>
      </c>
      <c r="D1911" s="1" t="s">
        <v>7974</v>
      </c>
      <c r="E1911" s="1" t="str">
        <f>"2330"</f>
        <v>2330</v>
      </c>
      <c r="F1911" s="1" t="s">
        <v>104</v>
      </c>
      <c r="G1911" s="1" t="s">
        <v>105</v>
      </c>
      <c r="H1911" s="1" t="s">
        <v>15</v>
      </c>
      <c r="I1911" s="1" t="str">
        <f>"1"</f>
        <v>1</v>
      </c>
      <c r="J1911" s="3" t="str">
        <f>"10000"</f>
        <v>10000</v>
      </c>
      <c r="K1911" s="4">
        <v>46095</v>
      </c>
      <c r="L1911" s="4">
        <v>46101</v>
      </c>
      <c r="M1911" s="1" t="s">
        <v>7973</v>
      </c>
      <c r="N1911" s="1" t="s">
        <v>7972</v>
      </c>
    </row>
    <row r="1912" spans="1:14" s="1" customFormat="1" x14ac:dyDescent="0.35">
      <c r="A1912" s="1" t="s">
        <v>4492</v>
      </c>
      <c r="B1912" s="1" t="s">
        <v>2641</v>
      </c>
      <c r="C1912" s="1" t="s">
        <v>2690</v>
      </c>
      <c r="D1912" s="1" t="s">
        <v>7971</v>
      </c>
      <c r="E1912" s="1" t="str">
        <f>"2330"</f>
        <v>2330</v>
      </c>
      <c r="F1912" s="1" t="s">
        <v>104</v>
      </c>
      <c r="G1912" s="1" t="s">
        <v>105</v>
      </c>
      <c r="H1912" s="1" t="s">
        <v>15</v>
      </c>
      <c r="I1912" s="1" t="str">
        <f>"1"</f>
        <v>1</v>
      </c>
      <c r="J1912" s="3" t="str">
        <f>"10000"</f>
        <v>10000</v>
      </c>
      <c r="K1912" s="4">
        <v>46095</v>
      </c>
      <c r="L1912" s="4">
        <v>46100</v>
      </c>
      <c r="M1912" s="1" t="s">
        <v>7970</v>
      </c>
      <c r="N1912" s="1" t="s">
        <v>7969</v>
      </c>
    </row>
    <row r="1913" spans="1:14" s="1" customFormat="1" x14ac:dyDescent="0.35">
      <c r="A1913" s="1" t="s">
        <v>4492</v>
      </c>
      <c r="B1913" s="1" t="s">
        <v>2641</v>
      </c>
      <c r="C1913" s="1" t="s">
        <v>2690</v>
      </c>
      <c r="D1913" s="1" t="s">
        <v>7968</v>
      </c>
      <c r="E1913" s="1" t="str">
        <f>"2340"</f>
        <v>2340</v>
      </c>
      <c r="F1913" s="1" t="s">
        <v>1071</v>
      </c>
      <c r="G1913" s="1" t="s">
        <v>1072</v>
      </c>
      <c r="H1913" s="1" t="s">
        <v>15</v>
      </c>
      <c r="I1913" s="1" t="str">
        <f>"1"</f>
        <v>1</v>
      </c>
      <c r="J1913" s="3" t="str">
        <f>"5000"</f>
        <v>5000</v>
      </c>
      <c r="K1913" s="4">
        <v>46095</v>
      </c>
      <c r="L1913" s="4">
        <v>46100</v>
      </c>
      <c r="M1913" s="1" t="s">
        <v>7967</v>
      </c>
      <c r="N1913" s="1" t="s">
        <v>7962</v>
      </c>
    </row>
    <row r="1914" spans="1:14" s="1" customFormat="1" x14ac:dyDescent="0.35">
      <c r="A1914" s="1" t="s">
        <v>4492</v>
      </c>
      <c r="B1914" s="1" t="s">
        <v>2641</v>
      </c>
      <c r="C1914" s="1" t="s">
        <v>2690</v>
      </c>
      <c r="D1914" s="1" t="s">
        <v>7966</v>
      </c>
      <c r="E1914" s="1" t="str">
        <f>"2340"</f>
        <v>2340</v>
      </c>
      <c r="F1914" s="1" t="s">
        <v>1071</v>
      </c>
      <c r="G1914" s="1" t="s">
        <v>1072</v>
      </c>
      <c r="H1914" s="1" t="s">
        <v>15</v>
      </c>
      <c r="I1914" s="1" t="str">
        <f>"1"</f>
        <v>1</v>
      </c>
      <c r="J1914" s="3" t="str">
        <f>"5000"</f>
        <v>5000</v>
      </c>
      <c r="K1914" s="4">
        <v>46095</v>
      </c>
      <c r="L1914" s="4">
        <v>46100</v>
      </c>
      <c r="M1914" s="1" t="s">
        <v>7965</v>
      </c>
      <c r="N1914" s="1" t="s">
        <v>7962</v>
      </c>
    </row>
    <row r="1915" spans="1:14" s="1" customFormat="1" x14ac:dyDescent="0.35">
      <c r="A1915" s="1" t="s">
        <v>4492</v>
      </c>
      <c r="B1915" s="1" t="s">
        <v>2641</v>
      </c>
      <c r="C1915" s="1" t="s">
        <v>2690</v>
      </c>
      <c r="D1915" s="1" t="s">
        <v>7964</v>
      </c>
      <c r="E1915" s="1" t="str">
        <f>"2340"</f>
        <v>2340</v>
      </c>
      <c r="F1915" s="1" t="s">
        <v>1071</v>
      </c>
      <c r="G1915" s="1" t="s">
        <v>1072</v>
      </c>
      <c r="H1915" s="1" t="s">
        <v>15</v>
      </c>
      <c r="I1915" s="1" t="str">
        <f>"1"</f>
        <v>1</v>
      </c>
      <c r="J1915" s="3" t="str">
        <f>"10195"</f>
        <v>10195</v>
      </c>
      <c r="K1915" s="4">
        <v>46095</v>
      </c>
      <c r="L1915" s="4">
        <v>46099</v>
      </c>
      <c r="M1915" s="1" t="s">
        <v>7963</v>
      </c>
      <c r="N1915" s="1" t="s">
        <v>7962</v>
      </c>
    </row>
    <row r="1916" spans="1:14" s="1" customFormat="1" x14ac:dyDescent="0.35">
      <c r="A1916" s="1" t="s">
        <v>4492</v>
      </c>
      <c r="B1916" s="1" t="s">
        <v>2641</v>
      </c>
      <c r="C1916" s="1" t="s">
        <v>2690</v>
      </c>
      <c r="D1916" s="1" t="s">
        <v>7961</v>
      </c>
      <c r="E1916" s="1" t="str">
        <f>"2340"</f>
        <v>2340</v>
      </c>
      <c r="F1916" s="1" t="s">
        <v>2713</v>
      </c>
      <c r="G1916" s="1" t="s">
        <v>2714</v>
      </c>
      <c r="H1916" s="1" t="s">
        <v>15</v>
      </c>
      <c r="I1916" s="1" t="str">
        <f>"1"</f>
        <v>1</v>
      </c>
      <c r="J1916" s="3" t="str">
        <f>"8000"</f>
        <v>8000</v>
      </c>
      <c r="K1916" s="4">
        <v>46097</v>
      </c>
      <c r="L1916" s="4">
        <v>46109</v>
      </c>
      <c r="M1916" s="1" t="s">
        <v>7960</v>
      </c>
      <c r="N1916" s="1" t="s">
        <v>7959</v>
      </c>
    </row>
    <row r="1917" spans="1:14" s="1" customFormat="1" x14ac:dyDescent="0.35">
      <c r="A1917" s="1" t="s">
        <v>4492</v>
      </c>
      <c r="B1917" s="1" t="s">
        <v>2641</v>
      </c>
      <c r="C1917" s="1" t="s">
        <v>2690</v>
      </c>
      <c r="D1917" s="1" t="s">
        <v>7958</v>
      </c>
      <c r="E1917" s="1" t="str">
        <f>"5325"</f>
        <v>5325</v>
      </c>
      <c r="F1917" s="1" t="str">
        <f>"016111120"</f>
        <v>016111120</v>
      </c>
      <c r="G1917" s="1" t="s">
        <v>7957</v>
      </c>
      <c r="H1917" s="1" t="s">
        <v>15</v>
      </c>
      <c r="I1917" s="1" t="str">
        <f>"163"</f>
        <v>163</v>
      </c>
      <c r="J1917" s="3">
        <v>4.6399999999999997</v>
      </c>
      <c r="K1917" s="4">
        <v>46099</v>
      </c>
      <c r="L1917" s="4">
        <v>46100</v>
      </c>
      <c r="M1917" s="1" t="s">
        <v>4556</v>
      </c>
      <c r="N1917" s="1" t="s">
        <v>7956</v>
      </c>
    </row>
    <row r="1918" spans="1:14" s="1" customFormat="1" x14ac:dyDescent="0.35">
      <c r="A1918" s="1" t="s">
        <v>4492</v>
      </c>
      <c r="B1918" s="1" t="s">
        <v>2641</v>
      </c>
      <c r="C1918" s="1" t="s">
        <v>2690</v>
      </c>
      <c r="D1918" s="1" t="s">
        <v>7955</v>
      </c>
      <c r="E1918" s="1" t="str">
        <f>"6665"</f>
        <v>6665</v>
      </c>
      <c r="F1918" s="1" t="str">
        <f>"219061023"</f>
        <v>219061023</v>
      </c>
      <c r="G1918" s="1" t="s">
        <v>408</v>
      </c>
      <c r="H1918" s="1" t="s">
        <v>15</v>
      </c>
      <c r="I1918" s="1" t="str">
        <f>"2"</f>
        <v>2</v>
      </c>
      <c r="J1918" s="3" t="str">
        <f>"2450"</f>
        <v>2450</v>
      </c>
      <c r="K1918" s="4">
        <v>46107</v>
      </c>
      <c r="L1918" s="4">
        <v>46110</v>
      </c>
      <c r="M1918" s="1" t="s">
        <v>4524</v>
      </c>
      <c r="N1918" s="1" t="s">
        <v>7954</v>
      </c>
    </row>
    <row r="1919" spans="1:14" s="1" customFormat="1" x14ac:dyDescent="0.35">
      <c r="A1919" s="1" t="s">
        <v>4492</v>
      </c>
      <c r="B1919" s="1" t="s">
        <v>2641</v>
      </c>
      <c r="C1919" s="1" t="s">
        <v>2690</v>
      </c>
      <c r="D1919" s="1" t="s">
        <v>7953</v>
      </c>
      <c r="E1919" s="1" t="str">
        <f>"2330"</f>
        <v>2330</v>
      </c>
      <c r="F1919" s="1" t="str">
        <f>"013875443"</f>
        <v>013875443</v>
      </c>
      <c r="G1919" s="1" t="s">
        <v>2101</v>
      </c>
      <c r="H1919" s="1" t="s">
        <v>15</v>
      </c>
      <c r="I1919" s="1" t="str">
        <f>"2"</f>
        <v>2</v>
      </c>
      <c r="J1919" s="3" t="str">
        <f>"9535"</f>
        <v>9535</v>
      </c>
      <c r="K1919" s="4">
        <v>46102</v>
      </c>
      <c r="L1919" s="4">
        <v>46104</v>
      </c>
      <c r="M1919" s="1" t="s">
        <v>4556</v>
      </c>
      <c r="N1919" s="1" t="s">
        <v>7951</v>
      </c>
    </row>
    <row r="1920" spans="1:14" s="1" customFormat="1" x14ac:dyDescent="0.35">
      <c r="A1920" s="1" t="s">
        <v>4492</v>
      </c>
      <c r="B1920" s="1" t="s">
        <v>2641</v>
      </c>
      <c r="C1920" s="1" t="s">
        <v>2690</v>
      </c>
      <c r="D1920" s="1" t="s">
        <v>7952</v>
      </c>
      <c r="E1920" s="1" t="str">
        <f>"2330"</f>
        <v>2330</v>
      </c>
      <c r="F1920" s="1" t="str">
        <f>"013875426"</f>
        <v>013875426</v>
      </c>
      <c r="G1920" s="1" t="s">
        <v>2101</v>
      </c>
      <c r="H1920" s="1" t="s">
        <v>15</v>
      </c>
      <c r="I1920" s="1" t="str">
        <f>"1"</f>
        <v>1</v>
      </c>
      <c r="J1920" s="3" t="str">
        <f>"9535"</f>
        <v>9535</v>
      </c>
      <c r="K1920" s="4">
        <v>46102</v>
      </c>
      <c r="L1920" s="4">
        <v>46104</v>
      </c>
      <c r="M1920" s="1" t="s">
        <v>4556</v>
      </c>
      <c r="N1920" s="1" t="s">
        <v>7951</v>
      </c>
    </row>
    <row r="1921" spans="1:14" s="1" customFormat="1" x14ac:dyDescent="0.35">
      <c r="A1921" s="1" t="s">
        <v>4492</v>
      </c>
      <c r="B1921" s="1" t="s">
        <v>2641</v>
      </c>
      <c r="C1921" s="1" t="s">
        <v>2690</v>
      </c>
      <c r="D1921" s="1" t="s">
        <v>7950</v>
      </c>
      <c r="E1921" s="1" t="str">
        <f>"4910"</f>
        <v>4910</v>
      </c>
      <c r="F1921" s="1" t="s">
        <v>145</v>
      </c>
      <c r="G1921" s="1" t="s">
        <v>146</v>
      </c>
      <c r="H1921" s="1" t="s">
        <v>15</v>
      </c>
      <c r="I1921" s="1" t="str">
        <f>"1"</f>
        <v>1</v>
      </c>
      <c r="J1921" s="3" t="str">
        <f>"250"</f>
        <v>250</v>
      </c>
      <c r="K1921" s="4">
        <v>46109</v>
      </c>
      <c r="L1921" s="4">
        <v>46111</v>
      </c>
      <c r="N1921" s="1" t="s">
        <v>7948</v>
      </c>
    </row>
    <row r="1922" spans="1:14" s="1" customFormat="1" x14ac:dyDescent="0.35">
      <c r="A1922" s="1" t="s">
        <v>4492</v>
      </c>
      <c r="B1922" s="1" t="s">
        <v>2641</v>
      </c>
      <c r="C1922" s="1" t="s">
        <v>2690</v>
      </c>
      <c r="D1922" s="1" t="s">
        <v>7949</v>
      </c>
      <c r="E1922" s="1" t="str">
        <f>"4910"</f>
        <v>4910</v>
      </c>
      <c r="F1922" s="1" t="s">
        <v>145</v>
      </c>
      <c r="G1922" s="1" t="s">
        <v>146</v>
      </c>
      <c r="H1922" s="1" t="s">
        <v>15</v>
      </c>
      <c r="I1922" s="1" t="str">
        <f>"1"</f>
        <v>1</v>
      </c>
      <c r="J1922" s="3" t="str">
        <f>"250"</f>
        <v>250</v>
      </c>
      <c r="K1922" s="4">
        <v>46109</v>
      </c>
      <c r="L1922" s="4">
        <v>46111</v>
      </c>
      <c r="M1922" s="1" t="s">
        <v>4556</v>
      </c>
      <c r="N1922" s="1" t="s">
        <v>7948</v>
      </c>
    </row>
    <row r="1923" spans="1:14" s="1" customFormat="1" x14ac:dyDescent="0.35">
      <c r="A1923" s="1" t="s">
        <v>4492</v>
      </c>
      <c r="B1923" s="1" t="s">
        <v>3268</v>
      </c>
      <c r="C1923" s="1" t="s">
        <v>7947</v>
      </c>
      <c r="D1923" s="1" t="s">
        <v>7946</v>
      </c>
      <c r="E1923" s="1" t="str">
        <f>"6115"</f>
        <v>6115</v>
      </c>
      <c r="F1923" s="1" t="str">
        <f>"014619335"</f>
        <v>014619335</v>
      </c>
      <c r="G1923" s="1" t="s">
        <v>383</v>
      </c>
      <c r="H1923" s="1" t="s">
        <v>15</v>
      </c>
      <c r="I1923" s="1" t="str">
        <f>"1"</f>
        <v>1</v>
      </c>
      <c r="J1923" s="3">
        <v>26705.200000000001</v>
      </c>
      <c r="K1923" s="4">
        <v>46063</v>
      </c>
      <c r="L1923" s="4">
        <v>46067</v>
      </c>
      <c r="M1923" s="1" t="s">
        <v>4524</v>
      </c>
      <c r="N1923" s="1" t="s">
        <v>7945</v>
      </c>
    </row>
    <row r="1924" spans="1:14" s="1" customFormat="1" x14ac:dyDescent="0.35">
      <c r="A1924" s="1" t="s">
        <v>4492</v>
      </c>
      <c r="B1924" s="1" t="s">
        <v>3356</v>
      </c>
      <c r="C1924" s="1" t="s">
        <v>3575</v>
      </c>
      <c r="D1924" s="1" t="s">
        <v>7944</v>
      </c>
      <c r="E1924" s="1" t="str">
        <f>"2330"</f>
        <v>2330</v>
      </c>
      <c r="F1924" s="1" t="s">
        <v>104</v>
      </c>
      <c r="G1924" s="1" t="s">
        <v>105</v>
      </c>
      <c r="H1924" s="1" t="s">
        <v>15</v>
      </c>
      <c r="I1924" s="1" t="str">
        <f>"1"</f>
        <v>1</v>
      </c>
      <c r="J1924" s="3" t="str">
        <f>"6111"</f>
        <v>6111</v>
      </c>
      <c r="K1924" s="4">
        <v>46046</v>
      </c>
      <c r="L1924" s="4">
        <v>46060</v>
      </c>
      <c r="M1924" s="1" t="s">
        <v>7943</v>
      </c>
      <c r="N1924" s="1" t="s">
        <v>7942</v>
      </c>
    </row>
    <row r="1925" spans="1:14" s="1" customFormat="1" x14ac:dyDescent="0.35">
      <c r="A1925" s="1" t="s">
        <v>4492</v>
      </c>
      <c r="B1925" s="1" t="s">
        <v>3356</v>
      </c>
      <c r="C1925" s="1" t="s">
        <v>3575</v>
      </c>
      <c r="D1925" s="1" t="s">
        <v>7941</v>
      </c>
      <c r="E1925" s="1" t="str">
        <f>"2330"</f>
        <v>2330</v>
      </c>
      <c r="F1925" s="1" t="s">
        <v>104</v>
      </c>
      <c r="G1925" s="1" t="s">
        <v>105</v>
      </c>
      <c r="H1925" s="1" t="s">
        <v>15</v>
      </c>
      <c r="I1925" s="1" t="str">
        <f>"1"</f>
        <v>1</v>
      </c>
      <c r="J1925" s="3" t="str">
        <f>"45080"</f>
        <v>45080</v>
      </c>
      <c r="K1925" s="4">
        <v>46060</v>
      </c>
      <c r="L1925" s="4">
        <v>46062</v>
      </c>
      <c r="M1925" s="1" t="s">
        <v>4524</v>
      </c>
      <c r="N1925" s="1" t="s">
        <v>7940</v>
      </c>
    </row>
    <row r="1926" spans="1:14" s="1" customFormat="1" x14ac:dyDescent="0.35">
      <c r="A1926" s="1" t="s">
        <v>4492</v>
      </c>
      <c r="B1926" s="1" t="s">
        <v>3356</v>
      </c>
      <c r="C1926" s="1" t="s">
        <v>3575</v>
      </c>
      <c r="D1926" s="1" t="s">
        <v>7939</v>
      </c>
      <c r="E1926" s="1" t="str">
        <f>"2330"</f>
        <v>2330</v>
      </c>
      <c r="F1926" s="1" t="s">
        <v>104</v>
      </c>
      <c r="G1926" s="1" t="s">
        <v>105</v>
      </c>
      <c r="H1926" s="1" t="s">
        <v>15</v>
      </c>
      <c r="I1926" s="1" t="str">
        <f>"1"</f>
        <v>1</v>
      </c>
      <c r="J1926" s="3" t="str">
        <f>"5000"</f>
        <v>5000</v>
      </c>
      <c r="K1926" s="4">
        <v>46082</v>
      </c>
      <c r="L1926" s="4">
        <v>46088</v>
      </c>
      <c r="M1926" s="1" t="s">
        <v>7938</v>
      </c>
      <c r="N1926" s="1" t="s">
        <v>7937</v>
      </c>
    </row>
    <row r="1927" spans="1:14" s="1" customFormat="1" x14ac:dyDescent="0.35">
      <c r="A1927" s="1" t="s">
        <v>4492</v>
      </c>
      <c r="B1927" s="1" t="s">
        <v>3356</v>
      </c>
      <c r="C1927" s="1" t="s">
        <v>3575</v>
      </c>
      <c r="D1927" s="1" t="s">
        <v>7936</v>
      </c>
      <c r="E1927" s="1" t="str">
        <f>"2320"</f>
        <v>2320</v>
      </c>
      <c r="F1927" s="1" t="str">
        <f>"010907892"</f>
        <v>010907892</v>
      </c>
      <c r="G1927" s="1" t="s">
        <v>930</v>
      </c>
      <c r="H1927" s="1" t="s">
        <v>15</v>
      </c>
      <c r="I1927" s="1" t="str">
        <f>"1"</f>
        <v>1</v>
      </c>
      <c r="J1927" s="3" t="str">
        <f>"23000"</f>
        <v>23000</v>
      </c>
      <c r="K1927" s="4">
        <v>46095</v>
      </c>
      <c r="L1927" s="4">
        <v>46100</v>
      </c>
      <c r="M1927" s="1" t="s">
        <v>7935</v>
      </c>
      <c r="N1927" s="1" t="s">
        <v>7932</v>
      </c>
    </row>
    <row r="1928" spans="1:14" s="1" customFormat="1" x14ac:dyDescent="0.35">
      <c r="A1928" s="1" t="s">
        <v>4492</v>
      </c>
      <c r="B1928" s="1" t="s">
        <v>3356</v>
      </c>
      <c r="C1928" s="1" t="s">
        <v>3575</v>
      </c>
      <c r="D1928" s="1" t="s">
        <v>7934</v>
      </c>
      <c r="E1928" s="1" t="str">
        <f>"2310"</f>
        <v>2310</v>
      </c>
      <c r="F1928" s="1" t="s">
        <v>4332</v>
      </c>
      <c r="G1928" s="1" t="s">
        <v>4333</v>
      </c>
      <c r="H1928" s="1" t="s">
        <v>15</v>
      </c>
      <c r="I1928" s="1" t="str">
        <f>"1"</f>
        <v>1</v>
      </c>
      <c r="J1928" s="3">
        <v>26812.5</v>
      </c>
      <c r="K1928" s="4">
        <v>46095</v>
      </c>
      <c r="L1928" s="4">
        <v>46109</v>
      </c>
      <c r="M1928" s="1" t="s">
        <v>7933</v>
      </c>
      <c r="N1928" s="1" t="s">
        <v>7932</v>
      </c>
    </row>
    <row r="1929" spans="1:14" s="1" customFormat="1" x14ac:dyDescent="0.35">
      <c r="A1929" s="1" t="s">
        <v>4492</v>
      </c>
      <c r="B1929" s="1" t="s">
        <v>3822</v>
      </c>
      <c r="C1929" s="1" t="s">
        <v>4138</v>
      </c>
      <c r="D1929" s="1" t="s">
        <v>7931</v>
      </c>
      <c r="E1929" s="1" t="str">
        <f>"5855"</f>
        <v>5855</v>
      </c>
      <c r="F1929" s="1" t="str">
        <f>"015936375"</f>
        <v>015936375</v>
      </c>
      <c r="G1929" s="1" t="s">
        <v>1357</v>
      </c>
      <c r="H1929" s="1" t="s">
        <v>15</v>
      </c>
      <c r="I1929" s="1" t="str">
        <f>"13"</f>
        <v>13</v>
      </c>
      <c r="J1929" s="3">
        <v>668.29</v>
      </c>
      <c r="K1929" s="4">
        <v>46020</v>
      </c>
      <c r="L1929" s="4">
        <v>46028</v>
      </c>
      <c r="M1929" s="1" t="s">
        <v>7930</v>
      </c>
      <c r="N1929" s="1" t="s">
        <v>7929</v>
      </c>
    </row>
    <row r="1930" spans="1:14" s="1" customFormat="1" x14ac:dyDescent="0.35">
      <c r="A1930" s="1" t="s">
        <v>4492</v>
      </c>
      <c r="B1930" s="1" t="s">
        <v>3822</v>
      </c>
      <c r="C1930" s="1" t="s">
        <v>4138</v>
      </c>
      <c r="D1930" s="1" t="s">
        <v>7928</v>
      </c>
      <c r="E1930" s="1" t="str">
        <f>"6230"</f>
        <v>6230</v>
      </c>
      <c r="F1930" s="1" t="s">
        <v>3594</v>
      </c>
      <c r="G1930" s="1" t="s">
        <v>3595</v>
      </c>
      <c r="H1930" s="1" t="s">
        <v>15</v>
      </c>
      <c r="I1930" s="1" t="str">
        <f>"23"</f>
        <v>23</v>
      </c>
      <c r="J1930" s="3" t="str">
        <f>"60"</f>
        <v>60</v>
      </c>
      <c r="K1930" s="4">
        <v>46035</v>
      </c>
      <c r="L1930" s="4">
        <v>46036</v>
      </c>
      <c r="M1930" s="1" t="s">
        <v>7927</v>
      </c>
      <c r="N1930" s="1" t="s">
        <v>7926</v>
      </c>
    </row>
    <row r="1931" spans="1:14" s="1" customFormat="1" x14ac:dyDescent="0.35">
      <c r="A1931" s="1" t="s">
        <v>4492</v>
      </c>
      <c r="B1931" s="1" t="s">
        <v>3822</v>
      </c>
      <c r="C1931" s="1" t="s">
        <v>4138</v>
      </c>
      <c r="D1931" s="1" t="s">
        <v>7925</v>
      </c>
      <c r="E1931" s="1" t="str">
        <f>"5965"</f>
        <v>5965</v>
      </c>
      <c r="F1931" s="1" t="s">
        <v>7497</v>
      </c>
      <c r="G1931" s="1" t="s">
        <v>7496</v>
      </c>
      <c r="H1931" s="1" t="s">
        <v>15</v>
      </c>
      <c r="I1931" s="1" t="str">
        <f>"10"</f>
        <v>10</v>
      </c>
      <c r="J1931" s="3">
        <v>733.58</v>
      </c>
      <c r="K1931" s="4">
        <v>46042</v>
      </c>
      <c r="L1931" s="4">
        <v>46043</v>
      </c>
      <c r="M1931" s="1" t="s">
        <v>4524</v>
      </c>
      <c r="N1931" s="1" t="s">
        <v>7924</v>
      </c>
    </row>
    <row r="1932" spans="1:14" s="1" customFormat="1" x14ac:dyDescent="0.35">
      <c r="A1932" s="1" t="s">
        <v>4492</v>
      </c>
      <c r="B1932" s="1" t="s">
        <v>3822</v>
      </c>
      <c r="C1932" s="1" t="s">
        <v>4138</v>
      </c>
      <c r="D1932" s="1" t="s">
        <v>7923</v>
      </c>
      <c r="E1932" s="1" t="str">
        <f>"1240"</f>
        <v>1240</v>
      </c>
      <c r="F1932" s="1" t="s">
        <v>1364</v>
      </c>
      <c r="G1932" s="1" t="s">
        <v>1365</v>
      </c>
      <c r="H1932" s="1" t="s">
        <v>15</v>
      </c>
      <c r="I1932" s="1" t="str">
        <f>"7"</f>
        <v>7</v>
      </c>
      <c r="J1932" s="3">
        <v>699.99</v>
      </c>
      <c r="K1932" s="4">
        <v>46042</v>
      </c>
      <c r="L1932" s="4">
        <v>46044</v>
      </c>
      <c r="M1932" s="1" t="s">
        <v>7922</v>
      </c>
      <c r="N1932" s="1" t="s">
        <v>7921</v>
      </c>
    </row>
    <row r="1933" spans="1:14" s="1" customFormat="1" x14ac:dyDescent="0.35">
      <c r="A1933" s="1" t="s">
        <v>4492</v>
      </c>
      <c r="B1933" s="1" t="s">
        <v>3822</v>
      </c>
      <c r="C1933" s="1" t="s">
        <v>4138</v>
      </c>
      <c r="D1933" s="1" t="s">
        <v>7920</v>
      </c>
      <c r="E1933" s="1" t="str">
        <f>"5855"</f>
        <v>5855</v>
      </c>
      <c r="F1933" s="1" t="str">
        <f>"015485687"</f>
        <v>015485687</v>
      </c>
      <c r="G1933" s="1" t="s">
        <v>798</v>
      </c>
      <c r="H1933" s="1" t="s">
        <v>15</v>
      </c>
      <c r="I1933" s="1" t="str">
        <f>"10"</f>
        <v>10</v>
      </c>
      <c r="J1933" s="3" t="str">
        <f>"10402"</f>
        <v>10402</v>
      </c>
      <c r="K1933" s="4">
        <v>46059</v>
      </c>
      <c r="L1933" s="4">
        <v>46060</v>
      </c>
      <c r="M1933" s="1" t="s">
        <v>4524</v>
      </c>
      <c r="N1933" s="1" t="s">
        <v>7919</v>
      </c>
    </row>
    <row r="1934" spans="1:14" s="1" customFormat="1" x14ac:dyDescent="0.35">
      <c r="A1934" s="1" t="s">
        <v>4492</v>
      </c>
      <c r="B1934" s="1" t="s">
        <v>3822</v>
      </c>
      <c r="C1934" s="1" t="s">
        <v>4138</v>
      </c>
      <c r="D1934" s="1" t="s">
        <v>7918</v>
      </c>
      <c r="E1934" s="1" t="str">
        <f>"7810"</f>
        <v>7810</v>
      </c>
      <c r="F1934" s="1" t="s">
        <v>174</v>
      </c>
      <c r="G1934" s="1" t="s">
        <v>175</v>
      </c>
      <c r="H1934" s="1" t="s">
        <v>15</v>
      </c>
      <c r="I1934" s="1" t="str">
        <f>"20"</f>
        <v>20</v>
      </c>
      <c r="J1934" s="3" t="str">
        <f>"30"</f>
        <v>30</v>
      </c>
      <c r="K1934" s="4">
        <v>46049</v>
      </c>
      <c r="L1934" s="4">
        <v>46059</v>
      </c>
      <c r="M1934" s="1" t="s">
        <v>7917</v>
      </c>
      <c r="N1934" s="1" t="s">
        <v>7916</v>
      </c>
    </row>
    <row r="1935" spans="1:14" s="1" customFormat="1" x14ac:dyDescent="0.35">
      <c r="A1935" s="1" t="s">
        <v>4492</v>
      </c>
      <c r="B1935" s="1" t="s">
        <v>3822</v>
      </c>
      <c r="C1935" s="1" t="s">
        <v>4138</v>
      </c>
      <c r="D1935" s="1" t="s">
        <v>7915</v>
      </c>
      <c r="E1935" s="1" t="str">
        <f>"6230"</f>
        <v>6230</v>
      </c>
      <c r="F1935" s="1" t="str">
        <f>"015978436"</f>
        <v>015978436</v>
      </c>
      <c r="G1935" s="1" t="s">
        <v>4634</v>
      </c>
      <c r="H1935" s="1" t="s">
        <v>15</v>
      </c>
      <c r="I1935" s="1" t="str">
        <f>"3"</f>
        <v>3</v>
      </c>
      <c r="J1935" s="3">
        <v>1422.63</v>
      </c>
      <c r="K1935" s="4">
        <v>46049</v>
      </c>
      <c r="L1935" s="4">
        <v>46050</v>
      </c>
      <c r="M1935" s="1" t="s">
        <v>4524</v>
      </c>
      <c r="N1935" s="1" t="s">
        <v>7914</v>
      </c>
    </row>
    <row r="1936" spans="1:14" s="1" customFormat="1" x14ac:dyDescent="0.35">
      <c r="A1936" s="1" t="s">
        <v>4492</v>
      </c>
      <c r="B1936" s="1" t="s">
        <v>3822</v>
      </c>
      <c r="C1936" s="1" t="s">
        <v>4138</v>
      </c>
      <c r="D1936" s="1" t="s">
        <v>7913</v>
      </c>
      <c r="E1936" s="1" t="str">
        <f>"1005"</f>
        <v>1005</v>
      </c>
      <c r="F1936" s="1" t="s">
        <v>2213</v>
      </c>
      <c r="G1936" s="1" t="s">
        <v>2214</v>
      </c>
      <c r="H1936" s="1" t="s">
        <v>15</v>
      </c>
      <c r="I1936" s="1" t="str">
        <f>"7"</f>
        <v>7</v>
      </c>
      <c r="J1936" s="3">
        <v>3224.73</v>
      </c>
      <c r="K1936" s="4">
        <v>46063</v>
      </c>
      <c r="L1936" s="4">
        <v>46064</v>
      </c>
      <c r="M1936" s="1" t="s">
        <v>4524</v>
      </c>
      <c r="N1936" s="1" t="s">
        <v>7909</v>
      </c>
    </row>
    <row r="1937" spans="1:14" s="1" customFormat="1" x14ac:dyDescent="0.35">
      <c r="A1937" s="1" t="s">
        <v>4492</v>
      </c>
      <c r="B1937" s="1" t="s">
        <v>3822</v>
      </c>
      <c r="C1937" s="1" t="s">
        <v>4138</v>
      </c>
      <c r="D1937" s="1" t="s">
        <v>7912</v>
      </c>
      <c r="E1937" s="1" t="str">
        <f>"1005"</f>
        <v>1005</v>
      </c>
      <c r="F1937" s="1" t="s">
        <v>2213</v>
      </c>
      <c r="G1937" s="1" t="s">
        <v>2214</v>
      </c>
      <c r="H1937" s="1" t="s">
        <v>15</v>
      </c>
      <c r="I1937" s="1" t="str">
        <f>"4"</f>
        <v>4</v>
      </c>
      <c r="J1937" s="3">
        <v>3791.8</v>
      </c>
      <c r="K1937" s="4">
        <v>46063</v>
      </c>
      <c r="L1937" s="4">
        <v>46064</v>
      </c>
      <c r="M1937" s="1" t="s">
        <v>4524</v>
      </c>
      <c r="N1937" s="1" t="s">
        <v>7909</v>
      </c>
    </row>
    <row r="1938" spans="1:14" s="1" customFormat="1" x14ac:dyDescent="0.35">
      <c r="A1938" s="1" t="s">
        <v>4492</v>
      </c>
      <c r="B1938" s="1" t="s">
        <v>3822</v>
      </c>
      <c r="C1938" s="1" t="s">
        <v>4138</v>
      </c>
      <c r="D1938" s="1" t="s">
        <v>7911</v>
      </c>
      <c r="E1938" s="1" t="str">
        <f>"1005"</f>
        <v>1005</v>
      </c>
      <c r="F1938" s="1" t="s">
        <v>2213</v>
      </c>
      <c r="G1938" s="1" t="s">
        <v>2214</v>
      </c>
      <c r="H1938" s="1" t="s">
        <v>15</v>
      </c>
      <c r="I1938" s="1" t="str">
        <f>"1"</f>
        <v>1</v>
      </c>
      <c r="J1938" s="3">
        <v>3224.71</v>
      </c>
      <c r="K1938" s="4">
        <v>46063</v>
      </c>
      <c r="L1938" s="4">
        <v>46065</v>
      </c>
      <c r="M1938" s="1" t="s">
        <v>7910</v>
      </c>
      <c r="N1938" s="1" t="s">
        <v>7909</v>
      </c>
    </row>
    <row r="1939" spans="1:14" s="1" customFormat="1" x14ac:dyDescent="0.35">
      <c r="A1939" s="1" t="s">
        <v>4492</v>
      </c>
      <c r="B1939" s="1" t="s">
        <v>3822</v>
      </c>
      <c r="C1939" s="1" t="s">
        <v>4138</v>
      </c>
      <c r="D1939" s="1" t="s">
        <v>7908</v>
      </c>
      <c r="E1939" s="1" t="str">
        <f>"6230"</f>
        <v>6230</v>
      </c>
      <c r="F1939" s="1" t="str">
        <f>"014954298"</f>
        <v>014954298</v>
      </c>
      <c r="G1939" s="1" t="s">
        <v>4051</v>
      </c>
      <c r="H1939" s="1" t="s">
        <v>206</v>
      </c>
      <c r="I1939" s="1" t="str">
        <f>"8"</f>
        <v>8</v>
      </c>
      <c r="J1939" s="3">
        <v>91.57</v>
      </c>
      <c r="K1939" s="4">
        <v>46063</v>
      </c>
      <c r="L1939" s="4">
        <v>46065</v>
      </c>
      <c r="M1939" s="1" t="s">
        <v>7907</v>
      </c>
      <c r="N1939" s="1" t="s">
        <v>7906</v>
      </c>
    </row>
    <row r="1940" spans="1:14" s="1" customFormat="1" x14ac:dyDescent="0.35">
      <c r="A1940" s="1" t="s">
        <v>4492</v>
      </c>
      <c r="B1940" s="1" t="s">
        <v>3822</v>
      </c>
      <c r="C1940" s="1" t="s">
        <v>4138</v>
      </c>
      <c r="D1940" s="1" t="s">
        <v>7905</v>
      </c>
      <c r="E1940" s="1" t="str">
        <f>"4910"</f>
        <v>4910</v>
      </c>
      <c r="F1940" s="1" t="str">
        <f>"016203116"</f>
        <v>016203116</v>
      </c>
      <c r="G1940" s="1" t="s">
        <v>4386</v>
      </c>
      <c r="H1940" s="1" t="s">
        <v>168</v>
      </c>
      <c r="I1940" s="1" t="str">
        <f>"5"</f>
        <v>5</v>
      </c>
      <c r="J1940" s="3">
        <v>5039.3599999999997</v>
      </c>
      <c r="K1940" s="4">
        <v>46071</v>
      </c>
      <c r="L1940" s="4">
        <v>46072</v>
      </c>
      <c r="M1940" s="1" t="s">
        <v>4524</v>
      </c>
      <c r="N1940" s="1" t="s">
        <v>7904</v>
      </c>
    </row>
    <row r="1941" spans="1:14" s="1" customFormat="1" x14ac:dyDescent="0.35">
      <c r="A1941" s="1" t="s">
        <v>4492</v>
      </c>
      <c r="B1941" s="1" t="s">
        <v>1293</v>
      </c>
      <c r="C1941" s="1" t="s">
        <v>7899</v>
      </c>
      <c r="D1941" s="1" t="s">
        <v>7903</v>
      </c>
      <c r="E1941" s="1" t="str">
        <f>"2320"</f>
        <v>2320</v>
      </c>
      <c r="F1941" s="1" t="str">
        <f>"015187332"</f>
        <v>015187332</v>
      </c>
      <c r="G1941" s="1" t="s">
        <v>1860</v>
      </c>
      <c r="H1941" s="1" t="s">
        <v>15</v>
      </c>
      <c r="I1941" s="1" t="str">
        <f>"1"</f>
        <v>1</v>
      </c>
      <c r="J1941" s="3" t="str">
        <f>"143579"</f>
        <v>143579</v>
      </c>
      <c r="K1941" s="4">
        <v>46080</v>
      </c>
      <c r="L1941" s="4">
        <v>46082</v>
      </c>
      <c r="M1941" s="1" t="s">
        <v>4524</v>
      </c>
      <c r="N1941" s="1" t="s">
        <v>7902</v>
      </c>
    </row>
    <row r="1942" spans="1:14" s="1" customFormat="1" x14ac:dyDescent="0.35">
      <c r="A1942" s="1" t="s">
        <v>4492</v>
      </c>
      <c r="B1942" s="1" t="s">
        <v>1293</v>
      </c>
      <c r="C1942" s="1" t="s">
        <v>7899</v>
      </c>
      <c r="D1942" s="1" t="s">
        <v>7901</v>
      </c>
      <c r="E1942" s="1" t="str">
        <f>"2320"</f>
        <v>2320</v>
      </c>
      <c r="F1942" s="1" t="str">
        <f>"015187332"</f>
        <v>015187332</v>
      </c>
      <c r="G1942" s="1" t="s">
        <v>1860</v>
      </c>
      <c r="H1942" s="1" t="s">
        <v>15</v>
      </c>
      <c r="I1942" s="1" t="str">
        <f>"1"</f>
        <v>1</v>
      </c>
      <c r="J1942" s="3" t="str">
        <f>"143579"</f>
        <v>143579</v>
      </c>
      <c r="K1942" s="4">
        <v>46080</v>
      </c>
      <c r="L1942" s="4">
        <v>46082</v>
      </c>
      <c r="M1942" s="1" t="s">
        <v>4524</v>
      </c>
      <c r="N1942" s="1" t="s">
        <v>7900</v>
      </c>
    </row>
    <row r="1943" spans="1:14" s="1" customFormat="1" x14ac:dyDescent="0.35">
      <c r="A1943" s="1" t="s">
        <v>4492</v>
      </c>
      <c r="B1943" s="1" t="s">
        <v>1293</v>
      </c>
      <c r="C1943" s="1" t="s">
        <v>7899</v>
      </c>
      <c r="D1943" s="1" t="s">
        <v>7898</v>
      </c>
      <c r="E1943" s="1" t="str">
        <f>"2360"</f>
        <v>2360</v>
      </c>
      <c r="F1943" s="1" t="str">
        <f>"016631082"</f>
        <v>016631082</v>
      </c>
      <c r="G1943" s="1" t="s">
        <v>1275</v>
      </c>
      <c r="H1943" s="1" t="s">
        <v>15</v>
      </c>
      <c r="I1943" s="1" t="str">
        <f>"1"</f>
        <v>1</v>
      </c>
      <c r="J1943" s="3" t="str">
        <f>"77060"</f>
        <v>77060</v>
      </c>
      <c r="K1943" s="4">
        <v>46080</v>
      </c>
      <c r="L1943" s="4">
        <v>46087</v>
      </c>
      <c r="M1943" s="1" t="s">
        <v>7897</v>
      </c>
      <c r="N1943" s="1" t="s">
        <v>7896</v>
      </c>
    </row>
    <row r="1944" spans="1:14" s="1" customFormat="1" x14ac:dyDescent="0.35">
      <c r="A1944" s="1" t="s">
        <v>4492</v>
      </c>
      <c r="B1944" s="1" t="s">
        <v>1989</v>
      </c>
      <c r="C1944" s="1" t="s">
        <v>7895</v>
      </c>
      <c r="D1944" s="1" t="s">
        <v>7894</v>
      </c>
      <c r="E1944" s="1" t="str">
        <f>"2310"</f>
        <v>2310</v>
      </c>
      <c r="F1944" s="1" t="s">
        <v>4332</v>
      </c>
      <c r="G1944" s="1" t="s">
        <v>4333</v>
      </c>
      <c r="H1944" s="1" t="s">
        <v>15</v>
      </c>
      <c r="I1944" s="1" t="str">
        <f>"1"</f>
        <v>1</v>
      </c>
      <c r="J1944" s="3" t="str">
        <f>"20000"</f>
        <v>20000</v>
      </c>
      <c r="K1944" s="4">
        <v>46086</v>
      </c>
      <c r="L1944" s="4">
        <v>46087</v>
      </c>
      <c r="N1944" s="1" t="s">
        <v>7893</v>
      </c>
    </row>
    <row r="1945" spans="1:14" s="1" customFormat="1" x14ac:dyDescent="0.35">
      <c r="A1945" s="1" t="s">
        <v>4492</v>
      </c>
      <c r="B1945" s="1" t="s">
        <v>1303</v>
      </c>
      <c r="C1945" s="1" t="s">
        <v>1384</v>
      </c>
      <c r="D1945" s="1" t="s">
        <v>7892</v>
      </c>
      <c r="E1945" s="1" t="str">
        <f>"5855"</f>
        <v>5855</v>
      </c>
      <c r="F1945" s="1" t="s">
        <v>1390</v>
      </c>
      <c r="G1945" s="1" t="s">
        <v>1391</v>
      </c>
      <c r="H1945" s="1" t="s">
        <v>15</v>
      </c>
      <c r="I1945" s="1" t="str">
        <f>"6"</f>
        <v>6</v>
      </c>
      <c r="J1945" s="3" t="str">
        <f>"13500"</f>
        <v>13500</v>
      </c>
      <c r="K1945" s="4">
        <v>46052</v>
      </c>
      <c r="L1945" s="4">
        <v>46055</v>
      </c>
      <c r="M1945" s="1" t="s">
        <v>7891</v>
      </c>
      <c r="N1945" s="1" t="s">
        <v>1386</v>
      </c>
    </row>
    <row r="1946" spans="1:14" s="1" customFormat="1" x14ac:dyDescent="0.35">
      <c r="A1946" s="1" t="s">
        <v>4492</v>
      </c>
      <c r="B1946" s="1" t="s">
        <v>1303</v>
      </c>
      <c r="C1946" s="1" t="s">
        <v>1384</v>
      </c>
      <c r="D1946" s="1" t="s">
        <v>7890</v>
      </c>
      <c r="E1946" s="1" t="str">
        <f>"5855"</f>
        <v>5855</v>
      </c>
      <c r="F1946" s="1" t="s">
        <v>1390</v>
      </c>
      <c r="G1946" s="1" t="s">
        <v>1391</v>
      </c>
      <c r="H1946" s="1" t="s">
        <v>15</v>
      </c>
      <c r="I1946" s="1" t="str">
        <f>"1"</f>
        <v>1</v>
      </c>
      <c r="J1946" s="3" t="str">
        <f>"34500"</f>
        <v>34500</v>
      </c>
      <c r="K1946" s="4">
        <v>46052</v>
      </c>
      <c r="L1946" s="4">
        <v>46056</v>
      </c>
      <c r="M1946" s="1" t="s">
        <v>7889</v>
      </c>
      <c r="N1946" s="1" t="s">
        <v>1386</v>
      </c>
    </row>
    <row r="1947" spans="1:14" s="1" customFormat="1" x14ac:dyDescent="0.35">
      <c r="A1947" s="1" t="s">
        <v>4492</v>
      </c>
      <c r="B1947" s="1" t="s">
        <v>1303</v>
      </c>
      <c r="C1947" s="1" t="s">
        <v>1384</v>
      </c>
      <c r="D1947" s="1" t="s">
        <v>7888</v>
      </c>
      <c r="E1947" s="1" t="str">
        <f>"5855"</f>
        <v>5855</v>
      </c>
      <c r="F1947" s="1" t="s">
        <v>1390</v>
      </c>
      <c r="G1947" s="1" t="s">
        <v>1391</v>
      </c>
      <c r="H1947" s="1" t="s">
        <v>15</v>
      </c>
      <c r="I1947" s="1" t="str">
        <f>"8"</f>
        <v>8</v>
      </c>
      <c r="J1947" s="3" t="str">
        <f>"13500"</f>
        <v>13500</v>
      </c>
      <c r="K1947" s="4">
        <v>46062</v>
      </c>
      <c r="L1947" s="4">
        <v>46063</v>
      </c>
      <c r="M1947" s="1" t="s">
        <v>4556</v>
      </c>
      <c r="N1947" s="1" t="s">
        <v>1386</v>
      </c>
    </row>
    <row r="1948" spans="1:14" s="1" customFormat="1" x14ac:dyDescent="0.35">
      <c r="A1948" s="1" t="s">
        <v>4492</v>
      </c>
      <c r="B1948" s="1" t="s">
        <v>1303</v>
      </c>
      <c r="C1948" s="1" t="s">
        <v>1384</v>
      </c>
      <c r="D1948" s="1" t="s">
        <v>7887</v>
      </c>
      <c r="E1948" s="1" t="str">
        <f>"5855"</f>
        <v>5855</v>
      </c>
      <c r="F1948" s="1" t="s">
        <v>1390</v>
      </c>
      <c r="G1948" s="1" t="s">
        <v>1391</v>
      </c>
      <c r="H1948" s="1" t="s">
        <v>15</v>
      </c>
      <c r="I1948" s="1" t="str">
        <f>"8"</f>
        <v>8</v>
      </c>
      <c r="J1948" s="3" t="str">
        <f>"13500"</f>
        <v>13500</v>
      </c>
      <c r="K1948" s="4">
        <v>46063</v>
      </c>
      <c r="L1948" s="4">
        <v>46071</v>
      </c>
      <c r="M1948" s="1" t="s">
        <v>7886</v>
      </c>
      <c r="N1948" s="1" t="s">
        <v>1392</v>
      </c>
    </row>
    <row r="1949" spans="1:14" s="1" customFormat="1" x14ac:dyDescent="0.35">
      <c r="A1949" s="1" t="s">
        <v>4492</v>
      </c>
      <c r="B1949" s="1" t="s">
        <v>1303</v>
      </c>
      <c r="C1949" s="1" t="s">
        <v>1384</v>
      </c>
      <c r="D1949" s="1" t="s">
        <v>7885</v>
      </c>
      <c r="E1949" s="1" t="str">
        <f>"5855"</f>
        <v>5855</v>
      </c>
      <c r="F1949" s="1" t="str">
        <f>"016800712"</f>
        <v>016800712</v>
      </c>
      <c r="G1949" s="1" t="s">
        <v>5381</v>
      </c>
      <c r="H1949" s="1" t="s">
        <v>15</v>
      </c>
      <c r="I1949" s="1" t="str">
        <f>"5"</f>
        <v>5</v>
      </c>
      <c r="J1949" s="3" t="str">
        <f>"3000"</f>
        <v>3000</v>
      </c>
      <c r="K1949" s="4">
        <v>46083</v>
      </c>
      <c r="L1949" s="4">
        <v>46085</v>
      </c>
      <c r="N1949" s="1" t="s">
        <v>1392</v>
      </c>
    </row>
    <row r="1950" spans="1:14" s="1" customFormat="1" x14ac:dyDescent="0.35">
      <c r="A1950" s="1" t="s">
        <v>4492</v>
      </c>
      <c r="B1950" s="1" t="s">
        <v>1303</v>
      </c>
      <c r="C1950" s="1" t="s">
        <v>1384</v>
      </c>
      <c r="D1950" s="1" t="s">
        <v>7884</v>
      </c>
      <c r="E1950" s="1" t="str">
        <f>"5855"</f>
        <v>5855</v>
      </c>
      <c r="F1950" s="1" t="str">
        <f>"014199429"</f>
        <v>014199429</v>
      </c>
      <c r="G1950" s="1" t="s">
        <v>614</v>
      </c>
      <c r="H1950" s="1" t="s">
        <v>15</v>
      </c>
      <c r="I1950" s="1" t="str">
        <f>"10"</f>
        <v>10</v>
      </c>
      <c r="J1950" s="3" t="str">
        <f>"13003"</f>
        <v>13003</v>
      </c>
      <c r="K1950" s="4">
        <v>46086</v>
      </c>
      <c r="L1950" s="4">
        <v>46095</v>
      </c>
      <c r="M1950" s="1" t="s">
        <v>7883</v>
      </c>
      <c r="N1950" s="1" t="s">
        <v>1392</v>
      </c>
    </row>
    <row r="1951" spans="1:14" s="1" customFormat="1" x14ac:dyDescent="0.35">
      <c r="A1951" s="1" t="s">
        <v>4492</v>
      </c>
      <c r="B1951" s="1" t="s">
        <v>1303</v>
      </c>
      <c r="C1951" s="1" t="s">
        <v>1384</v>
      </c>
      <c r="D1951" s="1" t="s">
        <v>7882</v>
      </c>
      <c r="E1951" s="1" t="str">
        <f>"5855"</f>
        <v>5855</v>
      </c>
      <c r="F1951" s="1" t="str">
        <f>"015847217"</f>
        <v>015847217</v>
      </c>
      <c r="G1951" s="1" t="s">
        <v>614</v>
      </c>
      <c r="H1951" s="1" t="s">
        <v>15</v>
      </c>
      <c r="I1951" s="1" t="str">
        <f>"5"</f>
        <v>5</v>
      </c>
      <c r="J1951" s="3" t="str">
        <f>"34084"</f>
        <v>34084</v>
      </c>
      <c r="K1951" s="4">
        <v>46105</v>
      </c>
      <c r="L1951" s="4">
        <v>46106</v>
      </c>
      <c r="M1951" s="1" t="s">
        <v>4524</v>
      </c>
      <c r="N1951" s="1" t="s">
        <v>1392</v>
      </c>
    </row>
    <row r="1952" spans="1:14" s="1" customFormat="1" x14ac:dyDescent="0.35">
      <c r="A1952" s="1" t="s">
        <v>4492</v>
      </c>
      <c r="B1952" s="1" t="s">
        <v>3268</v>
      </c>
      <c r="C1952" s="1" t="s">
        <v>7881</v>
      </c>
      <c r="D1952" s="1" t="s">
        <v>7880</v>
      </c>
      <c r="E1952" s="1" t="str">
        <f>"7025"</f>
        <v>7025</v>
      </c>
      <c r="F1952" s="1" t="s">
        <v>5976</v>
      </c>
      <c r="G1952" s="1" t="s">
        <v>5975</v>
      </c>
      <c r="H1952" s="1" t="s">
        <v>15</v>
      </c>
      <c r="I1952" s="1" t="str">
        <f>"7"</f>
        <v>7</v>
      </c>
      <c r="J1952" s="3">
        <v>651.4</v>
      </c>
      <c r="K1952" s="4">
        <v>46100</v>
      </c>
      <c r="L1952" s="4">
        <v>46101</v>
      </c>
      <c r="M1952" s="1" t="s">
        <v>4524</v>
      </c>
      <c r="N1952" s="1" t="s">
        <v>7879</v>
      </c>
    </row>
    <row r="1953" spans="1:14" s="1" customFormat="1" x14ac:dyDescent="0.35">
      <c r="A1953" s="1" t="s">
        <v>4492</v>
      </c>
      <c r="B1953" s="1" t="s">
        <v>1791</v>
      </c>
      <c r="C1953" s="1" t="s">
        <v>1821</v>
      </c>
      <c r="D1953" s="1" t="s">
        <v>7878</v>
      </c>
      <c r="E1953" s="1" t="str">
        <f>"2330"</f>
        <v>2330</v>
      </c>
      <c r="F1953" s="1" t="str">
        <f>"010907919"</f>
        <v>010907919</v>
      </c>
      <c r="G1953" s="1" t="s">
        <v>7877</v>
      </c>
      <c r="H1953" s="1" t="s">
        <v>15</v>
      </c>
      <c r="I1953" s="1" t="str">
        <f>"1"</f>
        <v>1</v>
      </c>
      <c r="J1953" s="3" t="str">
        <f>"24035"</f>
        <v>24035</v>
      </c>
      <c r="K1953" s="4">
        <v>45912</v>
      </c>
      <c r="L1953" s="4">
        <v>46026</v>
      </c>
      <c r="M1953" s="1" t="s">
        <v>7876</v>
      </c>
      <c r="N1953" s="1" t="s">
        <v>7875</v>
      </c>
    </row>
    <row r="1954" spans="1:14" s="1" customFormat="1" x14ac:dyDescent="0.35">
      <c r="A1954" s="1" t="s">
        <v>4492</v>
      </c>
      <c r="B1954" s="1" t="s">
        <v>1791</v>
      </c>
      <c r="C1954" s="1" t="s">
        <v>1821</v>
      </c>
      <c r="D1954" s="1" t="s">
        <v>7874</v>
      </c>
      <c r="E1954" s="1" t="str">
        <f>"2320"</f>
        <v>2320</v>
      </c>
      <c r="F1954" s="1" t="str">
        <f>"014474938"</f>
        <v>014474938</v>
      </c>
      <c r="G1954" s="1" t="s">
        <v>1093</v>
      </c>
      <c r="H1954" s="1" t="s">
        <v>15</v>
      </c>
      <c r="I1954" s="1" t="str">
        <f>"1"</f>
        <v>1</v>
      </c>
      <c r="J1954" s="3" t="str">
        <f>"230363"</f>
        <v>230363</v>
      </c>
      <c r="K1954" s="4">
        <v>46051</v>
      </c>
      <c r="L1954" s="4">
        <v>46058</v>
      </c>
      <c r="M1954" s="1" t="s">
        <v>7873</v>
      </c>
      <c r="N1954" s="1" t="s">
        <v>7872</v>
      </c>
    </row>
    <row r="1955" spans="1:14" s="1" customFormat="1" x14ac:dyDescent="0.35">
      <c r="A1955" s="1" t="s">
        <v>4492</v>
      </c>
      <c r="B1955" s="1" t="s">
        <v>1791</v>
      </c>
      <c r="C1955" s="1" t="s">
        <v>1821</v>
      </c>
      <c r="D1955" s="1" t="s">
        <v>7871</v>
      </c>
      <c r="E1955" s="1" t="str">
        <f>"2330"</f>
        <v>2330</v>
      </c>
      <c r="F1955" s="1" t="s">
        <v>104</v>
      </c>
      <c r="G1955" s="1" t="s">
        <v>105</v>
      </c>
      <c r="H1955" s="1" t="s">
        <v>15</v>
      </c>
      <c r="I1955" s="1" t="str">
        <f>"1"</f>
        <v>1</v>
      </c>
      <c r="J1955" s="3" t="str">
        <f>"5000"</f>
        <v>5000</v>
      </c>
      <c r="K1955" s="4">
        <v>46080</v>
      </c>
      <c r="L1955" s="4">
        <v>46088</v>
      </c>
      <c r="M1955" s="1" t="s">
        <v>7870</v>
      </c>
      <c r="N1955" s="1" t="s">
        <v>7869</v>
      </c>
    </row>
    <row r="1956" spans="1:14" s="1" customFormat="1" x14ac:dyDescent="0.35">
      <c r="A1956" s="1" t="s">
        <v>4492</v>
      </c>
      <c r="B1956" s="1" t="s">
        <v>1791</v>
      </c>
      <c r="C1956" s="1" t="s">
        <v>1821</v>
      </c>
      <c r="D1956" s="1" t="s">
        <v>7868</v>
      </c>
      <c r="E1956" s="1" t="str">
        <f>"6910"</f>
        <v>6910</v>
      </c>
      <c r="F1956" s="1" t="str">
        <f>"016297815"</f>
        <v>016297815</v>
      </c>
      <c r="G1956" s="1" t="s">
        <v>1048</v>
      </c>
      <c r="H1956" s="1" t="s">
        <v>257</v>
      </c>
      <c r="I1956" s="1" t="str">
        <f>"3"</f>
        <v>3</v>
      </c>
      <c r="J1956" s="3">
        <v>428158.5</v>
      </c>
      <c r="K1956" s="4">
        <v>46083</v>
      </c>
      <c r="L1956" s="4">
        <v>46087</v>
      </c>
      <c r="M1956" s="1" t="s">
        <v>7867</v>
      </c>
      <c r="N1956" s="1" t="s">
        <v>7866</v>
      </c>
    </row>
    <row r="1957" spans="1:14" s="1" customFormat="1" x14ac:dyDescent="0.35">
      <c r="A1957" s="1" t="s">
        <v>4492</v>
      </c>
      <c r="B1957" s="1" t="s">
        <v>1791</v>
      </c>
      <c r="C1957" s="1" t="s">
        <v>1821</v>
      </c>
      <c r="D1957" s="1" t="s">
        <v>7865</v>
      </c>
      <c r="E1957" s="1" t="str">
        <f>"5410"</f>
        <v>5410</v>
      </c>
      <c r="F1957" s="1" t="str">
        <f>"014518080"</f>
        <v>014518080</v>
      </c>
      <c r="G1957" s="1" t="s">
        <v>1892</v>
      </c>
      <c r="H1957" s="1" t="s">
        <v>15</v>
      </c>
      <c r="I1957" s="1" t="str">
        <f>"1"</f>
        <v>1</v>
      </c>
      <c r="J1957" s="3">
        <v>112715.04</v>
      </c>
      <c r="K1957" s="4">
        <v>46083</v>
      </c>
      <c r="L1957" s="4">
        <v>46088</v>
      </c>
      <c r="M1957" s="1" t="s">
        <v>7864</v>
      </c>
      <c r="N1957" s="1" t="s">
        <v>7863</v>
      </c>
    </row>
    <row r="1958" spans="1:14" s="1" customFormat="1" x14ac:dyDescent="0.35">
      <c r="A1958" s="1" t="s">
        <v>4492</v>
      </c>
      <c r="B1958" s="1" t="s">
        <v>1791</v>
      </c>
      <c r="C1958" s="1" t="s">
        <v>1821</v>
      </c>
      <c r="D1958" s="1" t="s">
        <v>7862</v>
      </c>
      <c r="E1958" s="1" t="str">
        <f>"5999"</f>
        <v>5999</v>
      </c>
      <c r="F1958" s="1" t="str">
        <f>"016896364"</f>
        <v>016896364</v>
      </c>
      <c r="G1958" s="1" t="s">
        <v>7861</v>
      </c>
      <c r="H1958" s="1" t="s">
        <v>15</v>
      </c>
      <c r="I1958" s="1" t="str">
        <f>"30"</f>
        <v>30</v>
      </c>
      <c r="J1958" s="3" t="str">
        <f>"1140"</f>
        <v>1140</v>
      </c>
      <c r="K1958" s="4">
        <v>46083</v>
      </c>
      <c r="L1958" s="4">
        <v>46087</v>
      </c>
      <c r="M1958" s="1" t="s">
        <v>7860</v>
      </c>
      <c r="N1958" s="1" t="s">
        <v>7859</v>
      </c>
    </row>
    <row r="1959" spans="1:14" s="1" customFormat="1" x14ac:dyDescent="0.35">
      <c r="A1959" s="1" t="s">
        <v>4492</v>
      </c>
      <c r="B1959" s="1" t="s">
        <v>1791</v>
      </c>
      <c r="C1959" s="1" t="s">
        <v>1821</v>
      </c>
      <c r="D1959" s="1" t="s">
        <v>7858</v>
      </c>
      <c r="E1959" s="1" t="str">
        <f>"2350"</f>
        <v>2350</v>
      </c>
      <c r="F1959" s="1" t="str">
        <f>"010969356"</f>
        <v>010969356</v>
      </c>
      <c r="G1959" s="1" t="s">
        <v>7857</v>
      </c>
      <c r="H1959" s="1" t="s">
        <v>15</v>
      </c>
      <c r="I1959" s="1" t="str">
        <f>"1"</f>
        <v>1</v>
      </c>
      <c r="J1959" s="3" t="str">
        <f>"244120"</f>
        <v>244120</v>
      </c>
      <c r="K1959" s="4">
        <v>46084</v>
      </c>
      <c r="L1959" s="4">
        <v>46087</v>
      </c>
      <c r="M1959" s="1" t="s">
        <v>7856</v>
      </c>
      <c r="N1959" s="1" t="s">
        <v>7855</v>
      </c>
    </row>
    <row r="1960" spans="1:14" s="1" customFormat="1" x14ac:dyDescent="0.35">
      <c r="A1960" s="1" t="s">
        <v>4492</v>
      </c>
      <c r="B1960" s="1" t="s">
        <v>1791</v>
      </c>
      <c r="C1960" s="1" t="s">
        <v>1821</v>
      </c>
      <c r="D1960" s="1" t="s">
        <v>7854</v>
      </c>
      <c r="E1960" s="1" t="str">
        <f>"3805"</f>
        <v>3805</v>
      </c>
      <c r="F1960" s="1" t="s">
        <v>1020</v>
      </c>
      <c r="G1960" s="1" t="s">
        <v>1021</v>
      </c>
      <c r="H1960" s="1" t="s">
        <v>15</v>
      </c>
      <c r="I1960" s="1" t="str">
        <f>"1"</f>
        <v>1</v>
      </c>
      <c r="J1960" s="3" t="str">
        <f>"5625"</f>
        <v>5625</v>
      </c>
      <c r="K1960" s="4">
        <v>46097</v>
      </c>
      <c r="L1960" s="4">
        <v>46103</v>
      </c>
      <c r="M1960" s="1" t="s">
        <v>7853</v>
      </c>
      <c r="N1960" s="1" t="s">
        <v>7852</v>
      </c>
    </row>
    <row r="1961" spans="1:14" s="1" customFormat="1" x14ac:dyDescent="0.35">
      <c r="A1961" s="1" t="s">
        <v>4492</v>
      </c>
      <c r="B1961" s="1" t="s">
        <v>3356</v>
      </c>
      <c r="C1961" s="1" t="s">
        <v>3578</v>
      </c>
      <c r="D1961" s="1" t="s">
        <v>7851</v>
      </c>
      <c r="E1961" s="1" t="str">
        <f>"2320"</f>
        <v>2320</v>
      </c>
      <c r="F1961" s="1" t="s">
        <v>100</v>
      </c>
      <c r="G1961" s="1" t="s">
        <v>101</v>
      </c>
      <c r="H1961" s="1" t="s">
        <v>15</v>
      </c>
      <c r="I1961" s="1" t="str">
        <f>"1"</f>
        <v>1</v>
      </c>
      <c r="J1961" s="3">
        <v>21545.32</v>
      </c>
      <c r="K1961" s="4">
        <v>45914</v>
      </c>
      <c r="L1961" s="4">
        <v>46026</v>
      </c>
      <c r="M1961" s="1" t="s">
        <v>7850</v>
      </c>
      <c r="N1961" s="1" t="s">
        <v>7849</v>
      </c>
    </row>
    <row r="1962" spans="1:14" s="1" customFormat="1" x14ac:dyDescent="0.35">
      <c r="A1962" s="1" t="s">
        <v>4492</v>
      </c>
      <c r="B1962" s="1" t="s">
        <v>3356</v>
      </c>
      <c r="C1962" s="1" t="s">
        <v>3578</v>
      </c>
      <c r="D1962" s="1" t="s">
        <v>7848</v>
      </c>
      <c r="E1962" s="1" t="str">
        <f>"4240"</f>
        <v>4240</v>
      </c>
      <c r="F1962" s="1" t="str">
        <f>"015262388"</f>
        <v>015262388</v>
      </c>
      <c r="G1962" s="1" t="s">
        <v>5523</v>
      </c>
      <c r="H1962" s="1" t="s">
        <v>15</v>
      </c>
      <c r="I1962" s="1" t="str">
        <f>"20"</f>
        <v>20</v>
      </c>
      <c r="J1962" s="3">
        <v>627.24</v>
      </c>
      <c r="K1962" s="4">
        <v>45965</v>
      </c>
      <c r="L1962" s="4">
        <v>46034</v>
      </c>
      <c r="M1962" s="1" t="s">
        <v>7847</v>
      </c>
      <c r="N1962" s="1" t="s">
        <v>7846</v>
      </c>
    </row>
    <row r="1963" spans="1:14" s="1" customFormat="1" x14ac:dyDescent="0.35">
      <c r="A1963" s="1" t="s">
        <v>4492</v>
      </c>
      <c r="B1963" s="1" t="s">
        <v>3356</v>
      </c>
      <c r="C1963" s="1" t="s">
        <v>3578</v>
      </c>
      <c r="D1963" s="1" t="s">
        <v>7845</v>
      </c>
      <c r="E1963" s="1" t="str">
        <f>"6230"</f>
        <v>6230</v>
      </c>
      <c r="F1963" s="1" t="s">
        <v>3594</v>
      </c>
      <c r="G1963" s="1" t="s">
        <v>3595</v>
      </c>
      <c r="H1963" s="1" t="s">
        <v>15</v>
      </c>
      <c r="I1963" s="1" t="str">
        <f>"25"</f>
        <v>25</v>
      </c>
      <c r="J1963" s="3" t="str">
        <f>"60"</f>
        <v>60</v>
      </c>
      <c r="K1963" s="4">
        <v>46034</v>
      </c>
      <c r="L1963" s="4">
        <v>46036</v>
      </c>
      <c r="M1963" s="1" t="s">
        <v>7844</v>
      </c>
      <c r="N1963" s="1" t="s">
        <v>7843</v>
      </c>
    </row>
    <row r="1964" spans="1:14" s="1" customFormat="1" x14ac:dyDescent="0.35">
      <c r="A1964" s="1" t="s">
        <v>4492</v>
      </c>
      <c r="B1964" s="1" t="s">
        <v>3356</v>
      </c>
      <c r="C1964" s="1" t="s">
        <v>3578</v>
      </c>
      <c r="D1964" s="1" t="s">
        <v>7842</v>
      </c>
      <c r="E1964" s="1" t="str">
        <f>"1240"</f>
        <v>1240</v>
      </c>
      <c r="F1964" s="1" t="s">
        <v>1364</v>
      </c>
      <c r="G1964" s="1" t="s">
        <v>1365</v>
      </c>
      <c r="H1964" s="1" t="s">
        <v>15</v>
      </c>
      <c r="I1964" s="1" t="str">
        <f>"1"</f>
        <v>1</v>
      </c>
      <c r="J1964" s="3">
        <v>8996.4</v>
      </c>
      <c r="K1964" s="4">
        <v>46035</v>
      </c>
      <c r="L1964" s="4">
        <v>46044</v>
      </c>
      <c r="M1964" s="1" t="s">
        <v>7841</v>
      </c>
      <c r="N1964" s="1" t="s">
        <v>7840</v>
      </c>
    </row>
    <row r="1965" spans="1:14" s="1" customFormat="1" x14ac:dyDescent="0.35">
      <c r="A1965" s="1" t="s">
        <v>4492</v>
      </c>
      <c r="B1965" s="1" t="s">
        <v>3356</v>
      </c>
      <c r="C1965" s="1" t="s">
        <v>3578</v>
      </c>
      <c r="D1965" s="1" t="s">
        <v>7839</v>
      </c>
      <c r="E1965" s="1" t="str">
        <f>"5855"</f>
        <v>5855</v>
      </c>
      <c r="F1965" s="1" t="str">
        <f>"015388121"</f>
        <v>015388121</v>
      </c>
      <c r="G1965" s="1" t="s">
        <v>1188</v>
      </c>
      <c r="H1965" s="1" t="s">
        <v>15</v>
      </c>
      <c r="I1965" s="1" t="str">
        <f>"1"</f>
        <v>1</v>
      </c>
      <c r="J1965" s="3">
        <v>7939.42</v>
      </c>
      <c r="K1965" s="4">
        <v>46035</v>
      </c>
      <c r="L1965" s="4">
        <v>46037</v>
      </c>
      <c r="M1965" s="1" t="s">
        <v>7838</v>
      </c>
      <c r="N1965" s="1" t="s">
        <v>7837</v>
      </c>
    </row>
    <row r="1966" spans="1:14" s="1" customFormat="1" x14ac:dyDescent="0.35">
      <c r="A1966" s="1" t="s">
        <v>4492</v>
      </c>
      <c r="B1966" s="1" t="s">
        <v>3356</v>
      </c>
      <c r="C1966" s="1" t="s">
        <v>3578</v>
      </c>
      <c r="D1966" s="1" t="s">
        <v>7836</v>
      </c>
      <c r="E1966" s="1" t="str">
        <f>"5855"</f>
        <v>5855</v>
      </c>
      <c r="F1966" s="1" t="str">
        <f>"016996757"</f>
        <v>016996757</v>
      </c>
      <c r="G1966" s="1" t="s">
        <v>5814</v>
      </c>
      <c r="H1966" s="1" t="s">
        <v>168</v>
      </c>
      <c r="I1966" s="1" t="str">
        <f>"1"</f>
        <v>1</v>
      </c>
      <c r="J1966" s="3">
        <v>11949.6</v>
      </c>
      <c r="K1966" s="4">
        <v>46039</v>
      </c>
      <c r="L1966" s="4">
        <v>46042</v>
      </c>
      <c r="M1966" s="1" t="s">
        <v>7835</v>
      </c>
      <c r="N1966" s="1" t="s">
        <v>7834</v>
      </c>
    </row>
    <row r="1967" spans="1:14" s="1" customFormat="1" x14ac:dyDescent="0.35">
      <c r="A1967" s="1" t="s">
        <v>4492</v>
      </c>
      <c r="B1967" s="1" t="s">
        <v>3356</v>
      </c>
      <c r="C1967" s="1" t="s">
        <v>3578</v>
      </c>
      <c r="D1967" s="1" t="s">
        <v>7836</v>
      </c>
      <c r="E1967" s="1" t="str">
        <f>"5855"</f>
        <v>5855</v>
      </c>
      <c r="F1967" s="1" t="str">
        <f>"016996757"</f>
        <v>016996757</v>
      </c>
      <c r="G1967" s="1" t="s">
        <v>5814</v>
      </c>
      <c r="H1967" s="1" t="s">
        <v>168</v>
      </c>
      <c r="I1967" s="1" t="str">
        <f>"1"</f>
        <v>1</v>
      </c>
      <c r="J1967" s="3">
        <v>11949.6</v>
      </c>
      <c r="K1967" s="4">
        <v>46039</v>
      </c>
      <c r="L1967" s="4">
        <v>46042</v>
      </c>
      <c r="M1967" s="1" t="s">
        <v>7835</v>
      </c>
      <c r="N1967" s="1" t="s">
        <v>7834</v>
      </c>
    </row>
    <row r="1968" spans="1:14" s="1" customFormat="1" x14ac:dyDescent="0.35">
      <c r="A1968" s="1" t="s">
        <v>4492</v>
      </c>
      <c r="B1968" s="1" t="s">
        <v>3356</v>
      </c>
      <c r="C1968" s="1" t="s">
        <v>3578</v>
      </c>
      <c r="D1968" s="1" t="s">
        <v>7833</v>
      </c>
      <c r="E1968" s="1" t="str">
        <f>"1240"</f>
        <v>1240</v>
      </c>
      <c r="F1968" s="1" t="str">
        <f>"016864791"</f>
        <v>016864791</v>
      </c>
      <c r="G1968" s="1" t="s">
        <v>6044</v>
      </c>
      <c r="H1968" s="1" t="s">
        <v>15</v>
      </c>
      <c r="I1968" s="1" t="str">
        <f>"1"</f>
        <v>1</v>
      </c>
      <c r="J1968" s="3" t="str">
        <f>"4242"</f>
        <v>4242</v>
      </c>
      <c r="K1968" s="4">
        <v>46039</v>
      </c>
      <c r="L1968" s="4">
        <v>46050</v>
      </c>
      <c r="M1968" s="1" t="s">
        <v>7832</v>
      </c>
      <c r="N1968" s="1" t="s">
        <v>7831</v>
      </c>
    </row>
    <row r="1969" spans="1:14" s="1" customFormat="1" x14ac:dyDescent="0.35">
      <c r="A1969" s="1" t="s">
        <v>4492</v>
      </c>
      <c r="B1969" s="1" t="s">
        <v>3356</v>
      </c>
      <c r="C1969" s="1" t="s">
        <v>3578</v>
      </c>
      <c r="D1969" s="1" t="s">
        <v>7830</v>
      </c>
      <c r="E1969" s="1" t="str">
        <f>"6515"</f>
        <v>6515</v>
      </c>
      <c r="F1969" s="1" t="str">
        <f>"015217976"</f>
        <v>015217976</v>
      </c>
      <c r="G1969" s="1" t="s">
        <v>2250</v>
      </c>
      <c r="H1969" s="1" t="s">
        <v>15</v>
      </c>
      <c r="I1969" s="1" t="str">
        <f>"9"</f>
        <v>9</v>
      </c>
      <c r="J1969" s="3">
        <v>31.1</v>
      </c>
      <c r="K1969" s="4">
        <v>46039</v>
      </c>
      <c r="L1969" s="4">
        <v>46097</v>
      </c>
      <c r="M1969" s="1" t="s">
        <v>7829</v>
      </c>
      <c r="N1969" s="1" t="s">
        <v>7828</v>
      </c>
    </row>
    <row r="1970" spans="1:14" s="1" customFormat="1" x14ac:dyDescent="0.35">
      <c r="A1970" s="1" t="s">
        <v>4492</v>
      </c>
      <c r="B1970" s="1" t="s">
        <v>3356</v>
      </c>
      <c r="C1970" s="1" t="s">
        <v>3578</v>
      </c>
      <c r="D1970" s="1" t="s">
        <v>7827</v>
      </c>
      <c r="E1970" s="1" t="str">
        <f>"6650"</f>
        <v>6650</v>
      </c>
      <c r="F1970" s="1" t="s">
        <v>1576</v>
      </c>
      <c r="G1970" s="1" t="s">
        <v>1577</v>
      </c>
      <c r="H1970" s="1" t="s">
        <v>15</v>
      </c>
      <c r="I1970" s="1" t="str">
        <f>"2"</f>
        <v>2</v>
      </c>
      <c r="J1970" s="3" t="str">
        <f>"8000"</f>
        <v>8000</v>
      </c>
      <c r="K1970" s="4">
        <v>46062</v>
      </c>
      <c r="L1970" s="4">
        <v>46067</v>
      </c>
      <c r="M1970" s="1" t="s">
        <v>7826</v>
      </c>
      <c r="N1970" s="1" t="s">
        <v>7825</v>
      </c>
    </row>
    <row r="1971" spans="1:14" s="1" customFormat="1" x14ac:dyDescent="0.35">
      <c r="A1971" s="1" t="s">
        <v>4492</v>
      </c>
      <c r="B1971" s="1" t="s">
        <v>3356</v>
      </c>
      <c r="C1971" s="1" t="s">
        <v>3578</v>
      </c>
      <c r="D1971" s="1" t="s">
        <v>7824</v>
      </c>
      <c r="E1971" s="1" t="str">
        <f>"5855"</f>
        <v>5855</v>
      </c>
      <c r="F1971" s="1" t="s">
        <v>1390</v>
      </c>
      <c r="G1971" s="1" t="s">
        <v>1391</v>
      </c>
      <c r="H1971" s="1" t="s">
        <v>15</v>
      </c>
      <c r="I1971" s="1" t="str">
        <f>"1"</f>
        <v>1</v>
      </c>
      <c r="J1971" s="3" t="str">
        <f>"100000"</f>
        <v>100000</v>
      </c>
      <c r="K1971" s="4">
        <v>46062</v>
      </c>
      <c r="L1971" s="4">
        <v>46071</v>
      </c>
      <c r="M1971" s="1" t="s">
        <v>7823</v>
      </c>
      <c r="N1971" s="1" t="s">
        <v>7822</v>
      </c>
    </row>
    <row r="1972" spans="1:14" s="1" customFormat="1" x14ac:dyDescent="0.35">
      <c r="A1972" s="1" t="s">
        <v>4492</v>
      </c>
      <c r="B1972" s="1" t="s">
        <v>3356</v>
      </c>
      <c r="C1972" s="1" t="s">
        <v>3578</v>
      </c>
      <c r="D1972" s="1" t="s">
        <v>7821</v>
      </c>
      <c r="E1972" s="1" t="str">
        <f>"1005"</f>
        <v>1005</v>
      </c>
      <c r="F1972" s="1" t="s">
        <v>2213</v>
      </c>
      <c r="G1972" s="1" t="s">
        <v>2214</v>
      </c>
      <c r="H1972" s="1" t="s">
        <v>15</v>
      </c>
      <c r="I1972" s="1" t="str">
        <f>"4"</f>
        <v>4</v>
      </c>
      <c r="J1972" s="3">
        <v>3224.73</v>
      </c>
      <c r="K1972" s="4">
        <v>46063</v>
      </c>
      <c r="L1972" s="4">
        <v>46065</v>
      </c>
      <c r="M1972" s="1" t="s">
        <v>7820</v>
      </c>
      <c r="N1972" s="1" t="s">
        <v>7819</v>
      </c>
    </row>
    <row r="1973" spans="1:14" s="1" customFormat="1" x14ac:dyDescent="0.35">
      <c r="A1973" s="1" t="s">
        <v>4492</v>
      </c>
      <c r="B1973" s="1" t="s">
        <v>3356</v>
      </c>
      <c r="C1973" s="1" t="s">
        <v>3578</v>
      </c>
      <c r="D1973" s="1" t="s">
        <v>7818</v>
      </c>
      <c r="E1973" s="1" t="str">
        <f>"6515"</f>
        <v>6515</v>
      </c>
      <c r="F1973" s="1" t="str">
        <f>"015217976"</f>
        <v>015217976</v>
      </c>
      <c r="G1973" s="1" t="s">
        <v>2250</v>
      </c>
      <c r="H1973" s="1" t="s">
        <v>15</v>
      </c>
      <c r="I1973" s="1" t="str">
        <f>"9"</f>
        <v>9</v>
      </c>
      <c r="J1973" s="3">
        <v>31.1</v>
      </c>
      <c r="K1973" s="4">
        <v>46079</v>
      </c>
      <c r="L1973" s="4">
        <v>46097</v>
      </c>
      <c r="M1973" s="1" t="s">
        <v>7817</v>
      </c>
    </row>
    <row r="1974" spans="1:14" s="1" customFormat="1" x14ac:dyDescent="0.35">
      <c r="A1974" s="1" t="s">
        <v>4492</v>
      </c>
      <c r="B1974" s="1" t="s">
        <v>3356</v>
      </c>
      <c r="C1974" s="1" t="s">
        <v>3578</v>
      </c>
      <c r="D1974" s="1" t="s">
        <v>7816</v>
      </c>
      <c r="E1974" s="1" t="str">
        <f>"1240"</f>
        <v>1240</v>
      </c>
      <c r="F1974" s="1" t="str">
        <f>"016813209"</f>
        <v>016813209</v>
      </c>
      <c r="G1974" s="1" t="s">
        <v>6044</v>
      </c>
      <c r="H1974" s="1" t="s">
        <v>15</v>
      </c>
      <c r="I1974" s="1" t="str">
        <f>"8"</f>
        <v>8</v>
      </c>
      <c r="J1974" s="3" t="str">
        <f>"3269"</f>
        <v>3269</v>
      </c>
      <c r="K1974" s="4">
        <v>46083</v>
      </c>
      <c r="L1974" s="4">
        <v>46095</v>
      </c>
      <c r="M1974" s="1" t="s">
        <v>7815</v>
      </c>
      <c r="N1974" s="1" t="s">
        <v>7814</v>
      </c>
    </row>
    <row r="1975" spans="1:14" s="1" customFormat="1" x14ac:dyDescent="0.35">
      <c r="A1975" s="1" t="s">
        <v>4492</v>
      </c>
      <c r="B1975" s="1" t="s">
        <v>3356</v>
      </c>
      <c r="C1975" s="1" t="s">
        <v>3578</v>
      </c>
      <c r="D1975" s="1" t="s">
        <v>7813</v>
      </c>
      <c r="E1975" s="1" t="str">
        <f>"6230"</f>
        <v>6230</v>
      </c>
      <c r="F1975" s="1" t="s">
        <v>5291</v>
      </c>
      <c r="G1975" s="1" t="s">
        <v>5290</v>
      </c>
      <c r="H1975" s="1" t="s">
        <v>15</v>
      </c>
      <c r="I1975" s="1" t="str">
        <f>"20"</f>
        <v>20</v>
      </c>
      <c r="J1975" s="3" t="str">
        <f>"195"</f>
        <v>195</v>
      </c>
      <c r="K1975" s="4">
        <v>46085</v>
      </c>
      <c r="L1975" s="4">
        <v>46087</v>
      </c>
      <c r="M1975" s="1" t="s">
        <v>7812</v>
      </c>
      <c r="N1975" s="1" t="s">
        <v>7811</v>
      </c>
    </row>
    <row r="1976" spans="1:14" s="1" customFormat="1" x14ac:dyDescent="0.35">
      <c r="A1976" s="1" t="s">
        <v>4492</v>
      </c>
      <c r="B1976" s="1" t="s">
        <v>3356</v>
      </c>
      <c r="C1976" s="1" t="s">
        <v>3578</v>
      </c>
      <c r="D1976" s="1" t="s">
        <v>7810</v>
      </c>
      <c r="E1976" s="1" t="str">
        <f>"2330"</f>
        <v>2330</v>
      </c>
      <c r="F1976" s="1" t="s">
        <v>104</v>
      </c>
      <c r="G1976" s="1" t="s">
        <v>105</v>
      </c>
      <c r="H1976" s="1" t="s">
        <v>15</v>
      </c>
      <c r="I1976" s="1" t="str">
        <f>"1"</f>
        <v>1</v>
      </c>
      <c r="J1976" s="3">
        <v>2645.5</v>
      </c>
      <c r="K1976" s="4">
        <v>46086</v>
      </c>
      <c r="L1976" s="4">
        <v>46095</v>
      </c>
      <c r="M1976" s="1" t="s">
        <v>7809</v>
      </c>
      <c r="N1976" s="1" t="s">
        <v>7808</v>
      </c>
    </row>
    <row r="1977" spans="1:14" s="1" customFormat="1" x14ac:dyDescent="0.35">
      <c r="A1977" s="1" t="s">
        <v>4492</v>
      </c>
      <c r="B1977" s="1" t="s">
        <v>3356</v>
      </c>
      <c r="C1977" s="1" t="s">
        <v>3578</v>
      </c>
      <c r="D1977" s="1" t="s">
        <v>7807</v>
      </c>
      <c r="E1977" s="1" t="str">
        <f>"6515"</f>
        <v>6515</v>
      </c>
      <c r="F1977" s="1" t="str">
        <f>"015217976"</f>
        <v>015217976</v>
      </c>
      <c r="G1977" s="1" t="s">
        <v>2250</v>
      </c>
      <c r="H1977" s="1" t="s">
        <v>15</v>
      </c>
      <c r="I1977" s="1" t="str">
        <f>"9"</f>
        <v>9</v>
      </c>
      <c r="J1977" s="3">
        <v>31.1</v>
      </c>
      <c r="K1977" s="4">
        <v>46097</v>
      </c>
      <c r="L1977" s="4">
        <v>46097</v>
      </c>
      <c r="M1977" s="1" t="s">
        <v>7806</v>
      </c>
    </row>
    <row r="1978" spans="1:14" s="1" customFormat="1" x14ac:dyDescent="0.35">
      <c r="A1978" s="1" t="s">
        <v>4492</v>
      </c>
      <c r="B1978" s="1" t="s">
        <v>3356</v>
      </c>
      <c r="C1978" s="1" t="s">
        <v>3578</v>
      </c>
      <c r="D1978" s="1" t="s">
        <v>7805</v>
      </c>
      <c r="E1978" s="1" t="str">
        <f>"5965"</f>
        <v>5965</v>
      </c>
      <c r="F1978" s="1" t="s">
        <v>6480</v>
      </c>
      <c r="G1978" s="1" t="s">
        <v>6479</v>
      </c>
      <c r="H1978" s="1" t="s">
        <v>15</v>
      </c>
      <c r="I1978" s="1" t="str">
        <f>"10"</f>
        <v>10</v>
      </c>
      <c r="J1978" s="3">
        <v>825.24</v>
      </c>
      <c r="K1978" s="4">
        <v>46082</v>
      </c>
      <c r="L1978" s="4">
        <v>46087</v>
      </c>
      <c r="M1978" s="1" t="s">
        <v>7804</v>
      </c>
      <c r="N1978" s="1" t="s">
        <v>7803</v>
      </c>
    </row>
    <row r="1979" spans="1:14" s="1" customFormat="1" x14ac:dyDescent="0.35">
      <c r="A1979" s="1" t="s">
        <v>4492</v>
      </c>
      <c r="B1979" s="1" t="s">
        <v>3356</v>
      </c>
      <c r="C1979" s="1" t="s">
        <v>3578</v>
      </c>
      <c r="D1979" s="1" t="s">
        <v>7802</v>
      </c>
      <c r="E1979" s="1" t="str">
        <f>"2310"</f>
        <v>2310</v>
      </c>
      <c r="F1979" s="1" t="s">
        <v>4332</v>
      </c>
      <c r="G1979" s="1" t="s">
        <v>4333</v>
      </c>
      <c r="H1979" s="1" t="s">
        <v>15</v>
      </c>
      <c r="I1979" s="1" t="str">
        <f>"1"</f>
        <v>1</v>
      </c>
      <c r="J1979" s="3">
        <v>26812.5</v>
      </c>
      <c r="K1979" s="4">
        <v>46095</v>
      </c>
      <c r="L1979" s="4">
        <v>46109</v>
      </c>
      <c r="M1979" s="1" t="s">
        <v>7801</v>
      </c>
      <c r="N1979" s="1" t="s">
        <v>7800</v>
      </c>
    </row>
    <row r="1980" spans="1:14" s="1" customFormat="1" x14ac:dyDescent="0.35">
      <c r="A1980" s="1" t="s">
        <v>4492</v>
      </c>
      <c r="B1980" s="1" t="s">
        <v>3356</v>
      </c>
      <c r="C1980" s="1" t="s">
        <v>3578</v>
      </c>
      <c r="D1980" s="1" t="s">
        <v>7799</v>
      </c>
      <c r="E1980" s="1" t="str">
        <f>"1240"</f>
        <v>1240</v>
      </c>
      <c r="F1980" s="1" t="s">
        <v>1364</v>
      </c>
      <c r="G1980" s="1" t="s">
        <v>1365</v>
      </c>
      <c r="H1980" s="1" t="s">
        <v>15</v>
      </c>
      <c r="I1980" s="1" t="str">
        <f>"8"</f>
        <v>8</v>
      </c>
      <c r="J1980" s="3" t="str">
        <f>"432"</f>
        <v>432</v>
      </c>
      <c r="K1980" s="4">
        <v>46102</v>
      </c>
      <c r="L1980" s="4">
        <v>46108</v>
      </c>
      <c r="M1980" s="1" t="s">
        <v>7798</v>
      </c>
      <c r="N1980" s="1" t="s">
        <v>7797</v>
      </c>
    </row>
    <row r="1981" spans="1:14" s="1" customFormat="1" x14ac:dyDescent="0.35">
      <c r="A1981" s="1" t="s">
        <v>4492</v>
      </c>
      <c r="B1981" s="1" t="s">
        <v>3356</v>
      </c>
      <c r="C1981" s="1" t="s">
        <v>3578</v>
      </c>
      <c r="D1981" s="1" t="s">
        <v>7796</v>
      </c>
      <c r="E1981" s="1" t="str">
        <f>"1240"</f>
        <v>1240</v>
      </c>
      <c r="F1981" s="1" t="str">
        <f>"016920791"</f>
        <v>016920791</v>
      </c>
      <c r="G1981" s="1" t="s">
        <v>6044</v>
      </c>
      <c r="H1981" s="1" t="s">
        <v>15</v>
      </c>
      <c r="I1981" s="1" t="str">
        <f>"4"</f>
        <v>4</v>
      </c>
      <c r="J1981" s="3" t="str">
        <f>"1500"</f>
        <v>1500</v>
      </c>
      <c r="K1981" s="4">
        <v>46107</v>
      </c>
      <c r="L1981" s="4">
        <v>46108</v>
      </c>
      <c r="M1981" s="1" t="s">
        <v>4524</v>
      </c>
      <c r="N1981" s="1" t="s">
        <v>7795</v>
      </c>
    </row>
    <row r="1982" spans="1:14" s="1" customFormat="1" x14ac:dyDescent="0.35">
      <c r="A1982" s="1" t="s">
        <v>4492</v>
      </c>
      <c r="B1982" s="1" t="s">
        <v>3356</v>
      </c>
      <c r="C1982" s="1" t="s">
        <v>3578</v>
      </c>
      <c r="D1982" s="1" t="s">
        <v>7794</v>
      </c>
      <c r="E1982" s="1" t="str">
        <f>"1240"</f>
        <v>1240</v>
      </c>
      <c r="F1982" s="1" t="s">
        <v>1364</v>
      </c>
      <c r="G1982" s="1" t="s">
        <v>1365</v>
      </c>
      <c r="H1982" s="1" t="s">
        <v>15</v>
      </c>
      <c r="I1982" s="1" t="str">
        <f>"4"</f>
        <v>4</v>
      </c>
      <c r="J1982" s="3" t="str">
        <f>"1500"</f>
        <v>1500</v>
      </c>
      <c r="K1982" s="4">
        <v>46107</v>
      </c>
      <c r="L1982" s="4">
        <v>46108</v>
      </c>
      <c r="M1982" s="1" t="s">
        <v>4524</v>
      </c>
      <c r="N1982" s="1" t="s">
        <v>7793</v>
      </c>
    </row>
    <row r="1983" spans="1:14" s="1" customFormat="1" x14ac:dyDescent="0.35">
      <c r="A1983" s="1" t="s">
        <v>4492</v>
      </c>
      <c r="B1983" s="1" t="s">
        <v>3356</v>
      </c>
      <c r="C1983" s="1" t="s">
        <v>3578</v>
      </c>
      <c r="D1983" s="1" t="s">
        <v>7792</v>
      </c>
      <c r="E1983" s="1" t="str">
        <f>"1240"</f>
        <v>1240</v>
      </c>
      <c r="F1983" s="1" t="s">
        <v>1364</v>
      </c>
      <c r="G1983" s="1" t="s">
        <v>1365</v>
      </c>
      <c r="H1983" s="1" t="s">
        <v>15</v>
      </c>
      <c r="I1983" s="1" t="str">
        <f>"5"</f>
        <v>5</v>
      </c>
      <c r="J1983" s="3" t="str">
        <f>"1500"</f>
        <v>1500</v>
      </c>
      <c r="K1983" s="4">
        <v>46107</v>
      </c>
      <c r="L1983" s="4">
        <v>46108</v>
      </c>
      <c r="M1983" s="1" t="s">
        <v>4524</v>
      </c>
      <c r="N1983" s="1" t="s">
        <v>7791</v>
      </c>
    </row>
    <row r="1984" spans="1:14" s="1" customFormat="1" x14ac:dyDescent="0.35">
      <c r="A1984" s="1" t="s">
        <v>4492</v>
      </c>
      <c r="B1984" s="1" t="s">
        <v>3356</v>
      </c>
      <c r="C1984" s="1" t="s">
        <v>3578</v>
      </c>
      <c r="D1984" s="1" t="s">
        <v>7790</v>
      </c>
      <c r="E1984" s="1" t="str">
        <f>"1240"</f>
        <v>1240</v>
      </c>
      <c r="F1984" s="1" t="s">
        <v>1364</v>
      </c>
      <c r="G1984" s="1" t="s">
        <v>1365</v>
      </c>
      <c r="H1984" s="1" t="s">
        <v>15</v>
      </c>
      <c r="I1984" s="1" t="str">
        <f>"2"</f>
        <v>2</v>
      </c>
      <c r="J1984" s="3" t="str">
        <f>"1000"</f>
        <v>1000</v>
      </c>
      <c r="K1984" s="4">
        <v>46107</v>
      </c>
      <c r="L1984" s="4">
        <v>46108</v>
      </c>
      <c r="M1984" s="1" t="s">
        <v>4524</v>
      </c>
      <c r="N1984" s="1" t="s">
        <v>7789</v>
      </c>
    </row>
    <row r="1985" spans="1:14" s="1" customFormat="1" x14ac:dyDescent="0.35">
      <c r="A1985" s="1" t="s">
        <v>4492</v>
      </c>
      <c r="B1985" s="1" t="s">
        <v>3356</v>
      </c>
      <c r="C1985" s="1" t="s">
        <v>3578</v>
      </c>
      <c r="D1985" s="1" t="s">
        <v>7788</v>
      </c>
      <c r="E1985" s="1" t="str">
        <f>"1240"</f>
        <v>1240</v>
      </c>
      <c r="F1985" s="1" t="s">
        <v>1364</v>
      </c>
      <c r="G1985" s="1" t="s">
        <v>1365</v>
      </c>
      <c r="H1985" s="1" t="s">
        <v>15</v>
      </c>
      <c r="I1985" s="1" t="str">
        <f>"2"</f>
        <v>2</v>
      </c>
      <c r="J1985" s="3" t="str">
        <f>"1500"</f>
        <v>1500</v>
      </c>
      <c r="K1985" s="4">
        <v>46107</v>
      </c>
      <c r="L1985" s="4">
        <v>46108</v>
      </c>
      <c r="M1985" s="1" t="s">
        <v>4524</v>
      </c>
      <c r="N1985" s="1" t="s">
        <v>7787</v>
      </c>
    </row>
    <row r="1986" spans="1:14" s="1" customFormat="1" x14ac:dyDescent="0.35">
      <c r="A1986" s="1" t="s">
        <v>4492</v>
      </c>
      <c r="B1986" s="1" t="s">
        <v>3356</v>
      </c>
      <c r="C1986" s="1" t="s">
        <v>3578</v>
      </c>
      <c r="D1986" s="1" t="s">
        <v>7786</v>
      </c>
      <c r="E1986" s="1" t="str">
        <f>"1005"</f>
        <v>1005</v>
      </c>
      <c r="F1986" s="1" t="str">
        <f>"015912160"</f>
        <v>015912160</v>
      </c>
      <c r="G1986" s="1" t="s">
        <v>7785</v>
      </c>
      <c r="H1986" s="1" t="s">
        <v>15</v>
      </c>
      <c r="I1986" s="1" t="str">
        <f>"7"</f>
        <v>7</v>
      </c>
      <c r="J1986" s="3">
        <v>2426.7399999999998</v>
      </c>
      <c r="K1986" s="4">
        <v>46105</v>
      </c>
      <c r="L1986" s="4">
        <v>46107</v>
      </c>
      <c r="M1986" s="1" t="s">
        <v>7784</v>
      </c>
      <c r="N1986" s="1" t="s">
        <v>7783</v>
      </c>
    </row>
    <row r="1987" spans="1:14" s="1" customFormat="1" x14ac:dyDescent="0.35">
      <c r="A1987" s="1" t="s">
        <v>4492</v>
      </c>
      <c r="B1987" s="1" t="s">
        <v>1303</v>
      </c>
      <c r="C1987" s="1" t="s">
        <v>1397</v>
      </c>
      <c r="D1987" s="1" t="s">
        <v>7782</v>
      </c>
      <c r="E1987" s="1" t="str">
        <f>"5855"</f>
        <v>5855</v>
      </c>
      <c r="F1987" s="1" t="str">
        <f>"015295375"</f>
        <v>015295375</v>
      </c>
      <c r="G1987" s="1" t="s">
        <v>5381</v>
      </c>
      <c r="H1987" s="1" t="s">
        <v>15</v>
      </c>
      <c r="I1987" s="1" t="str">
        <f>"24"</f>
        <v>24</v>
      </c>
      <c r="J1987" s="3">
        <v>431.09</v>
      </c>
      <c r="K1987" s="4">
        <v>46029</v>
      </c>
      <c r="L1987" s="4">
        <v>46035</v>
      </c>
      <c r="M1987" s="1" t="s">
        <v>7781</v>
      </c>
      <c r="N1987" s="1" t="s">
        <v>7780</v>
      </c>
    </row>
    <row r="1988" spans="1:14" s="1" customFormat="1" x14ac:dyDescent="0.35">
      <c r="A1988" s="1" t="s">
        <v>4492</v>
      </c>
      <c r="B1988" s="1" t="s">
        <v>1303</v>
      </c>
      <c r="C1988" s="1" t="s">
        <v>1397</v>
      </c>
      <c r="D1988" s="1" t="s">
        <v>7779</v>
      </c>
      <c r="E1988" s="1" t="str">
        <f>"2320"</f>
        <v>2320</v>
      </c>
      <c r="F1988" s="1" t="s">
        <v>4526</v>
      </c>
      <c r="G1988" s="1" t="s">
        <v>4525</v>
      </c>
      <c r="H1988" s="1" t="s">
        <v>15</v>
      </c>
      <c r="I1988" s="1" t="str">
        <f>"1"</f>
        <v>1</v>
      </c>
      <c r="J1988" s="3">
        <v>610434.26</v>
      </c>
      <c r="K1988" s="4">
        <v>46056</v>
      </c>
      <c r="L1988" s="4">
        <v>46056</v>
      </c>
      <c r="M1988" s="1" t="s">
        <v>4524</v>
      </c>
      <c r="N1988" s="1" t="s">
        <v>7778</v>
      </c>
    </row>
    <row r="1989" spans="1:14" s="1" customFormat="1" x14ac:dyDescent="0.35">
      <c r="A1989" s="1" t="s">
        <v>4492</v>
      </c>
      <c r="B1989" s="1" t="s">
        <v>1516</v>
      </c>
      <c r="C1989" s="1" t="s">
        <v>7777</v>
      </c>
      <c r="D1989" s="1" t="s">
        <v>7776</v>
      </c>
      <c r="E1989" s="1" t="str">
        <f>"1240"</f>
        <v>1240</v>
      </c>
      <c r="F1989" s="1" t="s">
        <v>1364</v>
      </c>
      <c r="G1989" s="1" t="s">
        <v>1365</v>
      </c>
      <c r="H1989" s="1" t="s">
        <v>15</v>
      </c>
      <c r="I1989" s="1" t="str">
        <f>"14"</f>
        <v>14</v>
      </c>
      <c r="J1989" s="3">
        <v>683.55</v>
      </c>
      <c r="K1989" s="4">
        <v>46031</v>
      </c>
      <c r="L1989" s="4">
        <v>46034</v>
      </c>
      <c r="M1989" s="1" t="s">
        <v>7775</v>
      </c>
      <c r="N1989" s="1" t="s">
        <v>7774</v>
      </c>
    </row>
    <row r="1990" spans="1:14" s="1" customFormat="1" x14ac:dyDescent="0.35">
      <c r="A1990" s="1" t="s">
        <v>4492</v>
      </c>
      <c r="B1990" s="1" t="s">
        <v>1293</v>
      </c>
      <c r="C1990" s="1" t="s">
        <v>1294</v>
      </c>
      <c r="D1990" s="1" t="s">
        <v>7773</v>
      </c>
      <c r="E1990" s="1" t="str">
        <f>"3990"</f>
        <v>3990</v>
      </c>
      <c r="F1990" s="1" t="s">
        <v>2283</v>
      </c>
      <c r="G1990" s="1" t="s">
        <v>2284</v>
      </c>
      <c r="H1990" s="1" t="s">
        <v>15</v>
      </c>
      <c r="I1990" s="1" t="str">
        <f>"1"</f>
        <v>1</v>
      </c>
      <c r="J1990" s="3" t="str">
        <f>"5780"</f>
        <v>5780</v>
      </c>
      <c r="K1990" s="4">
        <v>46042</v>
      </c>
      <c r="L1990" s="4">
        <v>46066</v>
      </c>
      <c r="M1990" s="1" t="s">
        <v>7772</v>
      </c>
      <c r="N1990" s="1" t="s">
        <v>7771</v>
      </c>
    </row>
    <row r="1991" spans="1:14" s="1" customFormat="1" x14ac:dyDescent="0.35">
      <c r="A1991" s="1" t="s">
        <v>4492</v>
      </c>
      <c r="B1991" s="1" t="s">
        <v>1293</v>
      </c>
      <c r="C1991" s="1" t="s">
        <v>1294</v>
      </c>
      <c r="D1991" s="1" t="s">
        <v>7770</v>
      </c>
      <c r="E1991" s="1" t="str">
        <f>"2340"</f>
        <v>2340</v>
      </c>
      <c r="F1991" s="1" t="str">
        <f>"013954293"</f>
        <v>013954293</v>
      </c>
      <c r="G1991" s="1" t="s">
        <v>3527</v>
      </c>
      <c r="H1991" s="1" t="s">
        <v>15</v>
      </c>
      <c r="I1991" s="1" t="str">
        <f>"2"</f>
        <v>2</v>
      </c>
      <c r="J1991" s="3">
        <v>5694.11</v>
      </c>
      <c r="K1991" s="4">
        <v>46077</v>
      </c>
      <c r="L1991" s="4">
        <v>46088</v>
      </c>
      <c r="M1991" s="1" t="s">
        <v>7769</v>
      </c>
      <c r="N1991" s="1" t="s">
        <v>7766</v>
      </c>
    </row>
    <row r="1992" spans="1:14" s="1" customFormat="1" x14ac:dyDescent="0.35">
      <c r="A1992" s="1" t="s">
        <v>4492</v>
      </c>
      <c r="B1992" s="1" t="s">
        <v>1293</v>
      </c>
      <c r="C1992" s="1" t="s">
        <v>1294</v>
      </c>
      <c r="D1992" s="1" t="s">
        <v>7768</v>
      </c>
      <c r="E1992" s="1" t="str">
        <f>"2340"</f>
        <v>2340</v>
      </c>
      <c r="F1992" s="1" t="str">
        <f>"013954293"</f>
        <v>013954293</v>
      </c>
      <c r="G1992" s="1" t="s">
        <v>3527</v>
      </c>
      <c r="H1992" s="1" t="s">
        <v>15</v>
      </c>
      <c r="I1992" s="1" t="str">
        <f>"1"</f>
        <v>1</v>
      </c>
      <c r="J1992" s="3">
        <v>5694.11</v>
      </c>
      <c r="K1992" s="4">
        <v>46077</v>
      </c>
      <c r="L1992" s="4">
        <v>46107</v>
      </c>
      <c r="M1992" s="1" t="s">
        <v>7767</v>
      </c>
      <c r="N1992" s="1" t="s">
        <v>7766</v>
      </c>
    </row>
    <row r="1993" spans="1:14" s="1" customFormat="1" x14ac:dyDescent="0.35">
      <c r="A1993" s="1" t="s">
        <v>4492</v>
      </c>
      <c r="B1993" s="1" t="s">
        <v>2368</v>
      </c>
      <c r="C1993" s="1" t="s">
        <v>7756</v>
      </c>
      <c r="D1993" s="1" t="s">
        <v>7765</v>
      </c>
      <c r="E1993" s="1" t="str">
        <f>"5855"</f>
        <v>5855</v>
      </c>
      <c r="F1993" s="1" t="str">
        <f>"015790062"</f>
        <v>015790062</v>
      </c>
      <c r="G1993" s="1" t="s">
        <v>742</v>
      </c>
      <c r="H1993" s="1" t="s">
        <v>15</v>
      </c>
      <c r="I1993" s="1" t="str">
        <f>"6"</f>
        <v>6</v>
      </c>
      <c r="J1993" s="3" t="str">
        <f>"900"</f>
        <v>900</v>
      </c>
      <c r="K1993" s="4">
        <v>46096</v>
      </c>
      <c r="L1993" s="4">
        <v>46103</v>
      </c>
      <c r="M1993" s="1" t="s">
        <v>7764</v>
      </c>
      <c r="N1993" s="1" t="s">
        <v>7763</v>
      </c>
    </row>
    <row r="1994" spans="1:14" s="1" customFormat="1" x14ac:dyDescent="0.35">
      <c r="A1994" s="1" t="s">
        <v>4492</v>
      </c>
      <c r="B1994" s="1" t="s">
        <v>2368</v>
      </c>
      <c r="C1994" s="1" t="s">
        <v>7756</v>
      </c>
      <c r="D1994" s="1" t="s">
        <v>7762</v>
      </c>
      <c r="E1994" s="1" t="str">
        <f>"5855"</f>
        <v>5855</v>
      </c>
      <c r="F1994" s="1" t="str">
        <f>"015356166"</f>
        <v>015356166</v>
      </c>
      <c r="G1994" s="1" t="s">
        <v>742</v>
      </c>
      <c r="H1994" s="1" t="s">
        <v>15</v>
      </c>
      <c r="I1994" s="1" t="str">
        <f>"10"</f>
        <v>10</v>
      </c>
      <c r="J1994" s="3" t="str">
        <f>"898"</f>
        <v>898</v>
      </c>
      <c r="K1994" s="4">
        <v>46095</v>
      </c>
      <c r="L1994" s="4">
        <v>46096</v>
      </c>
      <c r="M1994" s="1" t="s">
        <v>4524</v>
      </c>
      <c r="N1994" s="1" t="s">
        <v>7761</v>
      </c>
    </row>
    <row r="1995" spans="1:14" s="1" customFormat="1" x14ac:dyDescent="0.35">
      <c r="A1995" s="1" t="s">
        <v>4492</v>
      </c>
      <c r="B1995" s="1" t="s">
        <v>2368</v>
      </c>
      <c r="C1995" s="1" t="s">
        <v>7756</v>
      </c>
      <c r="D1995" s="1" t="s">
        <v>7760</v>
      </c>
      <c r="E1995" s="1" t="str">
        <f>"5855"</f>
        <v>5855</v>
      </c>
      <c r="F1995" s="1" t="str">
        <f>"015847217"</f>
        <v>015847217</v>
      </c>
      <c r="G1995" s="1" t="s">
        <v>614</v>
      </c>
      <c r="H1995" s="1" t="s">
        <v>15</v>
      </c>
      <c r="I1995" s="1" t="str">
        <f>"5"</f>
        <v>5</v>
      </c>
      <c r="J1995" s="3" t="str">
        <f>"34084"</f>
        <v>34084</v>
      </c>
      <c r="K1995" s="4">
        <v>46101</v>
      </c>
      <c r="L1995" s="4">
        <v>46105</v>
      </c>
      <c r="M1995" s="1" t="s">
        <v>7759</v>
      </c>
      <c r="N1995" s="1" t="s">
        <v>7758</v>
      </c>
    </row>
    <row r="1996" spans="1:14" s="1" customFormat="1" x14ac:dyDescent="0.35">
      <c r="A1996" s="1" t="s">
        <v>4492</v>
      </c>
      <c r="B1996" s="1" t="s">
        <v>2368</v>
      </c>
      <c r="C1996" s="1" t="s">
        <v>7756</v>
      </c>
      <c r="D1996" s="1" t="s">
        <v>7757</v>
      </c>
      <c r="E1996" s="1" t="str">
        <f>"1240"</f>
        <v>1240</v>
      </c>
      <c r="F1996" s="1" t="s">
        <v>1364</v>
      </c>
      <c r="G1996" s="1" t="s">
        <v>1365</v>
      </c>
      <c r="H1996" s="1" t="s">
        <v>15</v>
      </c>
      <c r="I1996" s="1" t="str">
        <f>"2"</f>
        <v>2</v>
      </c>
      <c r="J1996" s="3" t="str">
        <f>"1000"</f>
        <v>1000</v>
      </c>
      <c r="K1996" s="4">
        <v>46107</v>
      </c>
      <c r="L1996" s="4">
        <v>46108</v>
      </c>
      <c r="M1996" s="1" t="s">
        <v>4524</v>
      </c>
      <c r="N1996" s="1" t="s">
        <v>7754</v>
      </c>
    </row>
    <row r="1997" spans="1:14" s="1" customFormat="1" x14ac:dyDescent="0.35">
      <c r="A1997" s="1" t="s">
        <v>4492</v>
      </c>
      <c r="B1997" s="1" t="s">
        <v>2368</v>
      </c>
      <c r="C1997" s="1" t="s">
        <v>7756</v>
      </c>
      <c r="D1997" s="1" t="s">
        <v>7755</v>
      </c>
      <c r="E1997" s="1" t="str">
        <f>"1240"</f>
        <v>1240</v>
      </c>
      <c r="F1997" s="1" t="s">
        <v>1364</v>
      </c>
      <c r="G1997" s="1" t="s">
        <v>1365</v>
      </c>
      <c r="H1997" s="1" t="s">
        <v>15</v>
      </c>
      <c r="I1997" s="1" t="str">
        <f>"2"</f>
        <v>2</v>
      </c>
      <c r="J1997" s="3" t="str">
        <f>"1500"</f>
        <v>1500</v>
      </c>
      <c r="K1997" s="4">
        <v>46107</v>
      </c>
      <c r="L1997" s="4">
        <v>46108</v>
      </c>
      <c r="M1997" s="1" t="s">
        <v>4524</v>
      </c>
      <c r="N1997" s="1" t="s">
        <v>7754</v>
      </c>
    </row>
    <row r="1998" spans="1:14" s="1" customFormat="1" x14ac:dyDescent="0.35">
      <c r="A1998" s="1" t="s">
        <v>4492</v>
      </c>
      <c r="B1998" s="1" t="s">
        <v>2368</v>
      </c>
      <c r="C1998" s="1" t="s">
        <v>2500</v>
      </c>
      <c r="D1998" s="1" t="s">
        <v>7753</v>
      </c>
      <c r="E1998" s="1" t="str">
        <f>"8465"</f>
        <v>8465</v>
      </c>
      <c r="F1998" s="1" t="str">
        <f>"015800481"</f>
        <v>015800481</v>
      </c>
      <c r="G1998" s="1" t="s">
        <v>2516</v>
      </c>
      <c r="H1998" s="1" t="s">
        <v>257</v>
      </c>
      <c r="I1998" s="1" t="str">
        <f>"2"</f>
        <v>2</v>
      </c>
      <c r="J1998" s="3">
        <v>295.23</v>
      </c>
      <c r="K1998" s="4">
        <v>46020</v>
      </c>
      <c r="L1998" s="4">
        <v>46025</v>
      </c>
      <c r="M1998" s="1" t="s">
        <v>7752</v>
      </c>
      <c r="N1998" s="1" t="s">
        <v>2514</v>
      </c>
    </row>
    <row r="1999" spans="1:14" s="1" customFormat="1" x14ac:dyDescent="0.35">
      <c r="A1999" s="1" t="s">
        <v>4492</v>
      </c>
      <c r="B1999" s="1" t="s">
        <v>2368</v>
      </c>
      <c r="C1999" s="1" t="s">
        <v>2500</v>
      </c>
      <c r="D1999" s="1" t="s">
        <v>7751</v>
      </c>
      <c r="E1999" s="1" t="str">
        <f>"1005"</f>
        <v>1005</v>
      </c>
      <c r="F1999" s="1" t="str">
        <f>"015563221"</f>
        <v>015563221</v>
      </c>
      <c r="G1999" s="1" t="s">
        <v>7750</v>
      </c>
      <c r="H1999" s="1" t="s">
        <v>15</v>
      </c>
      <c r="I1999" s="1" t="str">
        <f>"3"</f>
        <v>3</v>
      </c>
      <c r="J1999" s="3">
        <v>513.36</v>
      </c>
      <c r="K1999" s="4">
        <v>46099</v>
      </c>
      <c r="L1999" s="4">
        <v>46101</v>
      </c>
      <c r="M1999" s="1" t="s">
        <v>7749</v>
      </c>
      <c r="N1999" s="1" t="s">
        <v>7748</v>
      </c>
    </row>
    <row r="2000" spans="1:14" s="1" customFormat="1" x14ac:dyDescent="0.35">
      <c r="A2000" s="1" t="s">
        <v>4492</v>
      </c>
      <c r="B2000" s="1" t="s">
        <v>1013</v>
      </c>
      <c r="C2000" s="1" t="s">
        <v>1074</v>
      </c>
      <c r="D2000" s="1" t="s">
        <v>7747</v>
      </c>
      <c r="E2000" s="1" t="str">
        <f>"2320"</f>
        <v>2320</v>
      </c>
      <c r="F2000" s="1" t="s">
        <v>1664</v>
      </c>
      <c r="G2000" s="1" t="s">
        <v>1665</v>
      </c>
      <c r="H2000" s="1" t="s">
        <v>15</v>
      </c>
      <c r="I2000" s="1" t="str">
        <f>"1"</f>
        <v>1</v>
      </c>
      <c r="J2000" s="3" t="str">
        <f>"54826"</f>
        <v>54826</v>
      </c>
      <c r="K2000" s="4">
        <v>46027</v>
      </c>
      <c r="L2000" s="4">
        <v>46027</v>
      </c>
      <c r="M2000" s="1" t="s">
        <v>4524</v>
      </c>
      <c r="N2000" s="1" t="s">
        <v>7746</v>
      </c>
    </row>
    <row r="2001" spans="1:14" s="1" customFormat="1" x14ac:dyDescent="0.35">
      <c r="A2001" s="1" t="s">
        <v>4492</v>
      </c>
      <c r="B2001" s="1" t="s">
        <v>1013</v>
      </c>
      <c r="C2001" s="1" t="s">
        <v>1074</v>
      </c>
      <c r="D2001" s="1" t="s">
        <v>7745</v>
      </c>
      <c r="E2001" s="1" t="str">
        <f>"2320"</f>
        <v>2320</v>
      </c>
      <c r="F2001" s="1" t="s">
        <v>100</v>
      </c>
      <c r="G2001" s="1" t="s">
        <v>101</v>
      </c>
      <c r="H2001" s="1" t="s">
        <v>15</v>
      </c>
      <c r="I2001" s="1" t="str">
        <f>"1"</f>
        <v>1</v>
      </c>
      <c r="J2001" s="3" t="str">
        <f>"40000"</f>
        <v>40000</v>
      </c>
      <c r="K2001" s="4">
        <v>46027</v>
      </c>
      <c r="L2001" s="4">
        <v>46031</v>
      </c>
      <c r="M2001" s="1" t="s">
        <v>4524</v>
      </c>
      <c r="N2001" s="1" t="s">
        <v>7744</v>
      </c>
    </row>
    <row r="2002" spans="1:14" s="1" customFormat="1" x14ac:dyDescent="0.35">
      <c r="A2002" s="1" t="s">
        <v>4492</v>
      </c>
      <c r="B2002" s="1" t="s">
        <v>1013</v>
      </c>
      <c r="C2002" s="1" t="s">
        <v>1074</v>
      </c>
      <c r="D2002" s="1" t="s">
        <v>7743</v>
      </c>
      <c r="E2002" s="1" t="str">
        <f>"2340"</f>
        <v>2340</v>
      </c>
      <c r="F2002" s="1" t="s">
        <v>1071</v>
      </c>
      <c r="G2002" s="1" t="s">
        <v>1072</v>
      </c>
      <c r="H2002" s="1" t="s">
        <v>15</v>
      </c>
      <c r="I2002" s="1" t="str">
        <f>"1"</f>
        <v>1</v>
      </c>
      <c r="J2002" s="3">
        <v>11964.82</v>
      </c>
      <c r="K2002" s="4">
        <v>46027</v>
      </c>
      <c r="L2002" s="4">
        <v>46028</v>
      </c>
      <c r="M2002" s="1" t="s">
        <v>4524</v>
      </c>
      <c r="N2002" s="1" t="s">
        <v>7742</v>
      </c>
    </row>
    <row r="2003" spans="1:14" s="1" customFormat="1" x14ac:dyDescent="0.35">
      <c r="A2003" s="1" t="s">
        <v>4492</v>
      </c>
      <c r="B2003" s="1" t="s">
        <v>1013</v>
      </c>
      <c r="C2003" s="1" t="s">
        <v>1074</v>
      </c>
      <c r="D2003" s="1" t="s">
        <v>7741</v>
      </c>
      <c r="E2003" s="1" t="str">
        <f>"2340"</f>
        <v>2340</v>
      </c>
      <c r="F2003" s="1" t="str">
        <f>"016495368"</f>
        <v>016495368</v>
      </c>
      <c r="G2003" s="1" t="s">
        <v>1926</v>
      </c>
      <c r="H2003" s="1" t="s">
        <v>15</v>
      </c>
      <c r="I2003" s="1" t="str">
        <f>"1"</f>
        <v>1</v>
      </c>
      <c r="J2003" s="3" t="str">
        <f>"34900"</f>
        <v>34900</v>
      </c>
      <c r="K2003" s="4">
        <v>46034</v>
      </c>
      <c r="L2003" s="4">
        <v>46039</v>
      </c>
      <c r="M2003" s="1" t="s">
        <v>7740</v>
      </c>
      <c r="N2003" s="1" t="s">
        <v>7739</v>
      </c>
    </row>
    <row r="2004" spans="1:14" s="1" customFormat="1" x14ac:dyDescent="0.35">
      <c r="A2004" s="1" t="s">
        <v>4492</v>
      </c>
      <c r="B2004" s="1" t="s">
        <v>1013</v>
      </c>
      <c r="C2004" s="1" t="s">
        <v>1074</v>
      </c>
      <c r="D2004" s="1" t="s">
        <v>7738</v>
      </c>
      <c r="E2004" s="1" t="str">
        <f>"4210"</f>
        <v>4210</v>
      </c>
      <c r="F2004" s="1" t="str">
        <f>"014933500"</f>
        <v>014933500</v>
      </c>
      <c r="G2004" s="1" t="s">
        <v>7737</v>
      </c>
      <c r="H2004" s="1" t="s">
        <v>15</v>
      </c>
      <c r="I2004" s="1" t="str">
        <f>"1"</f>
        <v>1</v>
      </c>
      <c r="J2004" s="3">
        <v>18355.77</v>
      </c>
      <c r="K2004" s="4">
        <v>46044</v>
      </c>
      <c r="L2004" s="4">
        <v>46071</v>
      </c>
      <c r="M2004" s="1" t="s">
        <v>7736</v>
      </c>
      <c r="N2004" s="1" t="s">
        <v>7735</v>
      </c>
    </row>
    <row r="2005" spans="1:14" s="1" customFormat="1" x14ac:dyDescent="0.35">
      <c r="A2005" s="1" t="s">
        <v>4492</v>
      </c>
      <c r="B2005" s="1" t="s">
        <v>1013</v>
      </c>
      <c r="C2005" s="1" t="s">
        <v>1074</v>
      </c>
      <c r="D2005" s="1" t="s">
        <v>7734</v>
      </c>
      <c r="E2005" s="1" t="str">
        <f>"2310"</f>
        <v>2310</v>
      </c>
      <c r="F2005" s="1" t="s">
        <v>4332</v>
      </c>
      <c r="G2005" s="1" t="s">
        <v>4333</v>
      </c>
      <c r="H2005" s="1" t="s">
        <v>15</v>
      </c>
      <c r="I2005" s="1" t="str">
        <f>"1"</f>
        <v>1</v>
      </c>
      <c r="J2005" s="3" t="str">
        <f>"20000"</f>
        <v>20000</v>
      </c>
      <c r="K2005" s="4">
        <v>46083</v>
      </c>
      <c r="L2005" s="4">
        <v>46095</v>
      </c>
      <c r="M2005" s="1" t="s">
        <v>7733</v>
      </c>
      <c r="N2005" s="1" t="s">
        <v>7732</v>
      </c>
    </row>
    <row r="2006" spans="1:14" s="1" customFormat="1" x14ac:dyDescent="0.35">
      <c r="A2006" s="1" t="s">
        <v>4492</v>
      </c>
      <c r="B2006" s="1" t="s">
        <v>1013</v>
      </c>
      <c r="C2006" s="1" t="s">
        <v>1074</v>
      </c>
      <c r="D2006" s="1" t="s">
        <v>7731</v>
      </c>
      <c r="E2006" s="1" t="str">
        <f>"2330"</f>
        <v>2330</v>
      </c>
      <c r="F2006" s="1" t="s">
        <v>104</v>
      </c>
      <c r="G2006" s="1" t="s">
        <v>105</v>
      </c>
      <c r="H2006" s="1" t="s">
        <v>15</v>
      </c>
      <c r="I2006" s="1" t="str">
        <f>"1"</f>
        <v>1</v>
      </c>
      <c r="J2006" s="3" t="str">
        <f>"16229"</f>
        <v>16229</v>
      </c>
      <c r="K2006" s="4">
        <v>46092</v>
      </c>
      <c r="L2006" s="4">
        <v>46103</v>
      </c>
      <c r="M2006" s="1" t="s">
        <v>7730</v>
      </c>
      <c r="N2006" s="1" t="s">
        <v>7729</v>
      </c>
    </row>
    <row r="2007" spans="1:14" s="1" customFormat="1" x14ac:dyDescent="0.35">
      <c r="A2007" s="1" t="s">
        <v>4492</v>
      </c>
      <c r="B2007" s="1" t="s">
        <v>1013</v>
      </c>
      <c r="C2007" s="1" t="s">
        <v>1074</v>
      </c>
      <c r="D2007" s="1" t="s">
        <v>7728</v>
      </c>
      <c r="E2007" s="1" t="str">
        <f>"2320"</f>
        <v>2320</v>
      </c>
      <c r="F2007" s="1" t="s">
        <v>100</v>
      </c>
      <c r="G2007" s="1" t="s">
        <v>101</v>
      </c>
      <c r="H2007" s="1" t="s">
        <v>15</v>
      </c>
      <c r="I2007" s="1" t="str">
        <f>"1"</f>
        <v>1</v>
      </c>
      <c r="J2007" s="3" t="str">
        <f>"52500"</f>
        <v>52500</v>
      </c>
      <c r="K2007" s="4">
        <v>46097</v>
      </c>
      <c r="L2007" s="4">
        <v>46103</v>
      </c>
      <c r="M2007" s="1" t="s">
        <v>7727</v>
      </c>
      <c r="N2007" s="1" t="s">
        <v>7726</v>
      </c>
    </row>
    <row r="2008" spans="1:14" s="1" customFormat="1" x14ac:dyDescent="0.35">
      <c r="A2008" s="1" t="s">
        <v>4492</v>
      </c>
      <c r="B2008" s="1" t="s">
        <v>1013</v>
      </c>
      <c r="C2008" s="1" t="s">
        <v>1074</v>
      </c>
      <c r="D2008" s="1" t="s">
        <v>7725</v>
      </c>
      <c r="E2008" s="1" t="str">
        <f>"2310"</f>
        <v>2310</v>
      </c>
      <c r="F2008" s="1" t="str">
        <f>"016231545"</f>
        <v>016231545</v>
      </c>
      <c r="G2008" s="1" t="s">
        <v>232</v>
      </c>
      <c r="H2008" s="1" t="s">
        <v>15</v>
      </c>
      <c r="I2008" s="1" t="str">
        <f>"1"</f>
        <v>1</v>
      </c>
      <c r="J2008" s="3" t="str">
        <f>"32000"</f>
        <v>32000</v>
      </c>
      <c r="K2008" s="4">
        <v>46097</v>
      </c>
      <c r="L2008" s="4">
        <v>46109</v>
      </c>
      <c r="M2008" s="1" t="s">
        <v>7724</v>
      </c>
      <c r="N2008" s="1" t="s">
        <v>7723</v>
      </c>
    </row>
    <row r="2009" spans="1:14" s="1" customFormat="1" x14ac:dyDescent="0.35">
      <c r="A2009" s="1" t="s">
        <v>4492</v>
      </c>
      <c r="B2009" s="1" t="s">
        <v>1013</v>
      </c>
      <c r="C2009" s="1" t="s">
        <v>1074</v>
      </c>
      <c r="D2009" s="1" t="s">
        <v>7722</v>
      </c>
      <c r="E2009" s="1" t="str">
        <f>"2310"</f>
        <v>2310</v>
      </c>
      <c r="F2009" s="1" t="s">
        <v>4332</v>
      </c>
      <c r="G2009" s="1" t="s">
        <v>4333</v>
      </c>
      <c r="H2009" s="1" t="s">
        <v>15</v>
      </c>
      <c r="I2009" s="1" t="str">
        <f>"1"</f>
        <v>1</v>
      </c>
      <c r="J2009" s="3">
        <v>26812.5</v>
      </c>
      <c r="K2009" s="4">
        <v>46097</v>
      </c>
      <c r="L2009" s="4">
        <v>46109</v>
      </c>
      <c r="M2009" s="1" t="s">
        <v>7721</v>
      </c>
      <c r="N2009" s="1" t="s">
        <v>7720</v>
      </c>
    </row>
    <row r="2010" spans="1:14" s="1" customFormat="1" x14ac:dyDescent="0.35">
      <c r="A2010" s="1" t="s">
        <v>4492</v>
      </c>
      <c r="B2010" s="1" t="s">
        <v>3356</v>
      </c>
      <c r="C2010" s="1" t="s">
        <v>3601</v>
      </c>
      <c r="D2010" s="1" t="s">
        <v>7719</v>
      </c>
      <c r="E2010" s="1" t="str">
        <f>"5420"</f>
        <v>5420</v>
      </c>
      <c r="F2010" s="1" t="str">
        <f>"997935889"</f>
        <v>997935889</v>
      </c>
      <c r="G2010" s="1" t="s">
        <v>7716</v>
      </c>
      <c r="H2010" s="1" t="s">
        <v>15</v>
      </c>
      <c r="I2010" s="1" t="str">
        <f>"64"</f>
        <v>64</v>
      </c>
      <c r="J2010" s="3">
        <v>92.18</v>
      </c>
      <c r="K2010" s="4">
        <v>46013</v>
      </c>
      <c r="L2010" s="4">
        <v>46038</v>
      </c>
      <c r="M2010" s="1" t="s">
        <v>7718</v>
      </c>
      <c r="N2010" s="1" t="s">
        <v>7714</v>
      </c>
    </row>
    <row r="2011" spans="1:14" s="1" customFormat="1" x14ac:dyDescent="0.35">
      <c r="A2011" s="1" t="s">
        <v>4492</v>
      </c>
      <c r="B2011" s="1" t="s">
        <v>3356</v>
      </c>
      <c r="C2011" s="1" t="s">
        <v>3601</v>
      </c>
      <c r="D2011" s="1" t="s">
        <v>7717</v>
      </c>
      <c r="E2011" s="1" t="str">
        <f>"5420"</f>
        <v>5420</v>
      </c>
      <c r="F2011" s="1" t="str">
        <f>"997935889"</f>
        <v>997935889</v>
      </c>
      <c r="G2011" s="1" t="s">
        <v>7716</v>
      </c>
      <c r="H2011" s="1" t="s">
        <v>15</v>
      </c>
      <c r="I2011" s="1" t="str">
        <f>"100"</f>
        <v>100</v>
      </c>
      <c r="J2011" s="3">
        <v>92.18</v>
      </c>
      <c r="K2011" s="4">
        <v>46013</v>
      </c>
      <c r="L2011" s="4">
        <v>46038</v>
      </c>
      <c r="M2011" s="1" t="s">
        <v>7715</v>
      </c>
      <c r="N2011" s="1" t="s">
        <v>7714</v>
      </c>
    </row>
    <row r="2012" spans="1:14" s="1" customFormat="1" x14ac:dyDescent="0.35">
      <c r="A2012" s="1" t="s">
        <v>4492</v>
      </c>
      <c r="B2012" s="1" t="s">
        <v>3356</v>
      </c>
      <c r="C2012" s="1" t="s">
        <v>3601</v>
      </c>
      <c r="D2012" s="1" t="s">
        <v>7713</v>
      </c>
      <c r="E2012" s="1" t="str">
        <f>"6115"</f>
        <v>6115</v>
      </c>
      <c r="F2012" s="1" t="str">
        <f>"013199032"</f>
        <v>013199032</v>
      </c>
      <c r="G2012" s="1" t="s">
        <v>1179</v>
      </c>
      <c r="H2012" s="1" t="s">
        <v>15</v>
      </c>
      <c r="I2012" s="1" t="str">
        <f>"1"</f>
        <v>1</v>
      </c>
      <c r="J2012" s="3" t="str">
        <f>"17730"</f>
        <v>17730</v>
      </c>
      <c r="K2012" s="4">
        <v>46042</v>
      </c>
      <c r="L2012" s="4">
        <v>46064</v>
      </c>
      <c r="M2012" s="1" t="s">
        <v>7712</v>
      </c>
      <c r="N2012" s="1" t="s">
        <v>3626</v>
      </c>
    </row>
    <row r="2013" spans="1:14" s="1" customFormat="1" x14ac:dyDescent="0.35">
      <c r="A2013" s="1" t="s">
        <v>4492</v>
      </c>
      <c r="B2013" s="1" t="s">
        <v>3356</v>
      </c>
      <c r="C2013" s="1" t="s">
        <v>3601</v>
      </c>
      <c r="D2013" s="1" t="s">
        <v>7711</v>
      </c>
      <c r="E2013" s="1" t="str">
        <f>"3810"</f>
        <v>3810</v>
      </c>
      <c r="F2013" s="1" t="s">
        <v>7710</v>
      </c>
      <c r="G2013" s="1" t="s">
        <v>7709</v>
      </c>
      <c r="H2013" s="1" t="s">
        <v>15</v>
      </c>
      <c r="I2013" s="1" t="str">
        <f>"1"</f>
        <v>1</v>
      </c>
      <c r="J2013" s="3" t="str">
        <f>"329441"</f>
        <v>329441</v>
      </c>
      <c r="K2013" s="4">
        <v>46086</v>
      </c>
      <c r="L2013" s="4">
        <v>46097</v>
      </c>
      <c r="M2013" s="1" t="s">
        <v>7708</v>
      </c>
      <c r="N2013" s="1" t="s">
        <v>7707</v>
      </c>
    </row>
    <row r="2014" spans="1:14" s="1" customFormat="1" x14ac:dyDescent="0.35">
      <c r="A2014" s="1" t="s">
        <v>4492</v>
      </c>
      <c r="B2014" s="1" t="s">
        <v>1453</v>
      </c>
      <c r="C2014" s="1" t="s">
        <v>7687</v>
      </c>
      <c r="D2014" s="1" t="s">
        <v>7706</v>
      </c>
      <c r="E2014" s="1" t="str">
        <f>"5965"</f>
        <v>5965</v>
      </c>
      <c r="F2014" s="1" t="str">
        <f>"015727797"</f>
        <v>015727797</v>
      </c>
      <c r="G2014" s="1" t="s">
        <v>209</v>
      </c>
      <c r="H2014" s="1" t="s">
        <v>168</v>
      </c>
      <c r="I2014" s="1" t="str">
        <f>"1"</f>
        <v>1</v>
      </c>
      <c r="J2014" s="3">
        <v>1583.47</v>
      </c>
      <c r="K2014" s="4">
        <v>46080</v>
      </c>
      <c r="L2014" s="4">
        <v>46082</v>
      </c>
      <c r="M2014" s="1" t="s">
        <v>4524</v>
      </c>
      <c r="N2014" s="1" t="s">
        <v>7685</v>
      </c>
    </row>
    <row r="2015" spans="1:14" s="1" customFormat="1" x14ac:dyDescent="0.35">
      <c r="A2015" s="1" t="s">
        <v>4492</v>
      </c>
      <c r="B2015" s="1" t="s">
        <v>1453</v>
      </c>
      <c r="C2015" s="1" t="s">
        <v>7687</v>
      </c>
      <c r="D2015" s="1" t="s">
        <v>7705</v>
      </c>
      <c r="E2015" s="1" t="str">
        <f>"5855"</f>
        <v>5855</v>
      </c>
      <c r="F2015" s="1" t="str">
        <f>"015650336"</f>
        <v>015650336</v>
      </c>
      <c r="G2015" s="1" t="s">
        <v>1357</v>
      </c>
      <c r="H2015" s="1" t="s">
        <v>15</v>
      </c>
      <c r="I2015" s="1" t="str">
        <f>"1"</f>
        <v>1</v>
      </c>
      <c r="J2015" s="3" t="str">
        <f>"300"</f>
        <v>300</v>
      </c>
      <c r="K2015" s="4">
        <v>46080</v>
      </c>
      <c r="L2015" s="4">
        <v>46086</v>
      </c>
      <c r="M2015" s="1" t="s">
        <v>4524</v>
      </c>
      <c r="N2015" s="1" t="s">
        <v>7704</v>
      </c>
    </row>
    <row r="2016" spans="1:14" s="1" customFormat="1" x14ac:dyDescent="0.35">
      <c r="A2016" s="1" t="s">
        <v>4492</v>
      </c>
      <c r="B2016" s="1" t="s">
        <v>1453</v>
      </c>
      <c r="C2016" s="1" t="s">
        <v>7687</v>
      </c>
      <c r="D2016" s="1" t="s">
        <v>7703</v>
      </c>
      <c r="E2016" s="1" t="str">
        <f>"1240"</f>
        <v>1240</v>
      </c>
      <c r="F2016" s="1" t="s">
        <v>1364</v>
      </c>
      <c r="G2016" s="1" t="s">
        <v>1365</v>
      </c>
      <c r="H2016" s="1" t="s">
        <v>15</v>
      </c>
      <c r="I2016" s="1" t="str">
        <f>"1"</f>
        <v>1</v>
      </c>
      <c r="J2016" s="3">
        <v>448.33</v>
      </c>
      <c r="K2016" s="4">
        <v>46080</v>
      </c>
      <c r="L2016" s="4">
        <v>46087</v>
      </c>
      <c r="M2016" s="1" t="s">
        <v>4524</v>
      </c>
      <c r="N2016" s="1" t="s">
        <v>7685</v>
      </c>
    </row>
    <row r="2017" spans="1:14" s="1" customFormat="1" x14ac:dyDescent="0.35">
      <c r="A2017" s="1" t="s">
        <v>4492</v>
      </c>
      <c r="B2017" s="1" t="s">
        <v>1453</v>
      </c>
      <c r="C2017" s="1" t="s">
        <v>7687</v>
      </c>
      <c r="D2017" s="1" t="s">
        <v>7702</v>
      </c>
      <c r="E2017" s="1" t="str">
        <f>"5855"</f>
        <v>5855</v>
      </c>
      <c r="F2017" s="1" t="str">
        <f>"015790062"</f>
        <v>015790062</v>
      </c>
      <c r="G2017" s="1" t="s">
        <v>742</v>
      </c>
      <c r="H2017" s="1" t="s">
        <v>15</v>
      </c>
      <c r="I2017" s="1" t="str">
        <f>"13"</f>
        <v>13</v>
      </c>
      <c r="J2017" s="3" t="str">
        <f>"900"</f>
        <v>900</v>
      </c>
      <c r="K2017" s="4">
        <v>46080</v>
      </c>
      <c r="L2017" s="4">
        <v>46088</v>
      </c>
      <c r="M2017" s="1" t="s">
        <v>4524</v>
      </c>
      <c r="N2017" s="1" t="s">
        <v>7685</v>
      </c>
    </row>
    <row r="2018" spans="1:14" s="1" customFormat="1" x14ac:dyDescent="0.35">
      <c r="A2018" s="1" t="s">
        <v>4492</v>
      </c>
      <c r="B2018" s="1" t="s">
        <v>1453</v>
      </c>
      <c r="C2018" s="1" t="s">
        <v>7687</v>
      </c>
      <c r="D2018" s="1" t="s">
        <v>7701</v>
      </c>
      <c r="E2018" s="1" t="str">
        <f>"1240"</f>
        <v>1240</v>
      </c>
      <c r="F2018" s="1" t="s">
        <v>1364</v>
      </c>
      <c r="G2018" s="1" t="s">
        <v>1365</v>
      </c>
      <c r="H2018" s="1" t="s">
        <v>15</v>
      </c>
      <c r="I2018" s="1" t="str">
        <f>"4"</f>
        <v>4</v>
      </c>
      <c r="J2018" s="3" t="str">
        <f>"1628"</f>
        <v>1628</v>
      </c>
      <c r="K2018" s="4">
        <v>46082</v>
      </c>
      <c r="L2018" s="4">
        <v>46084</v>
      </c>
      <c r="M2018" s="1" t="s">
        <v>4524</v>
      </c>
      <c r="N2018" s="1" t="s">
        <v>7685</v>
      </c>
    </row>
    <row r="2019" spans="1:14" s="1" customFormat="1" x14ac:dyDescent="0.35">
      <c r="A2019" s="1" t="s">
        <v>4492</v>
      </c>
      <c r="B2019" s="1" t="s">
        <v>1453</v>
      </c>
      <c r="C2019" s="1" t="s">
        <v>7687</v>
      </c>
      <c r="D2019" s="1" t="s">
        <v>7700</v>
      </c>
      <c r="E2019" s="1" t="str">
        <f>"5855"</f>
        <v>5855</v>
      </c>
      <c r="F2019" s="1" t="str">
        <f>"014199429"</f>
        <v>014199429</v>
      </c>
      <c r="G2019" s="1" t="s">
        <v>614</v>
      </c>
      <c r="H2019" s="1" t="s">
        <v>15</v>
      </c>
      <c r="I2019" s="1" t="str">
        <f>"15"</f>
        <v>15</v>
      </c>
      <c r="J2019" s="3" t="str">
        <f>"13003"</f>
        <v>13003</v>
      </c>
      <c r="K2019" s="4">
        <v>46082</v>
      </c>
      <c r="L2019" s="4">
        <v>46095</v>
      </c>
      <c r="M2019" s="1" t="s">
        <v>7699</v>
      </c>
      <c r="N2019" s="1" t="s">
        <v>7685</v>
      </c>
    </row>
    <row r="2020" spans="1:14" s="1" customFormat="1" x14ac:dyDescent="0.35">
      <c r="A2020" s="1" t="s">
        <v>4492</v>
      </c>
      <c r="B2020" s="1" t="s">
        <v>1453</v>
      </c>
      <c r="C2020" s="1" t="s">
        <v>7687</v>
      </c>
      <c r="D2020" s="1" t="s">
        <v>7698</v>
      </c>
      <c r="E2020" s="1" t="str">
        <f>"5895"</f>
        <v>5895</v>
      </c>
      <c r="F2020" s="1" t="str">
        <f>"015984531"</f>
        <v>015984531</v>
      </c>
      <c r="G2020" s="1" t="s">
        <v>1373</v>
      </c>
      <c r="H2020" s="1" t="s">
        <v>168</v>
      </c>
      <c r="I2020" s="1" t="str">
        <f>"22"</f>
        <v>22</v>
      </c>
      <c r="J2020" s="3">
        <v>763.74</v>
      </c>
      <c r="K2020" s="4">
        <v>46083</v>
      </c>
      <c r="L2020" s="4">
        <v>46087</v>
      </c>
      <c r="M2020" s="1" t="s">
        <v>4524</v>
      </c>
      <c r="N2020" s="1" t="s">
        <v>7685</v>
      </c>
    </row>
    <row r="2021" spans="1:14" s="1" customFormat="1" x14ac:dyDescent="0.35">
      <c r="A2021" s="1" t="s">
        <v>4492</v>
      </c>
      <c r="B2021" s="1" t="s">
        <v>1453</v>
      </c>
      <c r="C2021" s="1" t="s">
        <v>7687</v>
      </c>
      <c r="D2021" s="1" t="s">
        <v>7697</v>
      </c>
      <c r="E2021" s="1" t="str">
        <f>"6760"</f>
        <v>6760</v>
      </c>
      <c r="F2021" s="1" t="s">
        <v>1731</v>
      </c>
      <c r="G2021" s="1" t="s">
        <v>1732</v>
      </c>
      <c r="H2021" s="1" t="s">
        <v>15</v>
      </c>
      <c r="I2021" s="1" t="str">
        <f>"1"</f>
        <v>1</v>
      </c>
      <c r="J2021" s="3" t="str">
        <f>"825"</f>
        <v>825</v>
      </c>
      <c r="K2021" s="4">
        <v>46092</v>
      </c>
      <c r="L2021" s="4">
        <v>46093</v>
      </c>
      <c r="M2021" s="1" t="s">
        <v>4524</v>
      </c>
      <c r="N2021" s="1" t="s">
        <v>7685</v>
      </c>
    </row>
    <row r="2022" spans="1:14" s="1" customFormat="1" x14ac:dyDescent="0.35">
      <c r="A2022" s="1" t="s">
        <v>4492</v>
      </c>
      <c r="B2022" s="1" t="s">
        <v>1453</v>
      </c>
      <c r="C2022" s="1" t="s">
        <v>7687</v>
      </c>
      <c r="D2022" s="1" t="s">
        <v>7696</v>
      </c>
      <c r="E2022" s="1" t="str">
        <f>"6650"</f>
        <v>6650</v>
      </c>
      <c r="F2022" s="1" t="str">
        <f>"015114074"</f>
        <v>015114074</v>
      </c>
      <c r="G2022" s="1" t="s">
        <v>1004</v>
      </c>
      <c r="H2022" s="1" t="s">
        <v>15</v>
      </c>
      <c r="I2022" s="1" t="str">
        <f>"2"</f>
        <v>2</v>
      </c>
      <c r="J2022" s="3" t="str">
        <f>"10165"</f>
        <v>10165</v>
      </c>
      <c r="K2022" s="4">
        <v>46096</v>
      </c>
      <c r="L2022" s="4">
        <v>46109</v>
      </c>
      <c r="M2022" s="1" t="s">
        <v>7695</v>
      </c>
      <c r="N2022" s="1" t="s">
        <v>7688</v>
      </c>
    </row>
    <row r="2023" spans="1:14" s="1" customFormat="1" x14ac:dyDescent="0.35">
      <c r="A2023" s="1" t="s">
        <v>4492</v>
      </c>
      <c r="B2023" s="1" t="s">
        <v>1453</v>
      </c>
      <c r="C2023" s="1" t="s">
        <v>7687</v>
      </c>
      <c r="D2023" s="1" t="s">
        <v>7694</v>
      </c>
      <c r="E2023" s="1" t="str">
        <f>"5855"</f>
        <v>5855</v>
      </c>
      <c r="F2023" s="1" t="str">
        <f>"015847217"</f>
        <v>015847217</v>
      </c>
      <c r="G2023" s="1" t="s">
        <v>614</v>
      </c>
      <c r="H2023" s="1" t="s">
        <v>15</v>
      </c>
      <c r="I2023" s="1" t="str">
        <f>"5"</f>
        <v>5</v>
      </c>
      <c r="J2023" s="3" t="str">
        <f>"34084"</f>
        <v>34084</v>
      </c>
      <c r="K2023" s="4">
        <v>46096</v>
      </c>
      <c r="L2023" s="4">
        <v>46100</v>
      </c>
      <c r="M2023" s="1" t="s">
        <v>4524</v>
      </c>
      <c r="N2023" s="1" t="s">
        <v>7688</v>
      </c>
    </row>
    <row r="2024" spans="1:14" s="1" customFormat="1" x14ac:dyDescent="0.35">
      <c r="A2024" s="1" t="s">
        <v>4492</v>
      </c>
      <c r="B2024" s="1" t="s">
        <v>1453</v>
      </c>
      <c r="C2024" s="1" t="s">
        <v>7687</v>
      </c>
      <c r="D2024" s="1" t="s">
        <v>7693</v>
      </c>
      <c r="E2024" s="1" t="str">
        <f>"1240"</f>
        <v>1240</v>
      </c>
      <c r="F2024" s="1" t="s">
        <v>1364</v>
      </c>
      <c r="G2024" s="1" t="s">
        <v>1365</v>
      </c>
      <c r="H2024" s="1" t="s">
        <v>15</v>
      </c>
      <c r="I2024" s="1" t="str">
        <f>"5"</f>
        <v>5</v>
      </c>
      <c r="J2024" s="3" t="str">
        <f>"720"</f>
        <v>720</v>
      </c>
      <c r="K2024" s="4">
        <v>46106</v>
      </c>
      <c r="L2024" s="4">
        <v>46107</v>
      </c>
      <c r="M2024" s="1" t="s">
        <v>4524</v>
      </c>
      <c r="N2024" s="1" t="s">
        <v>7688</v>
      </c>
    </row>
    <row r="2025" spans="1:14" s="1" customFormat="1" x14ac:dyDescent="0.35">
      <c r="A2025" s="1" t="s">
        <v>4492</v>
      </c>
      <c r="B2025" s="1" t="s">
        <v>1453</v>
      </c>
      <c r="C2025" s="1" t="s">
        <v>7687</v>
      </c>
      <c r="D2025" s="1" t="s">
        <v>7692</v>
      </c>
      <c r="E2025" s="1" t="str">
        <f>"1240"</f>
        <v>1240</v>
      </c>
      <c r="F2025" s="1" t="str">
        <f>"015879762"</f>
        <v>015879762</v>
      </c>
      <c r="G2025" s="1" t="s">
        <v>71</v>
      </c>
      <c r="H2025" s="1" t="s">
        <v>15</v>
      </c>
      <c r="I2025" s="1" t="str">
        <f>"1"</f>
        <v>1</v>
      </c>
      <c r="J2025" s="3" t="str">
        <f>"655"</f>
        <v>655</v>
      </c>
      <c r="K2025" s="4">
        <v>46106</v>
      </c>
      <c r="L2025" s="4">
        <v>46108</v>
      </c>
      <c r="M2025" s="1" t="s">
        <v>7691</v>
      </c>
      <c r="N2025" s="1" t="s">
        <v>7688</v>
      </c>
    </row>
    <row r="2026" spans="1:14" s="1" customFormat="1" x14ac:dyDescent="0.35">
      <c r="A2026" s="1" t="s">
        <v>4492</v>
      </c>
      <c r="B2026" s="1" t="s">
        <v>1453</v>
      </c>
      <c r="C2026" s="1" t="s">
        <v>7687</v>
      </c>
      <c r="D2026" s="1" t="s">
        <v>7690</v>
      </c>
      <c r="E2026" s="1" t="str">
        <f>"1240"</f>
        <v>1240</v>
      </c>
      <c r="F2026" s="1" t="s">
        <v>1364</v>
      </c>
      <c r="G2026" s="1" t="s">
        <v>1365</v>
      </c>
      <c r="H2026" s="1" t="s">
        <v>15</v>
      </c>
      <c r="I2026" s="1" t="str">
        <f>"2"</f>
        <v>2</v>
      </c>
      <c r="J2026" s="3" t="str">
        <f>"1000"</f>
        <v>1000</v>
      </c>
      <c r="K2026" s="4">
        <v>46107</v>
      </c>
      <c r="L2026" s="4">
        <v>46108</v>
      </c>
      <c r="M2026" s="1" t="s">
        <v>4524</v>
      </c>
      <c r="N2026" s="1" t="s">
        <v>7688</v>
      </c>
    </row>
    <row r="2027" spans="1:14" s="1" customFormat="1" x14ac:dyDescent="0.35">
      <c r="A2027" s="1" t="s">
        <v>4492</v>
      </c>
      <c r="B2027" s="1" t="s">
        <v>1453</v>
      </c>
      <c r="C2027" s="1" t="s">
        <v>7687</v>
      </c>
      <c r="D2027" s="1" t="s">
        <v>7689</v>
      </c>
      <c r="E2027" s="1" t="str">
        <f>"1240"</f>
        <v>1240</v>
      </c>
      <c r="F2027" s="1" t="s">
        <v>1364</v>
      </c>
      <c r="G2027" s="1" t="s">
        <v>1365</v>
      </c>
      <c r="H2027" s="1" t="s">
        <v>15</v>
      </c>
      <c r="I2027" s="1" t="str">
        <f>"3"</f>
        <v>3</v>
      </c>
      <c r="J2027" s="3" t="str">
        <f>"500"</f>
        <v>500</v>
      </c>
      <c r="K2027" s="4">
        <v>46107</v>
      </c>
      <c r="L2027" s="4">
        <v>46108</v>
      </c>
      <c r="M2027" s="1" t="s">
        <v>4524</v>
      </c>
      <c r="N2027" s="1" t="s">
        <v>7688</v>
      </c>
    </row>
    <row r="2028" spans="1:14" s="1" customFormat="1" x14ac:dyDescent="0.35">
      <c r="A2028" s="1" t="s">
        <v>4492</v>
      </c>
      <c r="B2028" s="1" t="s">
        <v>1453</v>
      </c>
      <c r="C2028" s="1" t="s">
        <v>7687</v>
      </c>
      <c r="D2028" s="1" t="s">
        <v>7686</v>
      </c>
      <c r="E2028" s="1" t="str">
        <f>"1240"</f>
        <v>1240</v>
      </c>
      <c r="F2028" s="1" t="str">
        <f>"015544488"</f>
        <v>015544488</v>
      </c>
      <c r="G2028" s="1" t="s">
        <v>5801</v>
      </c>
      <c r="H2028" s="1" t="s">
        <v>15</v>
      </c>
      <c r="I2028" s="1" t="str">
        <f>"4"</f>
        <v>4</v>
      </c>
      <c r="J2028" s="3" t="str">
        <f>"379"</f>
        <v>379</v>
      </c>
      <c r="K2028" s="4">
        <v>46099</v>
      </c>
      <c r="L2028" s="4">
        <v>46100</v>
      </c>
      <c r="M2028" s="1" t="s">
        <v>4524</v>
      </c>
      <c r="N2028" s="1" t="s">
        <v>7685</v>
      </c>
    </row>
    <row r="2029" spans="1:14" s="1" customFormat="1" x14ac:dyDescent="0.35">
      <c r="A2029" s="1" t="s">
        <v>4492</v>
      </c>
      <c r="B2029" s="1" t="s">
        <v>319</v>
      </c>
      <c r="C2029" s="1" t="s">
        <v>328</v>
      </c>
      <c r="D2029" s="1" t="s">
        <v>7684</v>
      </c>
      <c r="E2029" s="1" t="str">
        <f>"2320"</f>
        <v>2320</v>
      </c>
      <c r="F2029" s="1" t="str">
        <f>"013469317"</f>
        <v>013469317</v>
      </c>
      <c r="G2029" s="1" t="s">
        <v>1860</v>
      </c>
      <c r="H2029" s="1" t="s">
        <v>15</v>
      </c>
      <c r="I2029" s="1" t="str">
        <f>"1"</f>
        <v>1</v>
      </c>
      <c r="J2029" s="3" t="str">
        <f>"94171"</f>
        <v>94171</v>
      </c>
      <c r="K2029" s="4">
        <v>46057</v>
      </c>
      <c r="L2029" s="4">
        <v>46071</v>
      </c>
      <c r="M2029" s="1" t="s">
        <v>7683</v>
      </c>
      <c r="N2029" s="1" t="s">
        <v>7682</v>
      </c>
    </row>
    <row r="2030" spans="1:14" s="1" customFormat="1" x14ac:dyDescent="0.35">
      <c r="A2030" s="1" t="s">
        <v>4492</v>
      </c>
      <c r="B2030" s="1" t="s">
        <v>319</v>
      </c>
      <c r="C2030" s="1" t="s">
        <v>328</v>
      </c>
      <c r="D2030" s="1" t="s">
        <v>7681</v>
      </c>
      <c r="E2030" s="1" t="str">
        <f>"8145"</f>
        <v>8145</v>
      </c>
      <c r="F2030" s="1" t="str">
        <f>"014842909"</f>
        <v>014842909</v>
      </c>
      <c r="G2030" s="1" t="s">
        <v>753</v>
      </c>
      <c r="H2030" s="1" t="s">
        <v>15</v>
      </c>
      <c r="I2030" s="1" t="str">
        <f>"1"</f>
        <v>1</v>
      </c>
      <c r="J2030" s="3">
        <v>23287.62</v>
      </c>
      <c r="K2030" s="4">
        <v>46057</v>
      </c>
      <c r="L2030" s="4">
        <v>46059</v>
      </c>
      <c r="M2030" s="1" t="s">
        <v>7680</v>
      </c>
      <c r="N2030" s="1" t="s">
        <v>338</v>
      </c>
    </row>
    <row r="2031" spans="1:14" s="1" customFormat="1" x14ac:dyDescent="0.35">
      <c r="A2031" s="1" t="s">
        <v>4492</v>
      </c>
      <c r="B2031" s="1" t="s">
        <v>319</v>
      </c>
      <c r="C2031" s="1" t="s">
        <v>328</v>
      </c>
      <c r="D2031" s="1" t="s">
        <v>7679</v>
      </c>
      <c r="E2031" s="1" t="str">
        <f>"2330"</f>
        <v>2330</v>
      </c>
      <c r="F2031" s="1" t="str">
        <f>"013875426"</f>
        <v>013875426</v>
      </c>
      <c r="G2031" s="1" t="s">
        <v>2101</v>
      </c>
      <c r="H2031" s="1" t="s">
        <v>15</v>
      </c>
      <c r="I2031" s="1" t="str">
        <f>"1"</f>
        <v>1</v>
      </c>
      <c r="J2031" s="3" t="str">
        <f>"9535"</f>
        <v>9535</v>
      </c>
      <c r="K2031" s="4">
        <v>46078</v>
      </c>
      <c r="L2031" s="4">
        <v>46090</v>
      </c>
      <c r="M2031" s="1" t="s">
        <v>7678</v>
      </c>
      <c r="N2031" s="1" t="s">
        <v>7677</v>
      </c>
    </row>
    <row r="2032" spans="1:14" s="1" customFormat="1" x14ac:dyDescent="0.35">
      <c r="A2032" s="1" t="s">
        <v>4492</v>
      </c>
      <c r="B2032" s="1" t="s">
        <v>319</v>
      </c>
      <c r="C2032" s="1" t="s">
        <v>328</v>
      </c>
      <c r="D2032" s="1" t="s">
        <v>7676</v>
      </c>
      <c r="E2032" s="1" t="str">
        <f>"8145"</f>
        <v>8145</v>
      </c>
      <c r="F2032" s="1" t="str">
        <f>"014654187"</f>
        <v>014654187</v>
      </c>
      <c r="G2032" s="1" t="s">
        <v>753</v>
      </c>
      <c r="H2032" s="1" t="s">
        <v>15</v>
      </c>
      <c r="I2032" s="1" t="str">
        <f>"1"</f>
        <v>1</v>
      </c>
      <c r="J2032" s="3">
        <v>17477.91</v>
      </c>
      <c r="K2032" s="4">
        <v>46084</v>
      </c>
      <c r="L2032" s="4">
        <v>46095</v>
      </c>
      <c r="M2032" s="1" t="s">
        <v>7675</v>
      </c>
      <c r="N2032" s="1" t="s">
        <v>7674</v>
      </c>
    </row>
    <row r="2033" spans="1:14" s="1" customFormat="1" x14ac:dyDescent="0.35">
      <c r="A2033" s="1" t="s">
        <v>4492</v>
      </c>
      <c r="B2033" s="1" t="s">
        <v>4381</v>
      </c>
      <c r="C2033" s="1" t="s">
        <v>4408</v>
      </c>
      <c r="D2033" s="1" t="s">
        <v>7673</v>
      </c>
      <c r="E2033" s="1" t="str">
        <f>"5855"</f>
        <v>5855</v>
      </c>
      <c r="F2033" s="1" t="str">
        <f>"015051442"</f>
        <v>015051442</v>
      </c>
      <c r="G2033" s="1" t="s">
        <v>614</v>
      </c>
      <c r="H2033" s="1" t="s">
        <v>15</v>
      </c>
      <c r="I2033" s="1" t="str">
        <f>"20"</f>
        <v>20</v>
      </c>
      <c r="J2033" s="3" t="str">
        <f>"68850"</f>
        <v>68850</v>
      </c>
      <c r="K2033" s="4">
        <v>46034</v>
      </c>
      <c r="L2033" s="4">
        <v>46035</v>
      </c>
      <c r="M2033" s="1" t="s">
        <v>4524</v>
      </c>
      <c r="N2033" s="1" t="s">
        <v>7672</v>
      </c>
    </row>
    <row r="2034" spans="1:14" s="1" customFormat="1" x14ac:dyDescent="0.35">
      <c r="A2034" s="1" t="s">
        <v>4492</v>
      </c>
      <c r="B2034" s="1" t="s">
        <v>4381</v>
      </c>
      <c r="C2034" s="1" t="s">
        <v>4408</v>
      </c>
      <c r="D2034" s="1" t="s">
        <v>7671</v>
      </c>
      <c r="E2034" s="1" t="str">
        <f>"5855"</f>
        <v>5855</v>
      </c>
      <c r="F2034" s="1" t="str">
        <f>"015051442"</f>
        <v>015051442</v>
      </c>
      <c r="G2034" s="1" t="s">
        <v>614</v>
      </c>
      <c r="H2034" s="1" t="s">
        <v>15</v>
      </c>
      <c r="I2034" s="1" t="str">
        <f>"17"</f>
        <v>17</v>
      </c>
      <c r="J2034" s="3" t="str">
        <f>"68850"</f>
        <v>68850</v>
      </c>
      <c r="K2034" s="4">
        <v>46039</v>
      </c>
      <c r="L2034" s="4">
        <v>46064</v>
      </c>
      <c r="M2034" s="1" t="s">
        <v>7670</v>
      </c>
      <c r="N2034" s="1" t="s">
        <v>7669</v>
      </c>
    </row>
    <row r="2035" spans="1:14" s="1" customFormat="1" x14ac:dyDescent="0.35">
      <c r="A2035" s="1" t="s">
        <v>4492</v>
      </c>
      <c r="B2035" s="1" t="s">
        <v>3352</v>
      </c>
      <c r="C2035" s="1" t="s">
        <v>7656</v>
      </c>
      <c r="D2035" s="1" t="s">
        <v>7668</v>
      </c>
      <c r="E2035" s="1" t="str">
        <f>"5855"</f>
        <v>5855</v>
      </c>
      <c r="F2035" s="1" t="str">
        <f>"014199429"</f>
        <v>014199429</v>
      </c>
      <c r="G2035" s="1" t="s">
        <v>614</v>
      </c>
      <c r="H2035" s="1" t="s">
        <v>15</v>
      </c>
      <c r="I2035" s="1" t="str">
        <f>"10"</f>
        <v>10</v>
      </c>
      <c r="J2035" s="3" t="str">
        <f>"13003"</f>
        <v>13003</v>
      </c>
      <c r="K2035" s="4">
        <v>46084</v>
      </c>
      <c r="L2035" s="4">
        <v>46095</v>
      </c>
      <c r="M2035" s="1" t="s">
        <v>7667</v>
      </c>
      <c r="N2035" s="1" t="s">
        <v>7666</v>
      </c>
    </row>
    <row r="2036" spans="1:14" s="1" customFormat="1" x14ac:dyDescent="0.35">
      <c r="A2036" s="1" t="s">
        <v>4492</v>
      </c>
      <c r="B2036" s="1" t="s">
        <v>3352</v>
      </c>
      <c r="C2036" s="1" t="s">
        <v>7656</v>
      </c>
      <c r="D2036" s="1" t="s">
        <v>7665</v>
      </c>
      <c r="E2036" s="1" t="str">
        <f>"5855"</f>
        <v>5855</v>
      </c>
      <c r="F2036" s="1" t="str">
        <f>"015777174"</f>
        <v>015777174</v>
      </c>
      <c r="G2036" s="1" t="s">
        <v>952</v>
      </c>
      <c r="H2036" s="1" t="s">
        <v>15</v>
      </c>
      <c r="I2036" s="1" t="str">
        <f>"10"</f>
        <v>10</v>
      </c>
      <c r="J2036" s="3" t="str">
        <f>"1791"</f>
        <v>1791</v>
      </c>
      <c r="K2036" s="4">
        <v>46095</v>
      </c>
      <c r="L2036" s="4">
        <v>46099</v>
      </c>
      <c r="M2036" s="1" t="s">
        <v>7664</v>
      </c>
      <c r="N2036" s="1" t="s">
        <v>7663</v>
      </c>
    </row>
    <row r="2037" spans="1:14" s="1" customFormat="1" x14ac:dyDescent="0.35">
      <c r="A2037" s="1" t="s">
        <v>4492</v>
      </c>
      <c r="B2037" s="1" t="s">
        <v>3352</v>
      </c>
      <c r="C2037" s="1" t="s">
        <v>7656</v>
      </c>
      <c r="D2037" s="1" t="s">
        <v>7662</v>
      </c>
      <c r="E2037" s="1" t="str">
        <f>"5855"</f>
        <v>5855</v>
      </c>
      <c r="F2037" s="1" t="s">
        <v>985</v>
      </c>
      <c r="G2037" s="1" t="s">
        <v>986</v>
      </c>
      <c r="H2037" s="1" t="s">
        <v>15</v>
      </c>
      <c r="I2037" s="1" t="str">
        <f>"8"</f>
        <v>8</v>
      </c>
      <c r="J2037" s="3" t="str">
        <f>"3595"</f>
        <v>3595</v>
      </c>
      <c r="K2037" s="4">
        <v>46098</v>
      </c>
      <c r="L2037" s="4">
        <v>46107</v>
      </c>
      <c r="M2037" s="1" t="s">
        <v>7661</v>
      </c>
      <c r="N2037" s="1" t="s">
        <v>7660</v>
      </c>
    </row>
    <row r="2038" spans="1:14" s="1" customFormat="1" x14ac:dyDescent="0.35">
      <c r="A2038" s="1" t="s">
        <v>4492</v>
      </c>
      <c r="B2038" s="1" t="s">
        <v>3352</v>
      </c>
      <c r="C2038" s="1" t="s">
        <v>7656</v>
      </c>
      <c r="D2038" s="1" t="s">
        <v>7659</v>
      </c>
      <c r="E2038" s="1" t="str">
        <f>"5855"</f>
        <v>5855</v>
      </c>
      <c r="F2038" s="1" t="str">
        <f>"015847217"</f>
        <v>015847217</v>
      </c>
      <c r="G2038" s="1" t="s">
        <v>614</v>
      </c>
      <c r="H2038" s="1" t="s">
        <v>15</v>
      </c>
      <c r="I2038" s="1" t="str">
        <f>"5"</f>
        <v>5</v>
      </c>
      <c r="J2038" s="3" t="str">
        <f>"34084"</f>
        <v>34084</v>
      </c>
      <c r="K2038" s="4">
        <v>46100</v>
      </c>
      <c r="L2038" s="4">
        <v>46105</v>
      </c>
      <c r="M2038" s="1" t="s">
        <v>7658</v>
      </c>
      <c r="N2038" s="1" t="s">
        <v>7657</v>
      </c>
    </row>
    <row r="2039" spans="1:14" s="1" customFormat="1" x14ac:dyDescent="0.35">
      <c r="A2039" s="1" t="s">
        <v>4492</v>
      </c>
      <c r="B2039" s="1" t="s">
        <v>3352</v>
      </c>
      <c r="C2039" s="1" t="s">
        <v>7656</v>
      </c>
      <c r="D2039" s="1" t="s">
        <v>7655</v>
      </c>
      <c r="E2039" s="1" t="str">
        <f>"5855"</f>
        <v>5855</v>
      </c>
      <c r="F2039" s="1" t="str">
        <f>"016867264"</f>
        <v>016867264</v>
      </c>
      <c r="G2039" s="1" t="s">
        <v>4264</v>
      </c>
      <c r="H2039" s="1" t="s">
        <v>15</v>
      </c>
      <c r="I2039" s="1" t="str">
        <f>"1"</f>
        <v>1</v>
      </c>
      <c r="J2039" s="3">
        <v>4433.55</v>
      </c>
      <c r="K2039" s="4">
        <v>46111</v>
      </c>
      <c r="L2039" s="4">
        <v>46111</v>
      </c>
      <c r="M2039" s="1" t="s">
        <v>7654</v>
      </c>
      <c r="N2039" s="1" t="s">
        <v>7653</v>
      </c>
    </row>
    <row r="2040" spans="1:14" s="1" customFormat="1" x14ac:dyDescent="0.35">
      <c r="A2040" s="1" t="s">
        <v>4492</v>
      </c>
      <c r="B2040" s="1" t="s">
        <v>3352</v>
      </c>
      <c r="C2040" s="1" t="s">
        <v>7656</v>
      </c>
      <c r="D2040" s="1" t="s">
        <v>7655</v>
      </c>
      <c r="E2040" s="1" t="str">
        <f>"5855"</f>
        <v>5855</v>
      </c>
      <c r="F2040" s="1" t="str">
        <f>"016867264"</f>
        <v>016867264</v>
      </c>
      <c r="G2040" s="1" t="s">
        <v>4264</v>
      </c>
      <c r="H2040" s="1" t="s">
        <v>15</v>
      </c>
      <c r="I2040" s="1" t="str">
        <f>"1"</f>
        <v>1</v>
      </c>
      <c r="J2040" s="3">
        <v>4433.55</v>
      </c>
      <c r="K2040" s="4">
        <v>46111</v>
      </c>
      <c r="L2040" s="4">
        <v>46111</v>
      </c>
      <c r="M2040" s="1" t="s">
        <v>7654</v>
      </c>
      <c r="N2040" s="1" t="s">
        <v>7653</v>
      </c>
    </row>
    <row r="2041" spans="1:14" s="1" customFormat="1" x14ac:dyDescent="0.35">
      <c r="A2041" s="1" t="s">
        <v>4492</v>
      </c>
      <c r="B2041" s="1" t="s">
        <v>435</v>
      </c>
      <c r="C2041" s="1" t="s">
        <v>7652</v>
      </c>
      <c r="D2041" s="1" t="s">
        <v>7651</v>
      </c>
      <c r="E2041" s="1" t="str">
        <f>"2410"</f>
        <v>2410</v>
      </c>
      <c r="F2041" s="1" t="str">
        <f>"002335749"</f>
        <v>002335749</v>
      </c>
      <c r="G2041" s="1" t="s">
        <v>7650</v>
      </c>
      <c r="H2041" s="1" t="s">
        <v>15</v>
      </c>
      <c r="I2041" s="1" t="str">
        <f>"1"</f>
        <v>1</v>
      </c>
      <c r="J2041" s="3">
        <v>101747.1</v>
      </c>
      <c r="K2041" s="4">
        <v>46085</v>
      </c>
      <c r="L2041" s="4">
        <v>46086</v>
      </c>
      <c r="M2041" s="1" t="s">
        <v>4524</v>
      </c>
      <c r="N2041" s="1" t="s">
        <v>7649</v>
      </c>
    </row>
    <row r="2042" spans="1:14" s="1" customFormat="1" x14ac:dyDescent="0.35">
      <c r="A2042" s="1" t="s">
        <v>4492</v>
      </c>
      <c r="B2042" s="1" t="s">
        <v>2641</v>
      </c>
      <c r="C2042" s="1" t="s">
        <v>3117</v>
      </c>
      <c r="D2042" s="1" t="s">
        <v>7648</v>
      </c>
      <c r="E2042" s="1" t="str">
        <f>"5855"</f>
        <v>5855</v>
      </c>
      <c r="F2042" s="1" t="str">
        <f>"015777174"</f>
        <v>015777174</v>
      </c>
      <c r="G2042" s="1" t="s">
        <v>952</v>
      </c>
      <c r="H2042" s="1" t="s">
        <v>15</v>
      </c>
      <c r="I2042" s="1" t="str">
        <f>"25"</f>
        <v>25</v>
      </c>
      <c r="J2042" s="3" t="str">
        <f>"1800"</f>
        <v>1800</v>
      </c>
      <c r="K2042" s="4">
        <v>45964</v>
      </c>
      <c r="L2042" s="4">
        <v>46031</v>
      </c>
      <c r="M2042" s="1" t="s">
        <v>7647</v>
      </c>
      <c r="N2042" s="1" t="s">
        <v>7646</v>
      </c>
    </row>
    <row r="2043" spans="1:14" s="1" customFormat="1" x14ac:dyDescent="0.35">
      <c r="A2043" s="1" t="s">
        <v>4492</v>
      </c>
      <c r="B2043" s="1" t="s">
        <v>2641</v>
      </c>
      <c r="C2043" s="1" t="s">
        <v>3117</v>
      </c>
      <c r="D2043" s="1" t="s">
        <v>7645</v>
      </c>
      <c r="E2043" s="1" t="str">
        <f>"1240"</f>
        <v>1240</v>
      </c>
      <c r="F2043" s="1" t="str">
        <f>"016813209"</f>
        <v>016813209</v>
      </c>
      <c r="G2043" s="1" t="s">
        <v>6044</v>
      </c>
      <c r="H2043" s="1" t="s">
        <v>15</v>
      </c>
      <c r="I2043" s="1" t="str">
        <f>"1"</f>
        <v>1</v>
      </c>
      <c r="J2043" s="3" t="str">
        <f>"3269"</f>
        <v>3269</v>
      </c>
      <c r="K2043" s="4">
        <v>46046</v>
      </c>
      <c r="L2043" s="4">
        <v>46108</v>
      </c>
      <c r="M2043" s="1" t="s">
        <v>7644</v>
      </c>
      <c r="N2043" s="1" t="s">
        <v>7643</v>
      </c>
    </row>
    <row r="2044" spans="1:14" s="1" customFormat="1" x14ac:dyDescent="0.35">
      <c r="A2044" s="1" t="s">
        <v>4492</v>
      </c>
      <c r="B2044" s="1" t="s">
        <v>2641</v>
      </c>
      <c r="C2044" s="1" t="s">
        <v>3117</v>
      </c>
      <c r="D2044" s="1" t="s">
        <v>7642</v>
      </c>
      <c r="E2044" s="1" t="str">
        <f>"5855"</f>
        <v>5855</v>
      </c>
      <c r="F2044" s="1" t="str">
        <f>"015096871"</f>
        <v>015096871</v>
      </c>
      <c r="G2044" s="1" t="s">
        <v>7641</v>
      </c>
      <c r="H2044" s="1" t="s">
        <v>15</v>
      </c>
      <c r="I2044" s="1" t="str">
        <f>"1"</f>
        <v>1</v>
      </c>
      <c r="J2044" s="3" t="str">
        <f>"15264"</f>
        <v>15264</v>
      </c>
      <c r="K2044" s="4">
        <v>46050</v>
      </c>
      <c r="L2044" s="4">
        <v>46055</v>
      </c>
      <c r="M2044" s="1" t="s">
        <v>7640</v>
      </c>
      <c r="N2044" s="1" t="s">
        <v>7639</v>
      </c>
    </row>
    <row r="2045" spans="1:14" s="1" customFormat="1" x14ac:dyDescent="0.35">
      <c r="A2045" s="1" t="s">
        <v>4492</v>
      </c>
      <c r="B2045" s="1" t="s">
        <v>2641</v>
      </c>
      <c r="C2045" s="1" t="s">
        <v>3117</v>
      </c>
      <c r="D2045" s="1" t="s">
        <v>7638</v>
      </c>
      <c r="E2045" s="1" t="str">
        <f>"8465"</f>
        <v>8465</v>
      </c>
      <c r="F2045" s="1" t="str">
        <f>"016208023"</f>
        <v>016208023</v>
      </c>
      <c r="G2045" s="1" t="s">
        <v>7637</v>
      </c>
      <c r="H2045" s="1" t="s">
        <v>168</v>
      </c>
      <c r="I2045" s="1" t="str">
        <f>"1"</f>
        <v>1</v>
      </c>
      <c r="J2045" s="3">
        <v>983.95</v>
      </c>
      <c r="K2045" s="4">
        <v>46057</v>
      </c>
      <c r="L2045" s="4">
        <v>46060</v>
      </c>
      <c r="M2045" s="1" t="s">
        <v>7636</v>
      </c>
      <c r="N2045" s="1" t="s">
        <v>7635</v>
      </c>
    </row>
    <row r="2046" spans="1:14" s="1" customFormat="1" x14ac:dyDescent="0.35">
      <c r="A2046" s="1" t="s">
        <v>4492</v>
      </c>
      <c r="B2046" s="1" t="s">
        <v>2641</v>
      </c>
      <c r="C2046" s="1" t="s">
        <v>3117</v>
      </c>
      <c r="D2046" s="1" t="s">
        <v>7634</v>
      </c>
      <c r="E2046" s="1" t="str">
        <f>"1095"</f>
        <v>1095</v>
      </c>
      <c r="F2046" s="1" t="str">
        <f>"015267860"</f>
        <v>015267860</v>
      </c>
      <c r="G2046" s="1" t="s">
        <v>704</v>
      </c>
      <c r="H2046" s="1" t="s">
        <v>15</v>
      </c>
      <c r="I2046" s="1" t="str">
        <f>"4"</f>
        <v>4</v>
      </c>
      <c r="J2046" s="3" t="str">
        <f>"1107"</f>
        <v>1107</v>
      </c>
      <c r="K2046" s="4">
        <v>46057</v>
      </c>
      <c r="L2046" s="4">
        <v>46065</v>
      </c>
      <c r="M2046" s="1" t="s">
        <v>7633</v>
      </c>
      <c r="N2046" s="1" t="s">
        <v>7632</v>
      </c>
    </row>
    <row r="2047" spans="1:14" s="1" customFormat="1" x14ac:dyDescent="0.35">
      <c r="A2047" s="1" t="s">
        <v>4492</v>
      </c>
      <c r="B2047" s="1" t="s">
        <v>2641</v>
      </c>
      <c r="C2047" s="1" t="s">
        <v>3117</v>
      </c>
      <c r="D2047" s="1" t="s">
        <v>7631</v>
      </c>
      <c r="E2047" s="1" t="str">
        <f>"1240"</f>
        <v>1240</v>
      </c>
      <c r="F2047" s="1" t="str">
        <f>"016813209"</f>
        <v>016813209</v>
      </c>
      <c r="G2047" s="1" t="s">
        <v>6044</v>
      </c>
      <c r="H2047" s="1" t="s">
        <v>15</v>
      </c>
      <c r="I2047" s="1" t="str">
        <f>"22"</f>
        <v>22</v>
      </c>
      <c r="J2047" s="3" t="str">
        <f>"3269"</f>
        <v>3269</v>
      </c>
      <c r="K2047" s="4">
        <v>46083</v>
      </c>
      <c r="L2047" s="4">
        <v>46095</v>
      </c>
      <c r="M2047" s="1" t="s">
        <v>7630</v>
      </c>
      <c r="N2047" s="1" t="s">
        <v>7629</v>
      </c>
    </row>
    <row r="2048" spans="1:14" s="1" customFormat="1" x14ac:dyDescent="0.35">
      <c r="A2048" s="1" t="s">
        <v>4492</v>
      </c>
      <c r="B2048" s="1" t="s">
        <v>2641</v>
      </c>
      <c r="C2048" s="1" t="s">
        <v>3117</v>
      </c>
      <c r="D2048" s="1" t="s">
        <v>7628</v>
      </c>
      <c r="E2048" s="1" t="str">
        <f>"2320"</f>
        <v>2320</v>
      </c>
      <c r="F2048" s="1" t="s">
        <v>100</v>
      </c>
      <c r="G2048" s="1" t="s">
        <v>101</v>
      </c>
      <c r="H2048" s="1" t="s">
        <v>15</v>
      </c>
      <c r="I2048" s="1" t="str">
        <f>"1"</f>
        <v>1</v>
      </c>
      <c r="J2048" s="3" t="str">
        <f>"61735"</f>
        <v>61735</v>
      </c>
      <c r="K2048" s="4">
        <v>46095</v>
      </c>
      <c r="L2048" s="4">
        <v>46109</v>
      </c>
      <c r="M2048" s="1" t="s">
        <v>7627</v>
      </c>
      <c r="N2048" s="1" t="s">
        <v>7626</v>
      </c>
    </row>
    <row r="2049" spans="1:14" s="1" customFormat="1" x14ac:dyDescent="0.35">
      <c r="A2049" s="1" t="s">
        <v>4492</v>
      </c>
      <c r="B2049" s="1" t="s">
        <v>2641</v>
      </c>
      <c r="C2049" s="1" t="s">
        <v>3117</v>
      </c>
      <c r="D2049" s="1" t="s">
        <v>7625</v>
      </c>
      <c r="E2049" s="1" t="str">
        <f>"1940"</f>
        <v>1940</v>
      </c>
      <c r="F2049" s="1" t="s">
        <v>1898</v>
      </c>
      <c r="G2049" s="1" t="s">
        <v>1899</v>
      </c>
      <c r="H2049" s="1" t="s">
        <v>15</v>
      </c>
      <c r="I2049" s="1" t="str">
        <f>"1"</f>
        <v>1</v>
      </c>
      <c r="J2049" s="3" t="str">
        <f>"259000"</f>
        <v>259000</v>
      </c>
      <c r="K2049" s="4">
        <v>46095</v>
      </c>
      <c r="L2049" s="4">
        <v>46098</v>
      </c>
      <c r="M2049" s="1" t="s">
        <v>4524</v>
      </c>
      <c r="N2049" s="1" t="s">
        <v>7624</v>
      </c>
    </row>
    <row r="2050" spans="1:14" s="1" customFormat="1" x14ac:dyDescent="0.35">
      <c r="A2050" s="1" t="s">
        <v>4492</v>
      </c>
      <c r="B2050" s="1" t="s">
        <v>2641</v>
      </c>
      <c r="C2050" s="1" t="s">
        <v>3117</v>
      </c>
      <c r="D2050" s="1" t="s">
        <v>7623</v>
      </c>
      <c r="E2050" s="1" t="str">
        <f>"1240"</f>
        <v>1240</v>
      </c>
      <c r="F2050" s="1" t="s">
        <v>1364</v>
      </c>
      <c r="G2050" s="1" t="s">
        <v>1365</v>
      </c>
      <c r="H2050" s="1" t="s">
        <v>15</v>
      </c>
      <c r="I2050" s="1" t="str">
        <f>"4"</f>
        <v>4</v>
      </c>
      <c r="J2050" s="3" t="str">
        <f>"1500"</f>
        <v>1500</v>
      </c>
      <c r="K2050" s="4">
        <v>46107</v>
      </c>
      <c r="L2050" s="4">
        <v>46108</v>
      </c>
      <c r="M2050" s="1" t="s">
        <v>4524</v>
      </c>
      <c r="N2050" s="1" t="s">
        <v>7621</v>
      </c>
    </row>
    <row r="2051" spans="1:14" s="1" customFormat="1" x14ac:dyDescent="0.35">
      <c r="A2051" s="1" t="s">
        <v>4492</v>
      </c>
      <c r="B2051" s="1" t="s">
        <v>2641</v>
      </c>
      <c r="C2051" s="1" t="s">
        <v>3117</v>
      </c>
      <c r="D2051" s="1" t="s">
        <v>7622</v>
      </c>
      <c r="E2051" s="1" t="str">
        <f>"1240"</f>
        <v>1240</v>
      </c>
      <c r="F2051" s="1" t="s">
        <v>1364</v>
      </c>
      <c r="G2051" s="1" t="s">
        <v>1365</v>
      </c>
      <c r="H2051" s="1" t="s">
        <v>15</v>
      </c>
      <c r="I2051" s="1" t="str">
        <f>"2"</f>
        <v>2</v>
      </c>
      <c r="J2051" s="3" t="str">
        <f>"1000"</f>
        <v>1000</v>
      </c>
      <c r="K2051" s="4">
        <v>46107</v>
      </c>
      <c r="L2051" s="4">
        <v>46108</v>
      </c>
      <c r="M2051" s="1" t="s">
        <v>4524</v>
      </c>
      <c r="N2051" s="1" t="s">
        <v>7621</v>
      </c>
    </row>
    <row r="2052" spans="1:14" s="1" customFormat="1" x14ac:dyDescent="0.35">
      <c r="A2052" s="1" t="s">
        <v>4492</v>
      </c>
      <c r="B2052" s="1" t="s">
        <v>4456</v>
      </c>
      <c r="C2052" s="1" t="s">
        <v>7620</v>
      </c>
      <c r="D2052" s="1" t="s">
        <v>7619</v>
      </c>
      <c r="E2052" s="1" t="str">
        <f>"3419"</f>
        <v>3419</v>
      </c>
      <c r="F2052" s="1" t="s">
        <v>7618</v>
      </c>
      <c r="G2052" s="1" t="s">
        <v>7617</v>
      </c>
      <c r="H2052" s="1" t="s">
        <v>15</v>
      </c>
      <c r="I2052" s="1" t="str">
        <f>"1"</f>
        <v>1</v>
      </c>
      <c r="J2052" s="3" t="str">
        <f>"15000"</f>
        <v>15000</v>
      </c>
      <c r="K2052" s="4">
        <v>46037</v>
      </c>
      <c r="L2052" s="4">
        <v>46066</v>
      </c>
      <c r="M2052" s="1" t="s">
        <v>7616</v>
      </c>
      <c r="N2052" s="1" t="s">
        <v>7615</v>
      </c>
    </row>
    <row r="2053" spans="1:14" s="1" customFormat="1" x14ac:dyDescent="0.35">
      <c r="A2053" s="1" t="s">
        <v>4492</v>
      </c>
      <c r="B2053" s="1" t="s">
        <v>3356</v>
      </c>
      <c r="C2053" s="1" t="s">
        <v>3643</v>
      </c>
      <c r="D2053" s="1" t="s">
        <v>7614</v>
      </c>
      <c r="E2053" s="1" t="str">
        <f>"3895"</f>
        <v>3895</v>
      </c>
      <c r="F2053" s="1" t="str">
        <f>"010715625"</f>
        <v>010715625</v>
      </c>
      <c r="G2053" s="1" t="s">
        <v>7613</v>
      </c>
      <c r="H2053" s="1" t="s">
        <v>15</v>
      </c>
      <c r="I2053" s="1" t="str">
        <f>"1"</f>
        <v>1</v>
      </c>
      <c r="J2053" s="3" t="str">
        <f>"119023"</f>
        <v>119023</v>
      </c>
      <c r="K2053" s="4">
        <v>46045</v>
      </c>
      <c r="L2053" s="4">
        <v>46066</v>
      </c>
      <c r="M2053" s="1" t="s">
        <v>7612</v>
      </c>
      <c r="N2053" s="1" t="s">
        <v>7611</v>
      </c>
    </row>
    <row r="2054" spans="1:14" s="1" customFormat="1" x14ac:dyDescent="0.35">
      <c r="A2054" s="1" t="s">
        <v>4492</v>
      </c>
      <c r="B2054" s="1" t="s">
        <v>3356</v>
      </c>
      <c r="C2054" s="1" t="s">
        <v>3643</v>
      </c>
      <c r="D2054" s="1" t="s">
        <v>7610</v>
      </c>
      <c r="E2054" s="1" t="str">
        <f>"3805"</f>
        <v>3805</v>
      </c>
      <c r="F2054" s="1" t="str">
        <f>"010751816"</f>
        <v>010751816</v>
      </c>
      <c r="G2054" s="1" t="s">
        <v>420</v>
      </c>
      <c r="H2054" s="1" t="s">
        <v>15</v>
      </c>
      <c r="I2054" s="1" t="str">
        <f>"1"</f>
        <v>1</v>
      </c>
      <c r="J2054" s="3" t="str">
        <f>"554434"</f>
        <v>554434</v>
      </c>
      <c r="K2054" s="4">
        <v>46045</v>
      </c>
      <c r="L2054" s="4">
        <v>46094</v>
      </c>
      <c r="M2054" s="1" t="s">
        <v>7609</v>
      </c>
      <c r="N2054" s="1" t="s">
        <v>7608</v>
      </c>
    </row>
    <row r="2055" spans="1:14" s="1" customFormat="1" x14ac:dyDescent="0.35">
      <c r="A2055" s="1" t="s">
        <v>4492</v>
      </c>
      <c r="B2055" s="1" t="s">
        <v>3356</v>
      </c>
      <c r="C2055" s="1" t="s">
        <v>3643</v>
      </c>
      <c r="D2055" s="1" t="s">
        <v>7607</v>
      </c>
      <c r="E2055" s="1" t="str">
        <f>"2320"</f>
        <v>2320</v>
      </c>
      <c r="F2055" s="1" t="str">
        <f>"010752831"</f>
        <v>010752831</v>
      </c>
      <c r="G2055" s="1" t="s">
        <v>3645</v>
      </c>
      <c r="H2055" s="1" t="s">
        <v>15</v>
      </c>
      <c r="I2055" s="1" t="str">
        <f>"1"</f>
        <v>1</v>
      </c>
      <c r="J2055" s="3" t="str">
        <f>"116500"</f>
        <v>116500</v>
      </c>
      <c r="K2055" s="4">
        <v>46045</v>
      </c>
      <c r="L2055" s="4">
        <v>46099</v>
      </c>
      <c r="M2055" s="1" t="s">
        <v>7606</v>
      </c>
      <c r="N2055" s="1" t="s">
        <v>7605</v>
      </c>
    </row>
    <row r="2056" spans="1:14" s="1" customFormat="1" x14ac:dyDescent="0.35">
      <c r="A2056" s="1" t="s">
        <v>4492</v>
      </c>
      <c r="B2056" s="1" t="s">
        <v>3356</v>
      </c>
      <c r="C2056" s="1" t="s">
        <v>3643</v>
      </c>
      <c r="D2056" s="1" t="s">
        <v>7604</v>
      </c>
      <c r="E2056" s="1" t="str">
        <f>"2805"</f>
        <v>2805</v>
      </c>
      <c r="F2056" s="1" t="str">
        <f>"016279670"</f>
        <v>016279670</v>
      </c>
      <c r="G2056" s="1" t="s">
        <v>4158</v>
      </c>
      <c r="H2056" s="1" t="s">
        <v>15</v>
      </c>
      <c r="I2056" s="1" t="str">
        <f>"1"</f>
        <v>1</v>
      </c>
      <c r="J2056" s="3" t="str">
        <f>"14944"</f>
        <v>14944</v>
      </c>
      <c r="K2056" s="4">
        <v>46047</v>
      </c>
      <c r="L2056" s="4">
        <v>46060</v>
      </c>
      <c r="M2056" s="1" t="s">
        <v>7603</v>
      </c>
      <c r="N2056" s="1" t="s">
        <v>7598</v>
      </c>
    </row>
    <row r="2057" spans="1:14" s="1" customFormat="1" x14ac:dyDescent="0.35">
      <c r="A2057" s="1" t="s">
        <v>4492</v>
      </c>
      <c r="B2057" s="1" t="s">
        <v>3356</v>
      </c>
      <c r="C2057" s="1" t="s">
        <v>3643</v>
      </c>
      <c r="D2057" s="1" t="s">
        <v>7602</v>
      </c>
      <c r="E2057" s="1" t="str">
        <f>"2805"</f>
        <v>2805</v>
      </c>
      <c r="F2057" s="1" t="str">
        <f>"016279670"</f>
        <v>016279670</v>
      </c>
      <c r="G2057" s="1" t="s">
        <v>4158</v>
      </c>
      <c r="H2057" s="1" t="s">
        <v>15</v>
      </c>
      <c r="I2057" s="1" t="str">
        <f>"1"</f>
        <v>1</v>
      </c>
      <c r="J2057" s="3" t="str">
        <f>"14944"</f>
        <v>14944</v>
      </c>
      <c r="K2057" s="4">
        <v>46047</v>
      </c>
      <c r="L2057" s="4">
        <v>46060</v>
      </c>
      <c r="M2057" s="1" t="s">
        <v>7601</v>
      </c>
      <c r="N2057" s="1" t="s">
        <v>7598</v>
      </c>
    </row>
    <row r="2058" spans="1:14" s="1" customFormat="1" x14ac:dyDescent="0.35">
      <c r="A2058" s="1" t="s">
        <v>4492</v>
      </c>
      <c r="B2058" s="1" t="s">
        <v>3356</v>
      </c>
      <c r="C2058" s="1" t="s">
        <v>3643</v>
      </c>
      <c r="D2058" s="1" t="s">
        <v>7600</v>
      </c>
      <c r="E2058" s="1" t="str">
        <f>"2805"</f>
        <v>2805</v>
      </c>
      <c r="F2058" s="1" t="str">
        <f>"016279670"</f>
        <v>016279670</v>
      </c>
      <c r="G2058" s="1" t="s">
        <v>4158</v>
      </c>
      <c r="H2058" s="1" t="s">
        <v>15</v>
      </c>
      <c r="I2058" s="1" t="str">
        <f>"1"</f>
        <v>1</v>
      </c>
      <c r="J2058" s="3" t="str">
        <f>"14944"</f>
        <v>14944</v>
      </c>
      <c r="K2058" s="4">
        <v>46047</v>
      </c>
      <c r="L2058" s="4">
        <v>46060</v>
      </c>
      <c r="M2058" s="1" t="s">
        <v>7599</v>
      </c>
      <c r="N2058" s="1" t="s">
        <v>7598</v>
      </c>
    </row>
    <row r="2059" spans="1:14" s="1" customFormat="1" x14ac:dyDescent="0.35">
      <c r="A2059" s="1" t="s">
        <v>4492</v>
      </c>
      <c r="B2059" s="1" t="s">
        <v>3356</v>
      </c>
      <c r="C2059" s="1" t="s">
        <v>3643</v>
      </c>
      <c r="D2059" s="1" t="s">
        <v>7597</v>
      </c>
      <c r="E2059" s="1" t="str">
        <f>"2340"</f>
        <v>2340</v>
      </c>
      <c r="F2059" s="1" t="s">
        <v>1071</v>
      </c>
      <c r="G2059" s="1" t="s">
        <v>1072</v>
      </c>
      <c r="H2059" s="1" t="s">
        <v>15</v>
      </c>
      <c r="I2059" s="1" t="str">
        <f>"1"</f>
        <v>1</v>
      </c>
      <c r="J2059" s="3">
        <v>11964.82</v>
      </c>
      <c r="K2059" s="4">
        <v>46047</v>
      </c>
      <c r="L2059" s="4">
        <v>46049</v>
      </c>
      <c r="M2059" s="1" t="s">
        <v>7596</v>
      </c>
      <c r="N2059" s="1" t="s">
        <v>7595</v>
      </c>
    </row>
    <row r="2060" spans="1:14" s="1" customFormat="1" x14ac:dyDescent="0.35">
      <c r="A2060" s="1" t="s">
        <v>4492</v>
      </c>
      <c r="B2060" s="1" t="s">
        <v>3356</v>
      </c>
      <c r="C2060" s="1" t="s">
        <v>3643</v>
      </c>
      <c r="D2060" s="1" t="s">
        <v>7594</v>
      </c>
      <c r="E2060" s="1" t="str">
        <f>"2320"</f>
        <v>2320</v>
      </c>
      <c r="F2060" s="1" t="s">
        <v>1016</v>
      </c>
      <c r="G2060" s="1" t="s">
        <v>1017</v>
      </c>
      <c r="H2060" s="1" t="s">
        <v>15</v>
      </c>
      <c r="I2060" s="1" t="str">
        <f>"1"</f>
        <v>1</v>
      </c>
      <c r="J2060" s="3" t="str">
        <f>"165000"</f>
        <v>165000</v>
      </c>
      <c r="K2060" s="4">
        <v>46080</v>
      </c>
      <c r="L2060" s="4">
        <v>46088</v>
      </c>
      <c r="M2060" s="1" t="s">
        <v>7593</v>
      </c>
      <c r="N2060" s="1" t="s">
        <v>7592</v>
      </c>
    </row>
    <row r="2061" spans="1:14" s="1" customFormat="1" x14ac:dyDescent="0.35">
      <c r="A2061" s="1" t="s">
        <v>4492</v>
      </c>
      <c r="B2061" s="1" t="s">
        <v>3356</v>
      </c>
      <c r="C2061" s="1" t="s">
        <v>3643</v>
      </c>
      <c r="D2061" s="1" t="s">
        <v>7591</v>
      </c>
      <c r="E2061" s="1" t="str">
        <f>"2330"</f>
        <v>2330</v>
      </c>
      <c r="F2061" s="1" t="s">
        <v>104</v>
      </c>
      <c r="G2061" s="1" t="s">
        <v>105</v>
      </c>
      <c r="H2061" s="1" t="s">
        <v>15</v>
      </c>
      <c r="I2061" s="1" t="str">
        <f>"1"</f>
        <v>1</v>
      </c>
      <c r="J2061" s="3">
        <v>62760.99</v>
      </c>
      <c r="K2061" s="4">
        <v>46082</v>
      </c>
      <c r="L2061" s="4">
        <v>46087</v>
      </c>
      <c r="M2061" s="1" t="s">
        <v>7590</v>
      </c>
      <c r="N2061" s="1" t="s">
        <v>7589</v>
      </c>
    </row>
    <row r="2062" spans="1:14" s="1" customFormat="1" x14ac:dyDescent="0.35">
      <c r="A2062" s="1" t="s">
        <v>4492</v>
      </c>
      <c r="B2062" s="1" t="s">
        <v>3356</v>
      </c>
      <c r="C2062" s="1" t="s">
        <v>3643</v>
      </c>
      <c r="D2062" s="1" t="s">
        <v>7588</v>
      </c>
      <c r="E2062" s="1" t="str">
        <f>"3930"</f>
        <v>3930</v>
      </c>
      <c r="F2062" s="1" t="str">
        <f>"016417505"</f>
        <v>016417505</v>
      </c>
      <c r="G2062" s="1" t="s">
        <v>124</v>
      </c>
      <c r="H2062" s="1" t="s">
        <v>15</v>
      </c>
      <c r="I2062" s="1" t="str">
        <f>"1"</f>
        <v>1</v>
      </c>
      <c r="J2062" s="3">
        <v>99245.04</v>
      </c>
      <c r="K2062" s="4">
        <v>46082</v>
      </c>
      <c r="L2062" s="4">
        <v>46106</v>
      </c>
      <c r="M2062" s="1" t="s">
        <v>7587</v>
      </c>
      <c r="N2062" s="1" t="s">
        <v>7586</v>
      </c>
    </row>
    <row r="2063" spans="1:14" s="1" customFormat="1" x14ac:dyDescent="0.35">
      <c r="A2063" s="1" t="s">
        <v>4492</v>
      </c>
      <c r="B2063" s="1" t="s">
        <v>3356</v>
      </c>
      <c r="C2063" s="1" t="s">
        <v>3643</v>
      </c>
      <c r="D2063" s="1" t="s">
        <v>7585</v>
      </c>
      <c r="E2063" s="1" t="str">
        <f>"8145"</f>
        <v>8145</v>
      </c>
      <c r="F2063" s="1" t="s">
        <v>2635</v>
      </c>
      <c r="G2063" s="1" t="s">
        <v>2636</v>
      </c>
      <c r="H2063" s="1" t="s">
        <v>15</v>
      </c>
      <c r="I2063" s="1" t="str">
        <f>"1"</f>
        <v>1</v>
      </c>
      <c r="J2063" s="3" t="str">
        <f>"8000"</f>
        <v>8000</v>
      </c>
      <c r="K2063" s="4">
        <v>46082</v>
      </c>
      <c r="L2063" s="4">
        <v>46087</v>
      </c>
      <c r="M2063" s="1" t="s">
        <v>7584</v>
      </c>
      <c r="N2063" s="1" t="s">
        <v>7581</v>
      </c>
    </row>
    <row r="2064" spans="1:14" s="1" customFormat="1" x14ac:dyDescent="0.35">
      <c r="A2064" s="1" t="s">
        <v>4492</v>
      </c>
      <c r="B2064" s="1" t="s">
        <v>3356</v>
      </c>
      <c r="C2064" s="1" t="s">
        <v>3643</v>
      </c>
      <c r="D2064" s="1" t="s">
        <v>7583</v>
      </c>
      <c r="E2064" s="1" t="str">
        <f>"8145"</f>
        <v>8145</v>
      </c>
      <c r="F2064" s="1" t="s">
        <v>2635</v>
      </c>
      <c r="G2064" s="1" t="s">
        <v>2636</v>
      </c>
      <c r="H2064" s="1" t="s">
        <v>15</v>
      </c>
      <c r="I2064" s="1" t="str">
        <f>"1"</f>
        <v>1</v>
      </c>
      <c r="J2064" s="3" t="str">
        <f>"8000"</f>
        <v>8000</v>
      </c>
      <c r="K2064" s="4">
        <v>46082</v>
      </c>
      <c r="L2064" s="4">
        <v>46087</v>
      </c>
      <c r="M2064" s="1" t="s">
        <v>7582</v>
      </c>
      <c r="N2064" s="1" t="s">
        <v>7581</v>
      </c>
    </row>
    <row r="2065" spans="1:14" s="1" customFormat="1" x14ac:dyDescent="0.35">
      <c r="A2065" s="1" t="s">
        <v>4492</v>
      </c>
      <c r="B2065" s="1" t="s">
        <v>3356</v>
      </c>
      <c r="C2065" s="1" t="s">
        <v>3643</v>
      </c>
      <c r="D2065" s="1" t="s">
        <v>7580</v>
      </c>
      <c r="E2065" s="1" t="str">
        <f>"8145"</f>
        <v>8145</v>
      </c>
      <c r="F2065" s="1" t="str">
        <f>"014423336"</f>
        <v>014423336</v>
      </c>
      <c r="G2065" s="1" t="s">
        <v>753</v>
      </c>
      <c r="H2065" s="1" t="s">
        <v>15</v>
      </c>
      <c r="I2065" s="1" t="str">
        <f>"1"</f>
        <v>1</v>
      </c>
      <c r="J2065" s="3" t="str">
        <f>"4975"</f>
        <v>4975</v>
      </c>
      <c r="K2065" s="4">
        <v>46103</v>
      </c>
      <c r="L2065" s="4">
        <v>46106</v>
      </c>
      <c r="M2065" s="1" t="s">
        <v>7579</v>
      </c>
      <c r="N2065" s="1" t="s">
        <v>7574</v>
      </c>
    </row>
    <row r="2066" spans="1:14" s="1" customFormat="1" x14ac:dyDescent="0.35">
      <c r="A2066" s="1" t="s">
        <v>4492</v>
      </c>
      <c r="B2066" s="1" t="s">
        <v>3356</v>
      </c>
      <c r="C2066" s="1" t="s">
        <v>3643</v>
      </c>
      <c r="D2066" s="1" t="s">
        <v>7578</v>
      </c>
      <c r="E2066" s="1" t="str">
        <f>"8145"</f>
        <v>8145</v>
      </c>
      <c r="F2066" s="1" t="str">
        <f>"014423336"</f>
        <v>014423336</v>
      </c>
      <c r="G2066" s="1" t="s">
        <v>753</v>
      </c>
      <c r="H2066" s="1" t="s">
        <v>15</v>
      </c>
      <c r="I2066" s="1" t="str">
        <f>"1"</f>
        <v>1</v>
      </c>
      <c r="J2066" s="3" t="str">
        <f>"4975"</f>
        <v>4975</v>
      </c>
      <c r="K2066" s="4">
        <v>46103</v>
      </c>
      <c r="L2066" s="4">
        <v>46106</v>
      </c>
      <c r="M2066" s="1" t="s">
        <v>7577</v>
      </c>
      <c r="N2066" s="1" t="s">
        <v>7574</v>
      </c>
    </row>
    <row r="2067" spans="1:14" s="1" customFormat="1" x14ac:dyDescent="0.35">
      <c r="A2067" s="1" t="s">
        <v>4492</v>
      </c>
      <c r="B2067" s="1" t="s">
        <v>3356</v>
      </c>
      <c r="C2067" s="1" t="s">
        <v>3643</v>
      </c>
      <c r="D2067" s="1" t="s">
        <v>7576</v>
      </c>
      <c r="E2067" s="1" t="str">
        <f>"8145"</f>
        <v>8145</v>
      </c>
      <c r="F2067" s="1" t="str">
        <f>"014423336"</f>
        <v>014423336</v>
      </c>
      <c r="G2067" s="1" t="s">
        <v>753</v>
      </c>
      <c r="H2067" s="1" t="s">
        <v>15</v>
      </c>
      <c r="I2067" s="1" t="str">
        <f>"1"</f>
        <v>1</v>
      </c>
      <c r="J2067" s="3" t="str">
        <f>"4975"</f>
        <v>4975</v>
      </c>
      <c r="K2067" s="4">
        <v>46103</v>
      </c>
      <c r="L2067" s="4">
        <v>46106</v>
      </c>
      <c r="M2067" s="1" t="s">
        <v>7575</v>
      </c>
      <c r="N2067" s="1" t="s">
        <v>7574</v>
      </c>
    </row>
    <row r="2068" spans="1:14" s="1" customFormat="1" x14ac:dyDescent="0.35">
      <c r="A2068" s="1" t="s">
        <v>4492</v>
      </c>
      <c r="B2068" s="1" t="s">
        <v>3356</v>
      </c>
      <c r="C2068" s="1" t="s">
        <v>3643</v>
      </c>
      <c r="D2068" s="1" t="s">
        <v>7573</v>
      </c>
      <c r="E2068" s="1" t="str">
        <f>"3920"</f>
        <v>3920</v>
      </c>
      <c r="F2068" s="1" t="s">
        <v>3846</v>
      </c>
      <c r="G2068" s="1" t="s">
        <v>3847</v>
      </c>
      <c r="H2068" s="1" t="s">
        <v>15</v>
      </c>
      <c r="I2068" s="1" t="str">
        <f>"3"</f>
        <v>3</v>
      </c>
      <c r="J2068" s="3" t="str">
        <f>"150"</f>
        <v>150</v>
      </c>
      <c r="K2068" s="4">
        <v>46095</v>
      </c>
      <c r="L2068" s="4">
        <v>46098</v>
      </c>
      <c r="M2068" s="1" t="s">
        <v>4524</v>
      </c>
      <c r="N2068" s="1" t="s">
        <v>7572</v>
      </c>
    </row>
    <row r="2069" spans="1:14" s="1" customFormat="1" x14ac:dyDescent="0.35">
      <c r="A2069" s="1" t="s">
        <v>4492</v>
      </c>
      <c r="B2069" s="1" t="s">
        <v>3356</v>
      </c>
      <c r="C2069" s="1" t="s">
        <v>3643</v>
      </c>
      <c r="D2069" s="1" t="s">
        <v>7571</v>
      </c>
      <c r="E2069" s="1" t="str">
        <f>"2340"</f>
        <v>2340</v>
      </c>
      <c r="F2069" s="1" t="s">
        <v>2713</v>
      </c>
      <c r="G2069" s="1" t="s">
        <v>2714</v>
      </c>
      <c r="H2069" s="1" t="s">
        <v>15</v>
      </c>
      <c r="I2069" s="1" t="str">
        <f>"1"</f>
        <v>1</v>
      </c>
      <c r="J2069" s="3" t="str">
        <f>"8000"</f>
        <v>8000</v>
      </c>
      <c r="K2069" s="4">
        <v>46095</v>
      </c>
      <c r="L2069" s="4">
        <v>46109</v>
      </c>
      <c r="M2069" s="1" t="s">
        <v>7570</v>
      </c>
      <c r="N2069" s="1" t="s">
        <v>7569</v>
      </c>
    </row>
    <row r="2070" spans="1:14" s="1" customFormat="1" x14ac:dyDescent="0.35">
      <c r="A2070" s="1" t="s">
        <v>4492</v>
      </c>
      <c r="B2070" s="1" t="s">
        <v>3356</v>
      </c>
      <c r="C2070" s="1" t="s">
        <v>3643</v>
      </c>
      <c r="D2070" s="1" t="s">
        <v>7568</v>
      </c>
      <c r="E2070" s="1" t="str">
        <f>"2330"</f>
        <v>2330</v>
      </c>
      <c r="F2070" s="1" t="s">
        <v>104</v>
      </c>
      <c r="G2070" s="1" t="s">
        <v>105</v>
      </c>
      <c r="H2070" s="1" t="s">
        <v>15</v>
      </c>
      <c r="I2070" s="1" t="str">
        <f>"1"</f>
        <v>1</v>
      </c>
      <c r="J2070" s="3" t="str">
        <f>"10000"</f>
        <v>10000</v>
      </c>
      <c r="K2070" s="4">
        <v>46098</v>
      </c>
      <c r="L2070" s="4">
        <v>46109</v>
      </c>
      <c r="M2070" s="1" t="s">
        <v>7567</v>
      </c>
      <c r="N2070" s="1" t="s">
        <v>7566</v>
      </c>
    </row>
    <row r="2071" spans="1:14" s="1" customFormat="1" x14ac:dyDescent="0.35">
      <c r="A2071" s="1" t="s">
        <v>4492</v>
      </c>
      <c r="B2071" s="1" t="s">
        <v>4381</v>
      </c>
      <c r="C2071" s="1" t="s">
        <v>4414</v>
      </c>
      <c r="D2071" s="1" t="s">
        <v>7565</v>
      </c>
      <c r="E2071" s="1" t="str">
        <f>"7025"</f>
        <v>7025</v>
      </c>
      <c r="F2071" s="1" t="s">
        <v>7564</v>
      </c>
      <c r="G2071" s="1" t="s">
        <v>7563</v>
      </c>
      <c r="H2071" s="1" t="s">
        <v>15</v>
      </c>
      <c r="I2071" s="1" t="str">
        <f>"1"</f>
        <v>1</v>
      </c>
      <c r="J2071" s="3">
        <v>744.54</v>
      </c>
      <c r="K2071" s="4">
        <v>45990</v>
      </c>
      <c r="L2071" s="4">
        <v>46028</v>
      </c>
      <c r="M2071" s="1" t="s">
        <v>7562</v>
      </c>
      <c r="N2071" s="1" t="s">
        <v>7561</v>
      </c>
    </row>
    <row r="2072" spans="1:14" s="1" customFormat="1" x14ac:dyDescent="0.35">
      <c r="A2072" s="1" t="s">
        <v>4492</v>
      </c>
      <c r="B2072" s="1" t="s">
        <v>4381</v>
      </c>
      <c r="C2072" s="1" t="s">
        <v>4414</v>
      </c>
      <c r="D2072" s="1" t="s">
        <v>7560</v>
      </c>
      <c r="E2072" s="1" t="str">
        <f>"7025"</f>
        <v>7025</v>
      </c>
      <c r="F2072" s="1" t="str">
        <f>"016902666"</f>
        <v>016902666</v>
      </c>
      <c r="G2072" s="1" t="s">
        <v>7559</v>
      </c>
      <c r="H2072" s="1" t="s">
        <v>15</v>
      </c>
      <c r="I2072" s="1" t="str">
        <f>"1"</f>
        <v>1</v>
      </c>
      <c r="J2072" s="3">
        <v>1497.56</v>
      </c>
      <c r="K2072" s="4">
        <v>46012</v>
      </c>
      <c r="L2072" s="4">
        <v>46028</v>
      </c>
      <c r="M2072" s="1" t="s">
        <v>7558</v>
      </c>
      <c r="N2072" s="1" t="s">
        <v>7553</v>
      </c>
    </row>
    <row r="2073" spans="1:14" s="1" customFormat="1" x14ac:dyDescent="0.35">
      <c r="A2073" s="1" t="s">
        <v>4492</v>
      </c>
      <c r="B2073" s="1" t="s">
        <v>4381</v>
      </c>
      <c r="C2073" s="1" t="s">
        <v>4414</v>
      </c>
      <c r="D2073" s="1" t="s">
        <v>7557</v>
      </c>
      <c r="E2073" s="1" t="str">
        <f>"7025"</f>
        <v>7025</v>
      </c>
      <c r="F2073" s="1" t="s">
        <v>7556</v>
      </c>
      <c r="G2073" s="1" t="s">
        <v>7555</v>
      </c>
      <c r="H2073" s="1" t="s">
        <v>15</v>
      </c>
      <c r="I2073" s="1" t="str">
        <f>"1"</f>
        <v>1</v>
      </c>
      <c r="J2073" s="3" t="str">
        <f>"200"</f>
        <v>200</v>
      </c>
      <c r="K2073" s="4">
        <v>46012</v>
      </c>
      <c r="L2073" s="4">
        <v>46029</v>
      </c>
      <c r="M2073" s="1" t="s">
        <v>7554</v>
      </c>
      <c r="N2073" s="1" t="s">
        <v>7553</v>
      </c>
    </row>
    <row r="2074" spans="1:14" s="1" customFormat="1" x14ac:dyDescent="0.35">
      <c r="A2074" s="1" t="s">
        <v>4492</v>
      </c>
      <c r="B2074" s="1" t="s">
        <v>4381</v>
      </c>
      <c r="C2074" s="1" t="s">
        <v>4414</v>
      </c>
      <c r="D2074" s="1" t="s">
        <v>7552</v>
      </c>
      <c r="E2074" s="1" t="str">
        <f>"7520"</f>
        <v>7520</v>
      </c>
      <c r="F2074" s="1" t="str">
        <f>"015574971"</f>
        <v>015574971</v>
      </c>
      <c r="G2074" s="1" t="s">
        <v>7551</v>
      </c>
      <c r="H2074" s="1" t="s">
        <v>168</v>
      </c>
      <c r="I2074" s="1" t="str">
        <f>"2"</f>
        <v>2</v>
      </c>
      <c r="J2074" s="3">
        <v>10.06</v>
      </c>
      <c r="K2074" s="4">
        <v>46032</v>
      </c>
      <c r="L2074" s="4">
        <v>46036</v>
      </c>
      <c r="M2074" s="1" t="s">
        <v>7550</v>
      </c>
      <c r="N2074" s="1" t="s">
        <v>4443</v>
      </c>
    </row>
    <row r="2075" spans="1:14" s="1" customFormat="1" x14ac:dyDescent="0.35">
      <c r="A2075" s="1" t="s">
        <v>4492</v>
      </c>
      <c r="B2075" s="1" t="s">
        <v>4381</v>
      </c>
      <c r="C2075" s="1" t="s">
        <v>4414</v>
      </c>
      <c r="D2075" s="1" t="s">
        <v>7549</v>
      </c>
      <c r="E2075" s="1" t="str">
        <f>"7530"</f>
        <v>7530</v>
      </c>
      <c r="F2075" s="1" t="str">
        <f>"014562249"</f>
        <v>014562249</v>
      </c>
      <c r="G2075" s="1" t="s">
        <v>7548</v>
      </c>
      <c r="H2075" s="1" t="s">
        <v>293</v>
      </c>
      <c r="I2075" s="1" t="str">
        <f>"8"</f>
        <v>8</v>
      </c>
      <c r="J2075" s="3">
        <v>6.95</v>
      </c>
      <c r="K2075" s="4">
        <v>46032</v>
      </c>
      <c r="L2075" s="4">
        <v>46035</v>
      </c>
      <c r="M2075" s="1" t="s">
        <v>4524</v>
      </c>
      <c r="N2075" s="1" t="s">
        <v>4443</v>
      </c>
    </row>
    <row r="2076" spans="1:14" s="1" customFormat="1" x14ac:dyDescent="0.35">
      <c r="A2076" s="1" t="s">
        <v>4492</v>
      </c>
      <c r="B2076" s="1" t="s">
        <v>4381</v>
      </c>
      <c r="C2076" s="1" t="s">
        <v>4414</v>
      </c>
      <c r="D2076" s="1" t="s">
        <v>7547</v>
      </c>
      <c r="E2076" s="1" t="str">
        <f>"7920"</f>
        <v>7920</v>
      </c>
      <c r="F2076" s="1" t="str">
        <f>"008239773"</f>
        <v>008239773</v>
      </c>
      <c r="G2076" s="1" t="s">
        <v>205</v>
      </c>
      <c r="H2076" s="1" t="s">
        <v>7546</v>
      </c>
      <c r="I2076" s="1" t="str">
        <f>"1"</f>
        <v>1</v>
      </c>
      <c r="J2076" s="3">
        <v>107.01</v>
      </c>
      <c r="K2076" s="4">
        <v>46047</v>
      </c>
      <c r="L2076" s="4">
        <v>46051</v>
      </c>
      <c r="M2076" s="1" t="s">
        <v>7545</v>
      </c>
      <c r="N2076" s="1" t="s">
        <v>7544</v>
      </c>
    </row>
    <row r="2077" spans="1:14" s="1" customFormat="1" x14ac:dyDescent="0.35">
      <c r="A2077" s="1" t="s">
        <v>4492</v>
      </c>
      <c r="B2077" s="1" t="s">
        <v>4381</v>
      </c>
      <c r="C2077" s="1" t="s">
        <v>4414</v>
      </c>
      <c r="D2077" s="1" t="s">
        <v>7543</v>
      </c>
      <c r="E2077" s="1" t="str">
        <f>"7520"</f>
        <v>7520</v>
      </c>
      <c r="F2077" s="1" t="str">
        <f>"015076958"</f>
        <v>015076958</v>
      </c>
      <c r="G2077" s="1" t="s">
        <v>4440</v>
      </c>
      <c r="H2077" s="1" t="s">
        <v>257</v>
      </c>
      <c r="I2077" s="1" t="str">
        <f>"5"</f>
        <v>5</v>
      </c>
      <c r="J2077" s="3">
        <v>5.76</v>
      </c>
      <c r="K2077" s="4">
        <v>46047</v>
      </c>
      <c r="L2077" s="4">
        <v>46055</v>
      </c>
      <c r="M2077" s="1" t="s">
        <v>7542</v>
      </c>
      <c r="N2077" s="1" t="s">
        <v>4443</v>
      </c>
    </row>
    <row r="2078" spans="1:14" s="1" customFormat="1" x14ac:dyDescent="0.35">
      <c r="A2078" s="1" t="s">
        <v>4492</v>
      </c>
      <c r="B2078" s="1" t="s">
        <v>4381</v>
      </c>
      <c r="C2078" s="1" t="s">
        <v>4414</v>
      </c>
      <c r="D2078" s="1" t="s">
        <v>7541</v>
      </c>
      <c r="E2078" s="1" t="str">
        <f>"7520"</f>
        <v>7520</v>
      </c>
      <c r="F2078" s="1" t="str">
        <f>"014679433"</f>
        <v>014679433</v>
      </c>
      <c r="G2078" s="1" t="s">
        <v>7521</v>
      </c>
      <c r="H2078" s="1" t="s">
        <v>15</v>
      </c>
      <c r="I2078" s="1" t="str">
        <f>"5"</f>
        <v>5</v>
      </c>
      <c r="J2078" s="3">
        <v>14.09</v>
      </c>
      <c r="K2078" s="4">
        <v>46047</v>
      </c>
      <c r="L2078" s="4">
        <v>46055</v>
      </c>
      <c r="M2078" s="1" t="s">
        <v>7540</v>
      </c>
      <c r="N2078" s="1" t="s">
        <v>7539</v>
      </c>
    </row>
    <row r="2079" spans="1:14" s="1" customFormat="1" x14ac:dyDescent="0.35">
      <c r="A2079" s="1" t="s">
        <v>4492</v>
      </c>
      <c r="B2079" s="1" t="s">
        <v>4381</v>
      </c>
      <c r="C2079" s="1" t="s">
        <v>4414</v>
      </c>
      <c r="D2079" s="1" t="s">
        <v>7538</v>
      </c>
      <c r="E2079" s="1" t="str">
        <f>"7520"</f>
        <v>7520</v>
      </c>
      <c r="F2079" s="1" t="str">
        <f>"015068502"</f>
        <v>015068502</v>
      </c>
      <c r="G2079" s="1" t="s">
        <v>7529</v>
      </c>
      <c r="H2079" s="1" t="s">
        <v>661</v>
      </c>
      <c r="I2079" s="1" t="str">
        <f>"2"</f>
        <v>2</v>
      </c>
      <c r="J2079" s="3">
        <v>23.99</v>
      </c>
      <c r="K2079" s="4">
        <v>46047</v>
      </c>
      <c r="L2079" s="4">
        <v>46050</v>
      </c>
      <c r="M2079" s="1" t="s">
        <v>7537</v>
      </c>
      <c r="N2079" s="1" t="s">
        <v>4443</v>
      </c>
    </row>
    <row r="2080" spans="1:14" s="1" customFormat="1" x14ac:dyDescent="0.35">
      <c r="A2080" s="1" t="s">
        <v>4492</v>
      </c>
      <c r="B2080" s="1" t="s">
        <v>4381</v>
      </c>
      <c r="C2080" s="1" t="s">
        <v>4414</v>
      </c>
      <c r="D2080" s="1" t="s">
        <v>7536</v>
      </c>
      <c r="E2080" s="1" t="str">
        <f>"7520"</f>
        <v>7520</v>
      </c>
      <c r="F2080" s="1" t="str">
        <f>"014612660"</f>
        <v>014612660</v>
      </c>
      <c r="G2080" s="1" t="s">
        <v>7529</v>
      </c>
      <c r="H2080" s="1" t="s">
        <v>661</v>
      </c>
      <c r="I2080" s="1" t="str">
        <f>"2"</f>
        <v>2</v>
      </c>
      <c r="J2080" s="3">
        <v>26.61</v>
      </c>
      <c r="K2080" s="4">
        <v>46047</v>
      </c>
      <c r="L2080" s="4">
        <v>46050</v>
      </c>
      <c r="M2080" s="1" t="s">
        <v>7535</v>
      </c>
      <c r="N2080" s="1" t="s">
        <v>4443</v>
      </c>
    </row>
    <row r="2081" spans="1:14" s="1" customFormat="1" x14ac:dyDescent="0.35">
      <c r="A2081" s="1" t="s">
        <v>4492</v>
      </c>
      <c r="B2081" s="1" t="s">
        <v>4381</v>
      </c>
      <c r="C2081" s="1" t="s">
        <v>4414</v>
      </c>
      <c r="D2081" s="1" t="s">
        <v>7534</v>
      </c>
      <c r="E2081" s="1" t="str">
        <f>"7520"</f>
        <v>7520</v>
      </c>
      <c r="F2081" s="1" t="str">
        <f>"014536287"</f>
        <v>014536287</v>
      </c>
      <c r="G2081" s="1" t="s">
        <v>7529</v>
      </c>
      <c r="H2081" s="1" t="s">
        <v>661</v>
      </c>
      <c r="I2081" s="1" t="str">
        <f>"2"</f>
        <v>2</v>
      </c>
      <c r="J2081" s="3">
        <v>13.3</v>
      </c>
      <c r="K2081" s="4">
        <v>46047</v>
      </c>
      <c r="L2081" s="4">
        <v>46050</v>
      </c>
      <c r="M2081" s="1" t="s">
        <v>7533</v>
      </c>
      <c r="N2081" s="1" t="s">
        <v>4443</v>
      </c>
    </row>
    <row r="2082" spans="1:14" s="1" customFormat="1" x14ac:dyDescent="0.35">
      <c r="A2082" s="1" t="s">
        <v>4492</v>
      </c>
      <c r="B2082" s="1" t="s">
        <v>4381</v>
      </c>
      <c r="C2082" s="1" t="s">
        <v>4414</v>
      </c>
      <c r="D2082" s="1" t="s">
        <v>7532</v>
      </c>
      <c r="E2082" s="1" t="str">
        <f>"7520"</f>
        <v>7520</v>
      </c>
      <c r="F2082" s="1" t="str">
        <f>"015538141"</f>
        <v>015538141</v>
      </c>
      <c r="G2082" s="1" t="s">
        <v>4440</v>
      </c>
      <c r="H2082" s="1" t="s">
        <v>257</v>
      </c>
      <c r="I2082" s="1" t="str">
        <f>"4"</f>
        <v>4</v>
      </c>
      <c r="J2082" s="3">
        <v>9.69</v>
      </c>
      <c r="K2082" s="4">
        <v>46047</v>
      </c>
      <c r="L2082" s="4">
        <v>46055</v>
      </c>
      <c r="M2082" s="1" t="s">
        <v>7531</v>
      </c>
      <c r="N2082" s="1" t="s">
        <v>4443</v>
      </c>
    </row>
    <row r="2083" spans="1:14" s="1" customFormat="1" x14ac:dyDescent="0.35">
      <c r="A2083" s="1" t="s">
        <v>4492</v>
      </c>
      <c r="B2083" s="1" t="s">
        <v>4381</v>
      </c>
      <c r="C2083" s="1" t="s">
        <v>4414</v>
      </c>
      <c r="D2083" s="1" t="s">
        <v>7530</v>
      </c>
      <c r="E2083" s="1" t="str">
        <f>"7520"</f>
        <v>7520</v>
      </c>
      <c r="F2083" s="1" t="str">
        <f>"016473133"</f>
        <v>016473133</v>
      </c>
      <c r="G2083" s="1" t="s">
        <v>7529</v>
      </c>
      <c r="H2083" s="1" t="s">
        <v>661</v>
      </c>
      <c r="I2083" s="1" t="str">
        <f>"1"</f>
        <v>1</v>
      </c>
      <c r="J2083" s="3">
        <v>15.7</v>
      </c>
      <c r="K2083" s="4">
        <v>46047</v>
      </c>
      <c r="L2083" s="4">
        <v>46050</v>
      </c>
      <c r="M2083" s="1" t="s">
        <v>7528</v>
      </c>
      <c r="N2083" s="1" t="s">
        <v>4443</v>
      </c>
    </row>
    <row r="2084" spans="1:14" s="1" customFormat="1" x14ac:dyDescent="0.35">
      <c r="A2084" s="1" t="s">
        <v>4492</v>
      </c>
      <c r="B2084" s="1" t="s">
        <v>4381</v>
      </c>
      <c r="C2084" s="1" t="s">
        <v>4414</v>
      </c>
      <c r="D2084" s="1" t="s">
        <v>7527</v>
      </c>
      <c r="E2084" s="1" t="str">
        <f>"7520"</f>
        <v>7520</v>
      </c>
      <c r="F2084" s="1" t="str">
        <f>"015548211"</f>
        <v>015548211</v>
      </c>
      <c r="G2084" s="1" t="s">
        <v>4440</v>
      </c>
      <c r="H2084" s="1" t="s">
        <v>257</v>
      </c>
      <c r="I2084" s="1" t="str">
        <f>"2"</f>
        <v>2</v>
      </c>
      <c r="J2084" s="3">
        <v>7.98</v>
      </c>
      <c r="K2084" s="4">
        <v>46047</v>
      </c>
      <c r="L2084" s="4">
        <v>46060</v>
      </c>
      <c r="M2084" s="1" t="s">
        <v>7526</v>
      </c>
      <c r="N2084" s="1" t="s">
        <v>4443</v>
      </c>
    </row>
    <row r="2085" spans="1:14" s="1" customFormat="1" x14ac:dyDescent="0.35">
      <c r="A2085" s="1" t="s">
        <v>4492</v>
      </c>
      <c r="B2085" s="1" t="s">
        <v>4381</v>
      </c>
      <c r="C2085" s="1" t="s">
        <v>4414</v>
      </c>
      <c r="D2085" s="1" t="s">
        <v>7525</v>
      </c>
      <c r="E2085" s="1" t="str">
        <f>"7510"</f>
        <v>7510</v>
      </c>
      <c r="F2085" s="1" t="str">
        <f>"000745124"</f>
        <v>000745124</v>
      </c>
      <c r="G2085" s="1" t="s">
        <v>7524</v>
      </c>
      <c r="H2085" s="1" t="s">
        <v>62</v>
      </c>
      <c r="I2085" s="1" t="str">
        <f>"5"</f>
        <v>5</v>
      </c>
      <c r="J2085" s="3">
        <v>24.06</v>
      </c>
      <c r="K2085" s="4">
        <v>46078</v>
      </c>
      <c r="L2085" s="4">
        <v>46078</v>
      </c>
      <c r="M2085" s="1" t="s">
        <v>4524</v>
      </c>
      <c r="N2085" s="1" t="s">
        <v>7523</v>
      </c>
    </row>
    <row r="2086" spans="1:14" s="1" customFormat="1" x14ac:dyDescent="0.35">
      <c r="A2086" s="1" t="s">
        <v>4492</v>
      </c>
      <c r="B2086" s="1" t="s">
        <v>4381</v>
      </c>
      <c r="C2086" s="1" t="s">
        <v>4414</v>
      </c>
      <c r="D2086" s="1" t="s">
        <v>7522</v>
      </c>
      <c r="E2086" s="1" t="str">
        <f>"7520"</f>
        <v>7520</v>
      </c>
      <c r="F2086" s="1" t="str">
        <f>"014679433"</f>
        <v>014679433</v>
      </c>
      <c r="G2086" s="1" t="s">
        <v>7521</v>
      </c>
      <c r="H2086" s="1" t="s">
        <v>15</v>
      </c>
      <c r="I2086" s="1" t="str">
        <f>"6"</f>
        <v>6</v>
      </c>
      <c r="J2086" s="3">
        <v>14.09</v>
      </c>
      <c r="K2086" s="4">
        <v>46078</v>
      </c>
      <c r="L2086" s="4">
        <v>46087</v>
      </c>
      <c r="M2086" s="1" t="s">
        <v>7520</v>
      </c>
      <c r="N2086" s="1" t="s">
        <v>7519</v>
      </c>
    </row>
    <row r="2087" spans="1:14" s="1" customFormat="1" x14ac:dyDescent="0.35">
      <c r="A2087" s="1" t="s">
        <v>4492</v>
      </c>
      <c r="B2087" s="1" t="s">
        <v>1791</v>
      </c>
      <c r="C2087" s="1" t="s">
        <v>7512</v>
      </c>
      <c r="D2087" s="1" t="s">
        <v>7518</v>
      </c>
      <c r="E2087" s="1" t="str">
        <f>"2320"</f>
        <v>2320</v>
      </c>
      <c r="F2087" s="1" t="str">
        <f>"014370458"</f>
        <v>014370458</v>
      </c>
      <c r="G2087" s="1" t="s">
        <v>1306</v>
      </c>
      <c r="H2087" s="1" t="s">
        <v>15</v>
      </c>
      <c r="I2087" s="1" t="str">
        <f>"1"</f>
        <v>1</v>
      </c>
      <c r="J2087" s="3" t="str">
        <f>"20023"</f>
        <v>20023</v>
      </c>
      <c r="K2087" s="4">
        <v>46043</v>
      </c>
      <c r="L2087" s="4">
        <v>46071</v>
      </c>
      <c r="M2087" s="1" t="s">
        <v>7517</v>
      </c>
      <c r="N2087" s="1" t="s">
        <v>7516</v>
      </c>
    </row>
    <row r="2088" spans="1:14" s="1" customFormat="1" x14ac:dyDescent="0.35">
      <c r="A2088" s="1" t="s">
        <v>4492</v>
      </c>
      <c r="B2088" s="1" t="s">
        <v>1791</v>
      </c>
      <c r="C2088" s="1" t="s">
        <v>7512</v>
      </c>
      <c r="D2088" s="1" t="s">
        <v>7515</v>
      </c>
      <c r="E2088" s="1" t="str">
        <f>"2310"</f>
        <v>2310</v>
      </c>
      <c r="F2088" s="1" t="str">
        <f>"014998019"</f>
        <v>014998019</v>
      </c>
      <c r="G2088" s="1" t="s">
        <v>4671</v>
      </c>
      <c r="H2088" s="1" t="s">
        <v>15</v>
      </c>
      <c r="I2088" s="1" t="str">
        <f>"1"</f>
        <v>1</v>
      </c>
      <c r="J2088" s="3" t="str">
        <f>"165000"</f>
        <v>165000</v>
      </c>
      <c r="K2088" s="4">
        <v>46079</v>
      </c>
      <c r="L2088" s="4">
        <v>46095</v>
      </c>
      <c r="M2088" s="1" t="s">
        <v>7514</v>
      </c>
      <c r="N2088" s="1" t="s">
        <v>7513</v>
      </c>
    </row>
    <row r="2089" spans="1:14" s="1" customFormat="1" x14ac:dyDescent="0.35">
      <c r="A2089" s="1" t="s">
        <v>4492</v>
      </c>
      <c r="B2089" s="1" t="s">
        <v>1791</v>
      </c>
      <c r="C2089" s="1" t="s">
        <v>7512</v>
      </c>
      <c r="D2089" s="1" t="s">
        <v>7511</v>
      </c>
      <c r="E2089" s="1" t="str">
        <f>"2360"</f>
        <v>2360</v>
      </c>
      <c r="F2089" s="1" t="str">
        <f>"015349826"</f>
        <v>015349826</v>
      </c>
      <c r="G2089" s="1" t="s">
        <v>1913</v>
      </c>
      <c r="H2089" s="1" t="s">
        <v>15</v>
      </c>
      <c r="I2089" s="1" t="str">
        <f>"1"</f>
        <v>1</v>
      </c>
      <c r="J2089" s="3" t="str">
        <f>"229897"</f>
        <v>229897</v>
      </c>
      <c r="K2089" s="4">
        <v>46049</v>
      </c>
      <c r="L2089" s="4">
        <v>46108</v>
      </c>
      <c r="M2089" s="1" t="s">
        <v>7510</v>
      </c>
      <c r="N2089" s="1" t="s">
        <v>7509</v>
      </c>
    </row>
    <row r="2090" spans="1:14" s="1" customFormat="1" x14ac:dyDescent="0.35">
      <c r="A2090" s="1" t="s">
        <v>4492</v>
      </c>
      <c r="B2090" s="1" t="s">
        <v>1989</v>
      </c>
      <c r="C2090" s="1" t="s">
        <v>7508</v>
      </c>
      <c r="D2090" s="1" t="s">
        <v>7507</v>
      </c>
      <c r="E2090" s="1" t="str">
        <f>"2340"</f>
        <v>2340</v>
      </c>
      <c r="F2090" s="1" t="s">
        <v>1071</v>
      </c>
      <c r="G2090" s="1" t="s">
        <v>1072</v>
      </c>
      <c r="H2090" s="1" t="s">
        <v>15</v>
      </c>
      <c r="I2090" s="1" t="str">
        <f>"1"</f>
        <v>1</v>
      </c>
      <c r="J2090" s="3" t="str">
        <f>"5000"</f>
        <v>5000</v>
      </c>
      <c r="K2090" s="4">
        <v>46097</v>
      </c>
      <c r="L2090" s="4">
        <v>46100</v>
      </c>
      <c r="M2090" s="1" t="s">
        <v>7506</v>
      </c>
      <c r="N2090" s="1" t="s">
        <v>7505</v>
      </c>
    </row>
    <row r="2091" spans="1:14" s="1" customFormat="1" x14ac:dyDescent="0.35">
      <c r="A2091" s="1" t="s">
        <v>4492</v>
      </c>
      <c r="B2091" s="1" t="s">
        <v>2368</v>
      </c>
      <c r="C2091" s="1" t="s">
        <v>2520</v>
      </c>
      <c r="D2091" s="1" t="s">
        <v>7504</v>
      </c>
      <c r="E2091" s="1" t="str">
        <f>"3920"</f>
        <v>3920</v>
      </c>
      <c r="F2091" s="1" t="str">
        <f>"016302360"</f>
        <v>016302360</v>
      </c>
      <c r="G2091" s="1" t="s">
        <v>1315</v>
      </c>
      <c r="H2091" s="1" t="s">
        <v>15</v>
      </c>
      <c r="I2091" s="1" t="str">
        <f>"1"</f>
        <v>1</v>
      </c>
      <c r="J2091" s="3">
        <v>1084.94</v>
      </c>
      <c r="K2091" s="4">
        <v>46002</v>
      </c>
      <c r="L2091" s="4">
        <v>46027</v>
      </c>
      <c r="M2091" s="1" t="s">
        <v>7503</v>
      </c>
      <c r="N2091" s="1" t="s">
        <v>7502</v>
      </c>
    </row>
    <row r="2092" spans="1:14" s="1" customFormat="1" x14ac:dyDescent="0.35">
      <c r="A2092" s="1" t="s">
        <v>4492</v>
      </c>
      <c r="B2092" s="1" t="s">
        <v>1013</v>
      </c>
      <c r="C2092" s="1" t="s">
        <v>7501</v>
      </c>
      <c r="D2092" s="1" t="s">
        <v>7500</v>
      </c>
      <c r="E2092" s="1" t="str">
        <f>"2320"</f>
        <v>2320</v>
      </c>
      <c r="F2092" s="1" t="str">
        <f>"009260949"</f>
        <v>009260949</v>
      </c>
      <c r="G2092" s="1" t="s">
        <v>930</v>
      </c>
      <c r="H2092" s="1" t="s">
        <v>15</v>
      </c>
      <c r="I2092" s="1" t="str">
        <f>"1"</f>
        <v>1</v>
      </c>
      <c r="J2092" s="3" t="str">
        <f>"10260"</f>
        <v>10260</v>
      </c>
      <c r="K2092" s="4">
        <v>46080</v>
      </c>
      <c r="L2092" s="4">
        <v>46082</v>
      </c>
      <c r="M2092" s="1" t="s">
        <v>4524</v>
      </c>
      <c r="N2092" s="1" t="s">
        <v>7499</v>
      </c>
    </row>
    <row r="2093" spans="1:14" s="1" customFormat="1" x14ac:dyDescent="0.35">
      <c r="A2093" s="1" t="s">
        <v>4492</v>
      </c>
      <c r="B2093" s="1" t="s">
        <v>73</v>
      </c>
      <c r="C2093" s="1" t="s">
        <v>207</v>
      </c>
      <c r="D2093" s="1" t="s">
        <v>7498</v>
      </c>
      <c r="E2093" s="1" t="str">
        <f>"5965"</f>
        <v>5965</v>
      </c>
      <c r="F2093" s="1" t="s">
        <v>7497</v>
      </c>
      <c r="G2093" s="1" t="s">
        <v>7496</v>
      </c>
      <c r="H2093" s="1" t="s">
        <v>15</v>
      </c>
      <c r="I2093" s="1" t="str">
        <f>"10"</f>
        <v>10</v>
      </c>
      <c r="J2093" s="3">
        <v>733.58</v>
      </c>
      <c r="K2093" s="4">
        <v>46042</v>
      </c>
      <c r="L2093" s="4">
        <v>46043</v>
      </c>
      <c r="M2093" s="1" t="s">
        <v>4524</v>
      </c>
      <c r="N2093" s="1" t="s">
        <v>7495</v>
      </c>
    </row>
    <row r="2094" spans="1:14" s="1" customFormat="1" x14ac:dyDescent="0.35">
      <c r="A2094" s="1" t="s">
        <v>4492</v>
      </c>
      <c r="B2094" s="1" t="s">
        <v>73</v>
      </c>
      <c r="C2094" s="1" t="s">
        <v>207</v>
      </c>
      <c r="D2094" s="1" t="s">
        <v>7494</v>
      </c>
      <c r="E2094" s="1" t="str">
        <f>"5855"</f>
        <v>5855</v>
      </c>
      <c r="F2094" s="1" t="str">
        <f>"015847217"</f>
        <v>015847217</v>
      </c>
      <c r="G2094" s="1" t="s">
        <v>614</v>
      </c>
      <c r="H2094" s="1" t="s">
        <v>15</v>
      </c>
      <c r="I2094" s="1" t="str">
        <f>"1"</f>
        <v>1</v>
      </c>
      <c r="J2094" s="3" t="str">
        <f>"34084"</f>
        <v>34084</v>
      </c>
      <c r="K2094" s="4">
        <v>46075</v>
      </c>
      <c r="L2094" s="4">
        <v>46077</v>
      </c>
      <c r="M2094" s="1" t="s">
        <v>4524</v>
      </c>
      <c r="N2094" s="1" t="s">
        <v>7493</v>
      </c>
    </row>
    <row r="2095" spans="1:14" s="1" customFormat="1" x14ac:dyDescent="0.35">
      <c r="A2095" s="1" t="s">
        <v>4492</v>
      </c>
      <c r="B2095" s="1" t="s">
        <v>73</v>
      </c>
      <c r="C2095" s="1" t="s">
        <v>207</v>
      </c>
      <c r="D2095" s="1" t="s">
        <v>7492</v>
      </c>
      <c r="E2095" s="1" t="str">
        <f>"1240"</f>
        <v>1240</v>
      </c>
      <c r="F2095" s="1" t="str">
        <f>"014111265"</f>
        <v>014111265</v>
      </c>
      <c r="G2095" s="1" t="s">
        <v>71</v>
      </c>
      <c r="H2095" s="1" t="s">
        <v>15</v>
      </c>
      <c r="I2095" s="1" t="str">
        <f>"4"</f>
        <v>4</v>
      </c>
      <c r="J2095" s="3" t="str">
        <f>"339"</f>
        <v>339</v>
      </c>
      <c r="K2095" s="4">
        <v>46056</v>
      </c>
      <c r="L2095" s="4">
        <v>46059</v>
      </c>
      <c r="M2095" s="1" t="s">
        <v>7491</v>
      </c>
      <c r="N2095" s="1" t="s">
        <v>7490</v>
      </c>
    </row>
    <row r="2096" spans="1:14" s="1" customFormat="1" x14ac:dyDescent="0.35">
      <c r="A2096" s="1" t="s">
        <v>4492</v>
      </c>
      <c r="B2096" s="1" t="s">
        <v>1303</v>
      </c>
      <c r="C2096" s="1" t="s">
        <v>1402</v>
      </c>
      <c r="D2096" s="1" t="s">
        <v>7489</v>
      </c>
      <c r="E2096" s="1" t="str">
        <f>"6545"</f>
        <v>6545</v>
      </c>
      <c r="F2096" s="1" t="str">
        <f>"015300929"</f>
        <v>015300929</v>
      </c>
      <c r="G2096" s="1" t="s">
        <v>167</v>
      </c>
      <c r="H2096" s="1" t="s">
        <v>168</v>
      </c>
      <c r="I2096" s="1" t="str">
        <f>"19"</f>
        <v>19</v>
      </c>
      <c r="J2096" s="3">
        <v>48.71</v>
      </c>
      <c r="K2096" s="4">
        <v>46013</v>
      </c>
      <c r="L2096" s="4">
        <v>46044</v>
      </c>
      <c r="M2096" s="1" t="s">
        <v>7488</v>
      </c>
      <c r="N2096" s="1" t="s">
        <v>7487</v>
      </c>
    </row>
    <row r="2097" spans="1:14" s="1" customFormat="1" x14ac:dyDescent="0.35">
      <c r="A2097" s="1" t="s">
        <v>4492</v>
      </c>
      <c r="B2097" s="1" t="s">
        <v>1303</v>
      </c>
      <c r="C2097" s="1" t="s">
        <v>1402</v>
      </c>
      <c r="D2097" s="1" t="s">
        <v>7486</v>
      </c>
      <c r="E2097" s="1" t="str">
        <f>"6545"</f>
        <v>6545</v>
      </c>
      <c r="F2097" s="1" t="str">
        <f>"015300929"</f>
        <v>015300929</v>
      </c>
      <c r="G2097" s="1" t="s">
        <v>167</v>
      </c>
      <c r="H2097" s="1" t="s">
        <v>168</v>
      </c>
      <c r="I2097" s="1" t="str">
        <f>"4"</f>
        <v>4</v>
      </c>
      <c r="J2097" s="3">
        <v>48.71</v>
      </c>
      <c r="K2097" s="4">
        <v>46028</v>
      </c>
      <c r="L2097" s="4">
        <v>46050</v>
      </c>
      <c r="M2097" s="1" t="s">
        <v>7485</v>
      </c>
      <c r="N2097" s="1" t="s">
        <v>7484</v>
      </c>
    </row>
    <row r="2098" spans="1:14" s="1" customFormat="1" x14ac:dyDescent="0.35">
      <c r="A2098" s="1" t="s">
        <v>4492</v>
      </c>
      <c r="B2098" s="1" t="s">
        <v>2368</v>
      </c>
      <c r="C2098" s="1" t="s">
        <v>2533</v>
      </c>
      <c r="D2098" s="1" t="s">
        <v>7483</v>
      </c>
      <c r="E2098" s="1" t="str">
        <f>"2320"</f>
        <v>2320</v>
      </c>
      <c r="F2098" s="1" t="s">
        <v>1016</v>
      </c>
      <c r="G2098" s="1" t="s">
        <v>1017</v>
      </c>
      <c r="H2098" s="1" t="s">
        <v>15</v>
      </c>
      <c r="I2098" s="1" t="str">
        <f>"1"</f>
        <v>1</v>
      </c>
      <c r="J2098" s="3">
        <v>25765.1</v>
      </c>
      <c r="K2098" s="4">
        <v>46026</v>
      </c>
      <c r="L2098" s="4">
        <v>46027</v>
      </c>
      <c r="M2098" s="1" t="s">
        <v>7482</v>
      </c>
      <c r="N2098" s="1" t="s">
        <v>7481</v>
      </c>
    </row>
    <row r="2099" spans="1:14" s="1" customFormat="1" x14ac:dyDescent="0.35">
      <c r="A2099" s="1" t="s">
        <v>4492</v>
      </c>
      <c r="B2099" s="1" t="s">
        <v>2368</v>
      </c>
      <c r="C2099" s="1" t="s">
        <v>2533</v>
      </c>
      <c r="D2099" s="1" t="s">
        <v>7483</v>
      </c>
      <c r="E2099" s="1" t="str">
        <f>"2320"</f>
        <v>2320</v>
      </c>
      <c r="F2099" s="1" t="s">
        <v>1016</v>
      </c>
      <c r="G2099" s="1" t="s">
        <v>1017</v>
      </c>
      <c r="H2099" s="1" t="s">
        <v>15</v>
      </c>
      <c r="I2099" s="1" t="str">
        <f>"1"</f>
        <v>1</v>
      </c>
      <c r="J2099" s="3">
        <v>25765.1</v>
      </c>
      <c r="K2099" s="4">
        <v>46026</v>
      </c>
      <c r="L2099" s="4">
        <v>46027</v>
      </c>
      <c r="M2099" s="1" t="s">
        <v>7482</v>
      </c>
      <c r="N2099" s="1" t="s">
        <v>7481</v>
      </c>
    </row>
    <row r="2100" spans="1:14" s="1" customFormat="1" x14ac:dyDescent="0.35">
      <c r="A2100" s="1" t="s">
        <v>4492</v>
      </c>
      <c r="B2100" s="1" t="s">
        <v>2368</v>
      </c>
      <c r="C2100" s="1" t="s">
        <v>2533</v>
      </c>
      <c r="D2100" s="1" t="s">
        <v>7480</v>
      </c>
      <c r="E2100" s="1" t="str">
        <f>"4110"</f>
        <v>4110</v>
      </c>
      <c r="F2100" s="1" t="str">
        <f>"016296841"</f>
        <v>016296841</v>
      </c>
      <c r="G2100" s="1" t="s">
        <v>4099</v>
      </c>
      <c r="H2100" s="1" t="s">
        <v>15</v>
      </c>
      <c r="I2100" s="1" t="str">
        <f>"1"</f>
        <v>1</v>
      </c>
      <c r="J2100" s="3" t="str">
        <f>"5082"</f>
        <v>5082</v>
      </c>
      <c r="K2100" s="4">
        <v>46046</v>
      </c>
      <c r="L2100" s="4">
        <v>46050</v>
      </c>
      <c r="M2100" s="1" t="s">
        <v>7479</v>
      </c>
      <c r="N2100" s="1" t="s">
        <v>7478</v>
      </c>
    </row>
    <row r="2101" spans="1:14" s="1" customFormat="1" x14ac:dyDescent="0.35">
      <c r="A2101" s="1" t="s">
        <v>4492</v>
      </c>
      <c r="B2101" s="1" t="s">
        <v>2368</v>
      </c>
      <c r="C2101" s="1" t="s">
        <v>2533</v>
      </c>
      <c r="D2101" s="1" t="s">
        <v>7477</v>
      </c>
      <c r="E2101" s="1" t="str">
        <f>"2320"</f>
        <v>2320</v>
      </c>
      <c r="F2101" s="1" t="s">
        <v>100</v>
      </c>
      <c r="G2101" s="1" t="s">
        <v>101</v>
      </c>
      <c r="H2101" s="1" t="s">
        <v>15</v>
      </c>
      <c r="I2101" s="1" t="str">
        <f>"1"</f>
        <v>1</v>
      </c>
      <c r="J2101" s="3" t="str">
        <f>"33000"</f>
        <v>33000</v>
      </c>
      <c r="K2101" s="4">
        <v>46082</v>
      </c>
      <c r="L2101" s="4">
        <v>46095</v>
      </c>
      <c r="M2101" s="1" t="s">
        <v>7476</v>
      </c>
      <c r="N2101" s="1" t="s">
        <v>7475</v>
      </c>
    </row>
    <row r="2102" spans="1:14" s="1" customFormat="1" x14ac:dyDescent="0.35">
      <c r="A2102" s="1" t="s">
        <v>4492</v>
      </c>
      <c r="B2102" s="1" t="s">
        <v>2368</v>
      </c>
      <c r="C2102" s="1" t="s">
        <v>2533</v>
      </c>
      <c r="D2102" s="1" t="s">
        <v>7474</v>
      </c>
      <c r="E2102" s="1" t="str">
        <f>"3805"</f>
        <v>3805</v>
      </c>
      <c r="F2102" s="1" t="s">
        <v>1020</v>
      </c>
      <c r="G2102" s="1" t="s">
        <v>1021</v>
      </c>
      <c r="H2102" s="1" t="s">
        <v>15</v>
      </c>
      <c r="I2102" s="1" t="str">
        <f>"1"</f>
        <v>1</v>
      </c>
      <c r="J2102" s="3" t="str">
        <f>"20000"</f>
        <v>20000</v>
      </c>
      <c r="K2102" s="4">
        <v>46085</v>
      </c>
      <c r="L2102" s="4">
        <v>46088</v>
      </c>
      <c r="M2102" s="1" t="s">
        <v>7473</v>
      </c>
      <c r="N2102" s="1" t="s">
        <v>7472</v>
      </c>
    </row>
    <row r="2103" spans="1:14" s="1" customFormat="1" x14ac:dyDescent="0.35">
      <c r="A2103" s="1" t="s">
        <v>4492</v>
      </c>
      <c r="B2103" s="1" t="s">
        <v>1013</v>
      </c>
      <c r="C2103" s="1" t="s">
        <v>7470</v>
      </c>
      <c r="D2103" s="1" t="s">
        <v>7471</v>
      </c>
      <c r="E2103" s="1" t="str">
        <f>"2320"</f>
        <v>2320</v>
      </c>
      <c r="F2103" s="1" t="str">
        <f>"015303843"</f>
        <v>015303843</v>
      </c>
      <c r="G2103" s="1" t="s">
        <v>930</v>
      </c>
      <c r="H2103" s="1" t="s">
        <v>15</v>
      </c>
      <c r="I2103" s="1" t="str">
        <f>"1"</f>
        <v>1</v>
      </c>
      <c r="J2103" s="3" t="str">
        <f>"218378"</f>
        <v>218378</v>
      </c>
      <c r="K2103" s="4">
        <v>46093</v>
      </c>
      <c r="L2103" s="4">
        <v>46095</v>
      </c>
      <c r="M2103" s="1" t="s">
        <v>4524</v>
      </c>
      <c r="N2103" s="1" t="s">
        <v>7468</v>
      </c>
    </row>
    <row r="2104" spans="1:14" s="1" customFormat="1" x14ac:dyDescent="0.35">
      <c r="A2104" s="1" t="s">
        <v>4492</v>
      </c>
      <c r="B2104" s="1" t="s">
        <v>1013</v>
      </c>
      <c r="C2104" s="1" t="s">
        <v>7470</v>
      </c>
      <c r="D2104" s="1" t="s">
        <v>7469</v>
      </c>
      <c r="E2104" s="1" t="str">
        <f>"2320"</f>
        <v>2320</v>
      </c>
      <c r="F2104" s="1" t="str">
        <f>"015449638"</f>
        <v>015449638</v>
      </c>
      <c r="G2104" s="1" t="s">
        <v>1860</v>
      </c>
      <c r="H2104" s="1" t="s">
        <v>15</v>
      </c>
      <c r="I2104" s="1" t="str">
        <f>"1"</f>
        <v>1</v>
      </c>
      <c r="J2104" s="3" t="str">
        <f>"245544"</f>
        <v>245544</v>
      </c>
      <c r="K2104" s="4">
        <v>46093</v>
      </c>
      <c r="L2104" s="4">
        <v>46102</v>
      </c>
      <c r="M2104" s="1" t="s">
        <v>4524</v>
      </c>
      <c r="N2104" s="1" t="s">
        <v>7468</v>
      </c>
    </row>
    <row r="2105" spans="1:14" s="1" customFormat="1" x14ac:dyDescent="0.35">
      <c r="A2105" s="1" t="s">
        <v>4492</v>
      </c>
      <c r="B2105" s="1" t="s">
        <v>1791</v>
      </c>
      <c r="C2105" s="1" t="s">
        <v>7464</v>
      </c>
      <c r="D2105" s="1" t="s">
        <v>7467</v>
      </c>
      <c r="E2105" s="1" t="str">
        <f>"2340"</f>
        <v>2340</v>
      </c>
      <c r="F2105" s="1" t="s">
        <v>1071</v>
      </c>
      <c r="G2105" s="1" t="s">
        <v>1072</v>
      </c>
      <c r="H2105" s="1" t="s">
        <v>15</v>
      </c>
      <c r="I2105" s="1" t="str">
        <f>"1"</f>
        <v>1</v>
      </c>
      <c r="J2105" s="3">
        <v>11964.82</v>
      </c>
      <c r="K2105" s="4">
        <v>46046</v>
      </c>
      <c r="L2105" s="4">
        <v>46049</v>
      </c>
      <c r="M2105" s="1" t="s">
        <v>7466</v>
      </c>
      <c r="N2105" s="1" t="s">
        <v>7465</v>
      </c>
    </row>
    <row r="2106" spans="1:14" s="1" customFormat="1" x14ac:dyDescent="0.35">
      <c r="A2106" s="1" t="s">
        <v>4492</v>
      </c>
      <c r="B2106" s="1" t="s">
        <v>1791</v>
      </c>
      <c r="C2106" s="1" t="s">
        <v>7464</v>
      </c>
      <c r="D2106" s="1" t="s">
        <v>7463</v>
      </c>
      <c r="E2106" s="1" t="str">
        <f>"6350"</f>
        <v>6350</v>
      </c>
      <c r="F2106" s="1" t="str">
        <f>"014977108"</f>
        <v>014977108</v>
      </c>
      <c r="G2106" s="1" t="s">
        <v>7462</v>
      </c>
      <c r="H2106" s="1" t="s">
        <v>15</v>
      </c>
      <c r="I2106" s="1" t="str">
        <f>"1"</f>
        <v>1</v>
      </c>
      <c r="J2106" s="3">
        <v>9999.9500000000007</v>
      </c>
      <c r="K2106" s="4">
        <v>46046</v>
      </c>
      <c r="L2106" s="4">
        <v>46092</v>
      </c>
      <c r="M2106" s="1" t="s">
        <v>7461</v>
      </c>
      <c r="N2106" s="1" t="s">
        <v>7460</v>
      </c>
    </row>
    <row r="2107" spans="1:14" s="1" customFormat="1" x14ac:dyDescent="0.35">
      <c r="A2107" s="1" t="s">
        <v>4492</v>
      </c>
      <c r="B2107" s="1" t="s">
        <v>1013</v>
      </c>
      <c r="C2107" s="1" t="s">
        <v>7456</v>
      </c>
      <c r="D2107" s="1" t="s">
        <v>7459</v>
      </c>
      <c r="E2107" s="1" t="str">
        <f>"2330"</f>
        <v>2330</v>
      </c>
      <c r="F2107" s="1" t="s">
        <v>104</v>
      </c>
      <c r="G2107" s="1" t="s">
        <v>105</v>
      </c>
      <c r="H2107" s="1" t="s">
        <v>15</v>
      </c>
      <c r="I2107" s="1" t="str">
        <f>"1"</f>
        <v>1</v>
      </c>
      <c r="J2107" s="3" t="str">
        <f>"250"</f>
        <v>250</v>
      </c>
      <c r="K2107" s="4">
        <v>46086</v>
      </c>
      <c r="L2107" s="4">
        <v>46095</v>
      </c>
      <c r="M2107" s="1" t="s">
        <v>7458</v>
      </c>
      <c r="N2107" s="1" t="s">
        <v>7457</v>
      </c>
    </row>
    <row r="2108" spans="1:14" s="1" customFormat="1" x14ac:dyDescent="0.35">
      <c r="A2108" s="1" t="s">
        <v>4492</v>
      </c>
      <c r="B2108" s="1" t="s">
        <v>1013</v>
      </c>
      <c r="C2108" s="1" t="s">
        <v>7456</v>
      </c>
      <c r="D2108" s="1" t="s">
        <v>7455</v>
      </c>
      <c r="E2108" s="1" t="str">
        <f>"2320"</f>
        <v>2320</v>
      </c>
      <c r="F2108" s="1" t="str">
        <f>"013469317"</f>
        <v>013469317</v>
      </c>
      <c r="G2108" s="1" t="s">
        <v>1860</v>
      </c>
      <c r="H2108" s="1" t="s">
        <v>15</v>
      </c>
      <c r="I2108" s="1" t="str">
        <f>"1"</f>
        <v>1</v>
      </c>
      <c r="J2108" s="3" t="str">
        <f>"94171"</f>
        <v>94171</v>
      </c>
      <c r="K2108" s="4">
        <v>46099</v>
      </c>
      <c r="L2108" s="4">
        <v>46101</v>
      </c>
      <c r="M2108" s="1" t="s">
        <v>4524</v>
      </c>
      <c r="N2108" s="1" t="s">
        <v>7454</v>
      </c>
    </row>
    <row r="2109" spans="1:14" s="1" customFormat="1" x14ac:dyDescent="0.35">
      <c r="A2109" s="1" t="s">
        <v>4492</v>
      </c>
      <c r="B2109" s="1" t="s">
        <v>1791</v>
      </c>
      <c r="C2109" s="1" t="s">
        <v>7451</v>
      </c>
      <c r="D2109" s="1" t="s">
        <v>7453</v>
      </c>
      <c r="E2109" s="1" t="str">
        <f>"2310"</f>
        <v>2310</v>
      </c>
      <c r="F2109" s="1" t="str">
        <f>"016544105"</f>
        <v>016544105</v>
      </c>
      <c r="G2109" s="1" t="s">
        <v>232</v>
      </c>
      <c r="H2109" s="1" t="s">
        <v>15</v>
      </c>
      <c r="I2109" s="1" t="str">
        <f>"1"</f>
        <v>1</v>
      </c>
      <c r="J2109" s="3">
        <v>31905.14</v>
      </c>
      <c r="K2109" s="4">
        <v>46083</v>
      </c>
      <c r="L2109" s="4">
        <v>46087</v>
      </c>
      <c r="M2109" s="1" t="s">
        <v>7452</v>
      </c>
      <c r="N2109" s="1" t="s">
        <v>7448</v>
      </c>
    </row>
    <row r="2110" spans="1:14" s="1" customFormat="1" x14ac:dyDescent="0.35">
      <c r="A2110" s="1" t="s">
        <v>4492</v>
      </c>
      <c r="B2110" s="1" t="s">
        <v>1791</v>
      </c>
      <c r="C2110" s="1" t="s">
        <v>7451</v>
      </c>
      <c r="D2110" s="1" t="s">
        <v>7450</v>
      </c>
      <c r="E2110" s="1" t="str">
        <f>"2310"</f>
        <v>2310</v>
      </c>
      <c r="F2110" s="1" t="str">
        <f>"016544105"</f>
        <v>016544105</v>
      </c>
      <c r="G2110" s="1" t="s">
        <v>232</v>
      </c>
      <c r="H2110" s="1" t="s">
        <v>15</v>
      </c>
      <c r="I2110" s="1" t="str">
        <f>"1"</f>
        <v>1</v>
      </c>
      <c r="J2110" s="3">
        <v>31905.14</v>
      </c>
      <c r="K2110" s="4">
        <v>46083</v>
      </c>
      <c r="L2110" s="4">
        <v>46087</v>
      </c>
      <c r="M2110" s="1" t="s">
        <v>7449</v>
      </c>
      <c r="N2110" s="1" t="s">
        <v>7448</v>
      </c>
    </row>
    <row r="2111" spans="1:14" s="1" customFormat="1" x14ac:dyDescent="0.35">
      <c r="A2111" s="1" t="s">
        <v>4492</v>
      </c>
      <c r="B2111" s="1" t="s">
        <v>1516</v>
      </c>
      <c r="C2111" s="1" t="s">
        <v>1651</v>
      </c>
      <c r="D2111" s="1" t="s">
        <v>7447</v>
      </c>
      <c r="E2111" s="1" t="str">
        <f>"6515"</f>
        <v>6515</v>
      </c>
      <c r="F2111" s="1" t="s">
        <v>7446</v>
      </c>
      <c r="G2111" s="1" t="s">
        <v>7445</v>
      </c>
      <c r="H2111" s="1" t="s">
        <v>15</v>
      </c>
      <c r="I2111" s="1" t="str">
        <f>"1"</f>
        <v>1</v>
      </c>
      <c r="J2111" s="3" t="str">
        <f>"79500"</f>
        <v>79500</v>
      </c>
      <c r="K2111" s="4">
        <v>45980</v>
      </c>
      <c r="L2111" s="4">
        <v>46097</v>
      </c>
      <c r="M2111" s="1" t="s">
        <v>7444</v>
      </c>
      <c r="N2111" s="1" t="s">
        <v>7443</v>
      </c>
    </row>
    <row r="2112" spans="1:14" s="1" customFormat="1" x14ac:dyDescent="0.35">
      <c r="A2112" s="1" t="s">
        <v>4492</v>
      </c>
      <c r="B2112" s="1" t="s">
        <v>1516</v>
      </c>
      <c r="C2112" s="1" t="s">
        <v>1651</v>
      </c>
      <c r="D2112" s="1" t="s">
        <v>7442</v>
      </c>
      <c r="E2112" s="1" t="str">
        <f>"7310"</f>
        <v>7310</v>
      </c>
      <c r="F2112" s="1" t="s">
        <v>7441</v>
      </c>
      <c r="G2112" s="1" t="s">
        <v>7440</v>
      </c>
      <c r="H2112" s="1" t="s">
        <v>15</v>
      </c>
      <c r="I2112" s="1" t="str">
        <f>"1"</f>
        <v>1</v>
      </c>
      <c r="J2112" s="3">
        <v>4988.7700000000004</v>
      </c>
      <c r="K2112" s="4">
        <v>45984</v>
      </c>
      <c r="L2112" s="4">
        <v>46097</v>
      </c>
      <c r="M2112" s="1" t="s">
        <v>7439</v>
      </c>
      <c r="N2112" s="1" t="s">
        <v>7438</v>
      </c>
    </row>
    <row r="2113" spans="1:14" s="1" customFormat="1" x14ac:dyDescent="0.35">
      <c r="A2113" s="1" t="s">
        <v>4492</v>
      </c>
      <c r="B2113" s="1" t="s">
        <v>1516</v>
      </c>
      <c r="C2113" s="1" t="s">
        <v>1651</v>
      </c>
      <c r="D2113" s="1" t="s">
        <v>7437</v>
      </c>
      <c r="E2113" s="1" t="str">
        <f>"8340"</f>
        <v>8340</v>
      </c>
      <c r="F2113" s="1" t="str">
        <f>"005775838"</f>
        <v>005775838</v>
      </c>
      <c r="G2113" s="1" t="s">
        <v>2958</v>
      </c>
      <c r="H2113" s="1" t="s">
        <v>15</v>
      </c>
      <c r="I2113" s="1" t="str">
        <f>"1"</f>
        <v>1</v>
      </c>
      <c r="J2113" s="3">
        <v>401.08</v>
      </c>
      <c r="K2113" s="4">
        <v>45985</v>
      </c>
      <c r="L2113" s="4">
        <v>46035</v>
      </c>
      <c r="M2113" s="1" t="s">
        <v>7436</v>
      </c>
      <c r="N2113" s="1" t="s">
        <v>7435</v>
      </c>
    </row>
    <row r="2114" spans="1:14" s="1" customFormat="1" x14ac:dyDescent="0.35">
      <c r="A2114" s="1" t="s">
        <v>4492</v>
      </c>
      <c r="B2114" s="1" t="s">
        <v>1516</v>
      </c>
      <c r="C2114" s="1" t="s">
        <v>1651</v>
      </c>
      <c r="D2114" s="1" t="s">
        <v>7434</v>
      </c>
      <c r="E2114" s="1" t="str">
        <f>"8145"</f>
        <v>8145</v>
      </c>
      <c r="F2114" s="1" t="str">
        <f>"014654187"</f>
        <v>014654187</v>
      </c>
      <c r="G2114" s="1" t="s">
        <v>753</v>
      </c>
      <c r="H2114" s="1" t="s">
        <v>15</v>
      </c>
      <c r="I2114" s="1" t="str">
        <f>"2"</f>
        <v>2</v>
      </c>
      <c r="J2114" s="3">
        <v>17477.91</v>
      </c>
      <c r="K2114" s="4">
        <v>45986</v>
      </c>
      <c r="L2114" s="4">
        <v>46031</v>
      </c>
      <c r="M2114" s="1" t="s">
        <v>7433</v>
      </c>
      <c r="N2114" s="1" t="s">
        <v>7432</v>
      </c>
    </row>
    <row r="2115" spans="1:14" s="1" customFormat="1" x14ac:dyDescent="0.35">
      <c r="A2115" s="1" t="s">
        <v>4492</v>
      </c>
      <c r="B2115" s="1" t="s">
        <v>1516</v>
      </c>
      <c r="C2115" s="1" t="s">
        <v>1651</v>
      </c>
      <c r="D2115" s="1" t="s">
        <v>7431</v>
      </c>
      <c r="E2115" s="1" t="str">
        <f>"8145"</f>
        <v>8145</v>
      </c>
      <c r="F2115" s="1" t="str">
        <f>"014654187"</f>
        <v>014654187</v>
      </c>
      <c r="G2115" s="1" t="s">
        <v>753</v>
      </c>
      <c r="H2115" s="1" t="s">
        <v>15</v>
      </c>
      <c r="I2115" s="1" t="str">
        <f>"2"</f>
        <v>2</v>
      </c>
      <c r="J2115" s="3">
        <v>17477.91</v>
      </c>
      <c r="K2115" s="4">
        <v>45986</v>
      </c>
      <c r="L2115" s="4">
        <v>46031</v>
      </c>
      <c r="M2115" s="1" t="s">
        <v>7430</v>
      </c>
      <c r="N2115" s="1" t="s">
        <v>7429</v>
      </c>
    </row>
    <row r="2116" spans="1:14" s="1" customFormat="1" x14ac:dyDescent="0.35">
      <c r="A2116" s="1" t="s">
        <v>4492</v>
      </c>
      <c r="B2116" s="1" t="s">
        <v>1516</v>
      </c>
      <c r="C2116" s="1" t="s">
        <v>1651</v>
      </c>
      <c r="D2116" s="1" t="s">
        <v>7428</v>
      </c>
      <c r="E2116" s="1" t="str">
        <f>"8150"</f>
        <v>8150</v>
      </c>
      <c r="F2116" s="1" t="str">
        <f>"014839125"</f>
        <v>014839125</v>
      </c>
      <c r="G2116" s="1" t="s">
        <v>387</v>
      </c>
      <c r="H2116" s="1" t="s">
        <v>15</v>
      </c>
      <c r="I2116" s="1" t="str">
        <f>"1"</f>
        <v>1</v>
      </c>
      <c r="J2116" s="3">
        <v>7265.03</v>
      </c>
      <c r="K2116" s="4">
        <v>45990</v>
      </c>
      <c r="L2116" s="4">
        <v>46031</v>
      </c>
      <c r="M2116" s="1" t="s">
        <v>7427</v>
      </c>
      <c r="N2116" s="1" t="s">
        <v>7426</v>
      </c>
    </row>
    <row r="2117" spans="1:14" s="1" customFormat="1" x14ac:dyDescent="0.35">
      <c r="A2117" s="1" t="s">
        <v>4492</v>
      </c>
      <c r="B2117" s="1" t="s">
        <v>1516</v>
      </c>
      <c r="C2117" s="1" t="s">
        <v>1651</v>
      </c>
      <c r="D2117" s="1" t="s">
        <v>7425</v>
      </c>
      <c r="E2117" s="1" t="str">
        <f>"8150"</f>
        <v>8150</v>
      </c>
      <c r="F2117" s="1" t="str">
        <f>"014759570"</f>
        <v>014759570</v>
      </c>
      <c r="G2117" s="1" t="s">
        <v>1081</v>
      </c>
      <c r="H2117" s="1" t="s">
        <v>15</v>
      </c>
      <c r="I2117" s="1" t="str">
        <f>"1"</f>
        <v>1</v>
      </c>
      <c r="J2117" s="3" t="str">
        <f>"7922"</f>
        <v>7922</v>
      </c>
      <c r="K2117" s="4">
        <v>45990</v>
      </c>
      <c r="L2117" s="4">
        <v>46031</v>
      </c>
      <c r="M2117" s="1" t="s">
        <v>7424</v>
      </c>
      <c r="N2117" s="1" t="s">
        <v>7423</v>
      </c>
    </row>
    <row r="2118" spans="1:14" s="1" customFormat="1" x14ac:dyDescent="0.35">
      <c r="A2118" s="1" t="s">
        <v>4492</v>
      </c>
      <c r="B2118" s="1" t="s">
        <v>1516</v>
      </c>
      <c r="C2118" s="1" t="s">
        <v>1651</v>
      </c>
      <c r="D2118" s="1" t="s">
        <v>7422</v>
      </c>
      <c r="E2118" s="1" t="str">
        <f>"4940"</f>
        <v>4940</v>
      </c>
      <c r="F2118" s="1" t="str">
        <f>"010259856"</f>
        <v>010259856</v>
      </c>
      <c r="G2118" s="1" t="s">
        <v>6826</v>
      </c>
      <c r="H2118" s="1" t="s">
        <v>15</v>
      </c>
      <c r="I2118" s="1" t="str">
        <f>"1"</f>
        <v>1</v>
      </c>
      <c r="J2118" s="3" t="str">
        <f>"18528"</f>
        <v>18528</v>
      </c>
      <c r="K2118" s="4">
        <v>45999</v>
      </c>
      <c r="L2118" s="4">
        <v>46097</v>
      </c>
      <c r="M2118" s="1" t="s">
        <v>7421</v>
      </c>
      <c r="N2118" s="1" t="s">
        <v>7420</v>
      </c>
    </row>
    <row r="2119" spans="1:14" s="1" customFormat="1" x14ac:dyDescent="0.35">
      <c r="A2119" s="1" t="s">
        <v>4492</v>
      </c>
      <c r="B2119" s="1" t="s">
        <v>1516</v>
      </c>
      <c r="C2119" s="1" t="s">
        <v>1651</v>
      </c>
      <c r="D2119" s="1" t="s">
        <v>7419</v>
      </c>
      <c r="E2119" s="1" t="str">
        <f>"1005"</f>
        <v>1005</v>
      </c>
      <c r="F2119" s="1" t="str">
        <f>"000562237"</f>
        <v>000562237</v>
      </c>
      <c r="G2119" s="1" t="s">
        <v>875</v>
      </c>
      <c r="H2119" s="1" t="s">
        <v>15</v>
      </c>
      <c r="I2119" s="1" t="str">
        <f>"100"</f>
        <v>100</v>
      </c>
      <c r="J2119" s="3">
        <v>16.170000000000002</v>
      </c>
      <c r="K2119" s="4">
        <v>46023</v>
      </c>
      <c r="L2119" s="4">
        <v>46027</v>
      </c>
      <c r="M2119" s="1" t="s">
        <v>7418</v>
      </c>
      <c r="N2119" s="1" t="s">
        <v>7417</v>
      </c>
    </row>
    <row r="2120" spans="1:14" s="1" customFormat="1" x14ac:dyDescent="0.35">
      <c r="A2120" s="1" t="s">
        <v>4492</v>
      </c>
      <c r="B2120" s="1" t="s">
        <v>1516</v>
      </c>
      <c r="C2120" s="1" t="s">
        <v>1651</v>
      </c>
      <c r="D2120" s="1" t="s">
        <v>7416</v>
      </c>
      <c r="E2120" s="1" t="str">
        <f>"5855"</f>
        <v>5855</v>
      </c>
      <c r="F2120" s="1" t="str">
        <f>"015751268"</f>
        <v>015751268</v>
      </c>
      <c r="G2120" s="1" t="s">
        <v>7415</v>
      </c>
      <c r="H2120" s="1" t="s">
        <v>15</v>
      </c>
      <c r="I2120" s="1" t="str">
        <f>"2"</f>
        <v>2</v>
      </c>
      <c r="J2120" s="3" t="str">
        <f>"37281"</f>
        <v>37281</v>
      </c>
      <c r="K2120" s="4">
        <v>46024</v>
      </c>
      <c r="L2120" s="4">
        <v>46037</v>
      </c>
      <c r="M2120" s="1" t="s">
        <v>7414</v>
      </c>
      <c r="N2120" s="1" t="s">
        <v>7413</v>
      </c>
    </row>
    <row r="2121" spans="1:14" s="1" customFormat="1" x14ac:dyDescent="0.35">
      <c r="A2121" s="1" t="s">
        <v>4492</v>
      </c>
      <c r="B2121" s="1" t="s">
        <v>1516</v>
      </c>
      <c r="C2121" s="1" t="s">
        <v>1651</v>
      </c>
      <c r="D2121" s="1" t="s">
        <v>7412</v>
      </c>
      <c r="E2121" s="1" t="str">
        <f>"4310"</f>
        <v>4310</v>
      </c>
      <c r="F2121" s="1" t="s">
        <v>7407</v>
      </c>
      <c r="G2121" s="1" t="s">
        <v>7406</v>
      </c>
      <c r="H2121" s="1" t="s">
        <v>15</v>
      </c>
      <c r="I2121" s="1" t="str">
        <f>"1"</f>
        <v>1</v>
      </c>
      <c r="J2121" s="3" t="str">
        <f>"5000"</f>
        <v>5000</v>
      </c>
      <c r="K2121" s="4">
        <v>46024</v>
      </c>
      <c r="L2121" s="4">
        <v>46037</v>
      </c>
      <c r="M2121" s="1" t="s">
        <v>7411</v>
      </c>
      <c r="N2121" s="1" t="s">
        <v>7404</v>
      </c>
    </row>
    <row r="2122" spans="1:14" s="1" customFormat="1" x14ac:dyDescent="0.35">
      <c r="A2122" s="1" t="s">
        <v>4492</v>
      </c>
      <c r="B2122" s="1" t="s">
        <v>1516</v>
      </c>
      <c r="C2122" s="1" t="s">
        <v>1651</v>
      </c>
      <c r="D2122" s="1" t="s">
        <v>7410</v>
      </c>
      <c r="E2122" s="1" t="str">
        <f>"4310"</f>
        <v>4310</v>
      </c>
      <c r="F2122" s="1" t="s">
        <v>7407</v>
      </c>
      <c r="G2122" s="1" t="s">
        <v>7406</v>
      </c>
      <c r="H2122" s="1" t="s">
        <v>15</v>
      </c>
      <c r="I2122" s="1" t="str">
        <f>"1"</f>
        <v>1</v>
      </c>
      <c r="J2122" s="3">
        <v>20414.14</v>
      </c>
      <c r="K2122" s="4">
        <v>46024</v>
      </c>
      <c r="L2122" s="4">
        <v>46037</v>
      </c>
      <c r="M2122" s="1" t="s">
        <v>7409</v>
      </c>
      <c r="N2122" s="1" t="s">
        <v>7404</v>
      </c>
    </row>
    <row r="2123" spans="1:14" s="1" customFormat="1" x14ac:dyDescent="0.35">
      <c r="A2123" s="1" t="s">
        <v>4492</v>
      </c>
      <c r="B2123" s="1" t="s">
        <v>1516</v>
      </c>
      <c r="C2123" s="1" t="s">
        <v>1651</v>
      </c>
      <c r="D2123" s="1" t="s">
        <v>7408</v>
      </c>
      <c r="E2123" s="1" t="str">
        <f>"4310"</f>
        <v>4310</v>
      </c>
      <c r="F2123" s="1" t="s">
        <v>7407</v>
      </c>
      <c r="G2123" s="1" t="s">
        <v>7406</v>
      </c>
      <c r="H2123" s="1" t="s">
        <v>15</v>
      </c>
      <c r="I2123" s="1" t="str">
        <f>"1"</f>
        <v>1</v>
      </c>
      <c r="J2123" s="3" t="str">
        <f>"1000"</f>
        <v>1000</v>
      </c>
      <c r="K2123" s="4">
        <v>46024</v>
      </c>
      <c r="L2123" s="4">
        <v>46037</v>
      </c>
      <c r="M2123" s="1" t="s">
        <v>7405</v>
      </c>
      <c r="N2123" s="1" t="s">
        <v>7404</v>
      </c>
    </row>
    <row r="2124" spans="1:14" s="1" customFormat="1" x14ac:dyDescent="0.35">
      <c r="A2124" s="1" t="s">
        <v>4492</v>
      </c>
      <c r="B2124" s="1" t="s">
        <v>1516</v>
      </c>
      <c r="C2124" s="1" t="s">
        <v>1651</v>
      </c>
      <c r="D2124" s="1" t="s">
        <v>7403</v>
      </c>
      <c r="E2124" s="1" t="str">
        <f>"7110"</f>
        <v>7110</v>
      </c>
      <c r="F2124" s="1" t="s">
        <v>5882</v>
      </c>
      <c r="G2124" s="1" t="s">
        <v>5881</v>
      </c>
      <c r="H2124" s="1" t="s">
        <v>15</v>
      </c>
      <c r="I2124" s="1" t="str">
        <f>"1"</f>
        <v>1</v>
      </c>
      <c r="J2124" s="3" t="str">
        <f>"1500"</f>
        <v>1500</v>
      </c>
      <c r="K2124" s="4">
        <v>46028</v>
      </c>
      <c r="L2124" s="4">
        <v>46069</v>
      </c>
      <c r="M2124" s="1" t="s">
        <v>7402</v>
      </c>
      <c r="N2124" s="1" t="s">
        <v>7401</v>
      </c>
    </row>
    <row r="2125" spans="1:14" s="1" customFormat="1" x14ac:dyDescent="0.35">
      <c r="A2125" s="1" t="s">
        <v>4492</v>
      </c>
      <c r="B2125" s="1" t="s">
        <v>1516</v>
      </c>
      <c r="C2125" s="1" t="s">
        <v>1651</v>
      </c>
      <c r="D2125" s="1" t="s">
        <v>7400</v>
      </c>
      <c r="E2125" s="1" t="str">
        <f>"4130"</f>
        <v>4130</v>
      </c>
      <c r="F2125" s="1" t="str">
        <f>"014590584"</f>
        <v>014590584</v>
      </c>
      <c r="G2125" s="1" t="s">
        <v>1687</v>
      </c>
      <c r="H2125" s="1" t="s">
        <v>15</v>
      </c>
      <c r="I2125" s="1" t="str">
        <f>"3"</f>
        <v>3</v>
      </c>
      <c r="J2125" s="3">
        <v>2673.18</v>
      </c>
      <c r="K2125" s="4">
        <v>46024</v>
      </c>
      <c r="L2125" s="4">
        <v>46024</v>
      </c>
      <c r="M2125" s="1" t="s">
        <v>7399</v>
      </c>
      <c r="N2125" s="1" t="s">
        <v>7398</v>
      </c>
    </row>
    <row r="2126" spans="1:14" s="1" customFormat="1" x14ac:dyDescent="0.35">
      <c r="A2126" s="1" t="s">
        <v>4492</v>
      </c>
      <c r="B2126" s="1" t="s">
        <v>1516</v>
      </c>
      <c r="C2126" s="1" t="s">
        <v>1651</v>
      </c>
      <c r="D2126" s="1" t="s">
        <v>7400</v>
      </c>
      <c r="E2126" s="1" t="str">
        <f>"4130"</f>
        <v>4130</v>
      </c>
      <c r="F2126" s="1" t="str">
        <f>"014590584"</f>
        <v>014590584</v>
      </c>
      <c r="G2126" s="1" t="s">
        <v>1687</v>
      </c>
      <c r="H2126" s="1" t="s">
        <v>15</v>
      </c>
      <c r="I2126" s="1" t="str">
        <f>"3"</f>
        <v>3</v>
      </c>
      <c r="J2126" s="3">
        <v>2673.18</v>
      </c>
      <c r="K2126" s="4">
        <v>46024</v>
      </c>
      <c r="L2126" s="4">
        <v>46024</v>
      </c>
      <c r="M2126" s="1" t="s">
        <v>7399</v>
      </c>
      <c r="N2126" s="1" t="s">
        <v>7398</v>
      </c>
    </row>
    <row r="2127" spans="1:14" s="1" customFormat="1" x14ac:dyDescent="0.35">
      <c r="A2127" s="1" t="s">
        <v>4492</v>
      </c>
      <c r="B2127" s="1" t="s">
        <v>1516</v>
      </c>
      <c r="C2127" s="1" t="s">
        <v>1651</v>
      </c>
      <c r="D2127" s="1" t="s">
        <v>7397</v>
      </c>
      <c r="E2127" s="1" t="str">
        <f>"5130"</f>
        <v>5130</v>
      </c>
      <c r="F2127" s="1" t="str">
        <f>"001341207"</f>
        <v>001341207</v>
      </c>
      <c r="G2127" s="1" t="s">
        <v>5443</v>
      </c>
      <c r="H2127" s="1" t="s">
        <v>15</v>
      </c>
      <c r="I2127" s="1" t="str">
        <f>"1"</f>
        <v>1</v>
      </c>
      <c r="J2127" s="3">
        <v>2938.05</v>
      </c>
      <c r="K2127" s="4">
        <v>46028</v>
      </c>
      <c r="L2127" s="4">
        <v>46032</v>
      </c>
      <c r="M2127" s="1" t="s">
        <v>7396</v>
      </c>
      <c r="N2127" s="1" t="s">
        <v>7395</v>
      </c>
    </row>
    <row r="2128" spans="1:14" s="1" customFormat="1" x14ac:dyDescent="0.35">
      <c r="A2128" s="1" t="s">
        <v>4492</v>
      </c>
      <c r="B2128" s="1" t="s">
        <v>1516</v>
      </c>
      <c r="C2128" s="1" t="s">
        <v>1651</v>
      </c>
      <c r="D2128" s="1" t="s">
        <v>7394</v>
      </c>
      <c r="E2128" s="1" t="str">
        <f>"3930"</f>
        <v>3930</v>
      </c>
      <c r="F2128" s="1" t="str">
        <f>"010907716"</f>
        <v>010907716</v>
      </c>
      <c r="G2128" s="1" t="s">
        <v>124</v>
      </c>
      <c r="H2128" s="1" t="s">
        <v>15</v>
      </c>
      <c r="I2128" s="1" t="str">
        <f>"1"</f>
        <v>1</v>
      </c>
      <c r="J2128" s="3" t="str">
        <f>"23870"</f>
        <v>23870</v>
      </c>
      <c r="K2128" s="4">
        <v>46028</v>
      </c>
      <c r="L2128" s="4">
        <v>46069</v>
      </c>
      <c r="M2128" s="1" t="s">
        <v>7393</v>
      </c>
      <c r="N2128" s="1" t="s">
        <v>7392</v>
      </c>
    </row>
    <row r="2129" spans="1:14" s="1" customFormat="1" x14ac:dyDescent="0.35">
      <c r="A2129" s="1" t="s">
        <v>4492</v>
      </c>
      <c r="B2129" s="1" t="s">
        <v>1516</v>
      </c>
      <c r="C2129" s="1" t="s">
        <v>1651</v>
      </c>
      <c r="D2129" s="1" t="s">
        <v>7391</v>
      </c>
      <c r="E2129" s="1" t="str">
        <f>"5130"</f>
        <v>5130</v>
      </c>
      <c r="F2129" s="1" t="s">
        <v>6919</v>
      </c>
      <c r="G2129" s="1" t="s">
        <v>6918</v>
      </c>
      <c r="H2129" s="1" t="s">
        <v>15</v>
      </c>
      <c r="I2129" s="1" t="str">
        <f>"1"</f>
        <v>1</v>
      </c>
      <c r="J2129" s="3" t="str">
        <f>"450"</f>
        <v>450</v>
      </c>
      <c r="K2129" s="4">
        <v>46037</v>
      </c>
      <c r="L2129" s="4">
        <v>46070</v>
      </c>
      <c r="M2129" s="1" t="s">
        <v>7390</v>
      </c>
      <c r="N2129" s="1" t="s">
        <v>7389</v>
      </c>
    </row>
    <row r="2130" spans="1:14" s="1" customFormat="1" x14ac:dyDescent="0.35">
      <c r="A2130" s="1" t="s">
        <v>4492</v>
      </c>
      <c r="B2130" s="1" t="s">
        <v>1516</v>
      </c>
      <c r="C2130" s="1" t="s">
        <v>1651</v>
      </c>
      <c r="D2130" s="1" t="s">
        <v>7388</v>
      </c>
      <c r="E2130" s="1" t="str">
        <f>"2330"</f>
        <v>2330</v>
      </c>
      <c r="F2130" s="1" t="s">
        <v>104</v>
      </c>
      <c r="G2130" s="1" t="s">
        <v>105</v>
      </c>
      <c r="H2130" s="1" t="s">
        <v>15</v>
      </c>
      <c r="I2130" s="1" t="str">
        <f>"1"</f>
        <v>1</v>
      </c>
      <c r="J2130" s="3" t="str">
        <f>"2990"</f>
        <v>2990</v>
      </c>
      <c r="K2130" s="4">
        <v>46037</v>
      </c>
      <c r="L2130" s="4">
        <v>46039</v>
      </c>
      <c r="M2130" s="1" t="s">
        <v>7387</v>
      </c>
      <c r="N2130" s="1" t="s">
        <v>7386</v>
      </c>
    </row>
    <row r="2131" spans="1:14" s="1" customFormat="1" x14ac:dyDescent="0.35">
      <c r="A2131" s="1" t="s">
        <v>4492</v>
      </c>
      <c r="B2131" s="1" t="s">
        <v>1516</v>
      </c>
      <c r="C2131" s="1" t="s">
        <v>1651</v>
      </c>
      <c r="D2131" s="1" t="s">
        <v>7385</v>
      </c>
      <c r="E2131" s="1" t="str">
        <f>"1240"</f>
        <v>1240</v>
      </c>
      <c r="F2131" s="1" t="str">
        <f>"014111265"</f>
        <v>014111265</v>
      </c>
      <c r="G2131" s="1" t="s">
        <v>71</v>
      </c>
      <c r="H2131" s="1" t="s">
        <v>15</v>
      </c>
      <c r="I2131" s="1" t="str">
        <f>"1"</f>
        <v>1</v>
      </c>
      <c r="J2131" s="3" t="str">
        <f>"342"</f>
        <v>342</v>
      </c>
      <c r="K2131" s="4">
        <v>46023</v>
      </c>
      <c r="L2131" s="4">
        <v>46028</v>
      </c>
      <c r="M2131" s="1" t="s">
        <v>7384</v>
      </c>
      <c r="N2131" s="1" t="s">
        <v>7377</v>
      </c>
    </row>
    <row r="2132" spans="1:14" s="1" customFormat="1" x14ac:dyDescent="0.35">
      <c r="A2132" s="1" t="s">
        <v>4492</v>
      </c>
      <c r="B2132" s="1" t="s">
        <v>1516</v>
      </c>
      <c r="C2132" s="1" t="s">
        <v>1651</v>
      </c>
      <c r="D2132" s="1" t="s">
        <v>7383</v>
      </c>
      <c r="E2132" s="1" t="str">
        <f>"1240"</f>
        <v>1240</v>
      </c>
      <c r="F2132" s="1" t="str">
        <f>"014111265"</f>
        <v>014111265</v>
      </c>
      <c r="G2132" s="1" t="s">
        <v>71</v>
      </c>
      <c r="H2132" s="1" t="s">
        <v>15</v>
      </c>
      <c r="I2132" s="1" t="str">
        <f>"1"</f>
        <v>1</v>
      </c>
      <c r="J2132" s="3" t="str">
        <f>"342"</f>
        <v>342</v>
      </c>
      <c r="K2132" s="4">
        <v>46023</v>
      </c>
      <c r="L2132" s="4">
        <v>46029</v>
      </c>
      <c r="M2132" s="1" t="s">
        <v>7382</v>
      </c>
      <c r="N2132" s="1" t="s">
        <v>7377</v>
      </c>
    </row>
    <row r="2133" spans="1:14" s="1" customFormat="1" x14ac:dyDescent="0.35">
      <c r="A2133" s="1" t="s">
        <v>4492</v>
      </c>
      <c r="B2133" s="1" t="s">
        <v>1516</v>
      </c>
      <c r="C2133" s="1" t="s">
        <v>1651</v>
      </c>
      <c r="D2133" s="1" t="s">
        <v>7381</v>
      </c>
      <c r="E2133" s="1" t="str">
        <f>"1240"</f>
        <v>1240</v>
      </c>
      <c r="F2133" s="1" t="str">
        <f>"014111265"</f>
        <v>014111265</v>
      </c>
      <c r="G2133" s="1" t="s">
        <v>71</v>
      </c>
      <c r="H2133" s="1" t="s">
        <v>15</v>
      </c>
      <c r="I2133" s="1" t="str">
        <f>"1"</f>
        <v>1</v>
      </c>
      <c r="J2133" s="3" t="str">
        <f>"342"</f>
        <v>342</v>
      </c>
      <c r="K2133" s="4">
        <v>46023</v>
      </c>
      <c r="L2133" s="4">
        <v>46028</v>
      </c>
      <c r="M2133" s="1" t="s">
        <v>7380</v>
      </c>
      <c r="N2133" s="1" t="s">
        <v>7377</v>
      </c>
    </row>
    <row r="2134" spans="1:14" s="1" customFormat="1" x14ac:dyDescent="0.35">
      <c r="A2134" s="1" t="s">
        <v>4492</v>
      </c>
      <c r="B2134" s="1" t="s">
        <v>1516</v>
      </c>
      <c r="C2134" s="1" t="s">
        <v>1651</v>
      </c>
      <c r="D2134" s="1" t="s">
        <v>7379</v>
      </c>
      <c r="E2134" s="1" t="str">
        <f>"1240"</f>
        <v>1240</v>
      </c>
      <c r="F2134" s="1" t="str">
        <f>"014111265"</f>
        <v>014111265</v>
      </c>
      <c r="G2134" s="1" t="s">
        <v>71</v>
      </c>
      <c r="H2134" s="1" t="s">
        <v>15</v>
      </c>
      <c r="I2134" s="1" t="str">
        <f>"1"</f>
        <v>1</v>
      </c>
      <c r="J2134" s="3" t="str">
        <f>"342"</f>
        <v>342</v>
      </c>
      <c r="K2134" s="4">
        <v>46023</v>
      </c>
      <c r="L2134" s="4">
        <v>46034</v>
      </c>
      <c r="M2134" s="1" t="s">
        <v>7378</v>
      </c>
      <c r="N2134" s="1" t="s">
        <v>7377</v>
      </c>
    </row>
    <row r="2135" spans="1:14" s="1" customFormat="1" x14ac:dyDescent="0.35">
      <c r="A2135" s="1" t="s">
        <v>4492</v>
      </c>
      <c r="B2135" s="1" t="s">
        <v>1516</v>
      </c>
      <c r="C2135" s="1" t="s">
        <v>1651</v>
      </c>
      <c r="D2135" s="1" t="s">
        <v>7376</v>
      </c>
      <c r="E2135" s="1" t="str">
        <f>"2320"</f>
        <v>2320</v>
      </c>
      <c r="F2135" s="1" t="str">
        <f>"014353084"</f>
        <v>014353084</v>
      </c>
      <c r="G2135" s="1" t="s">
        <v>1093</v>
      </c>
      <c r="H2135" s="1" t="s">
        <v>15</v>
      </c>
      <c r="I2135" s="1" t="str">
        <f>"1"</f>
        <v>1</v>
      </c>
      <c r="J2135" s="3">
        <v>84222.39</v>
      </c>
      <c r="K2135" s="4">
        <v>46025</v>
      </c>
      <c r="L2135" s="4">
        <v>46028</v>
      </c>
      <c r="M2135" s="1" t="s">
        <v>4556</v>
      </c>
      <c r="N2135" s="1" t="s">
        <v>7375</v>
      </c>
    </row>
    <row r="2136" spans="1:14" s="1" customFormat="1" x14ac:dyDescent="0.35">
      <c r="A2136" s="1" t="s">
        <v>4492</v>
      </c>
      <c r="B2136" s="1" t="s">
        <v>1516</v>
      </c>
      <c r="C2136" s="1" t="s">
        <v>1651</v>
      </c>
      <c r="D2136" s="1" t="s">
        <v>7374</v>
      </c>
      <c r="E2136" s="1" t="str">
        <f>"2330"</f>
        <v>2330</v>
      </c>
      <c r="F2136" s="1" t="s">
        <v>104</v>
      </c>
      <c r="G2136" s="1" t="s">
        <v>105</v>
      </c>
      <c r="H2136" s="1" t="s">
        <v>15</v>
      </c>
      <c r="I2136" s="1" t="str">
        <f>"1"</f>
        <v>1</v>
      </c>
      <c r="J2136" s="3" t="str">
        <f>"14000"</f>
        <v>14000</v>
      </c>
      <c r="K2136" s="4">
        <v>46025</v>
      </c>
      <c r="L2136" s="4">
        <v>46027</v>
      </c>
      <c r="M2136" s="1" t="s">
        <v>4556</v>
      </c>
      <c r="N2136" s="1" t="s">
        <v>7373</v>
      </c>
    </row>
    <row r="2137" spans="1:14" s="1" customFormat="1" x14ac:dyDescent="0.35">
      <c r="A2137" s="1" t="s">
        <v>4492</v>
      </c>
      <c r="B2137" s="1" t="s">
        <v>1516</v>
      </c>
      <c r="C2137" s="1" t="s">
        <v>1651</v>
      </c>
      <c r="D2137" s="1" t="s">
        <v>7372</v>
      </c>
      <c r="E2137" s="1" t="str">
        <f>"3805"</f>
        <v>3805</v>
      </c>
      <c r="F2137" s="1" t="s">
        <v>1020</v>
      </c>
      <c r="G2137" s="1" t="s">
        <v>1021</v>
      </c>
      <c r="H2137" s="1" t="s">
        <v>15</v>
      </c>
      <c r="I2137" s="1" t="str">
        <f>"1"</f>
        <v>1</v>
      </c>
      <c r="J2137" s="3" t="str">
        <f>"37206"</f>
        <v>37206</v>
      </c>
      <c r="K2137" s="4">
        <v>46025</v>
      </c>
      <c r="L2137" s="4">
        <v>46027</v>
      </c>
      <c r="M2137" s="1" t="s">
        <v>4556</v>
      </c>
      <c r="N2137" s="1" t="s">
        <v>7371</v>
      </c>
    </row>
    <row r="2138" spans="1:14" s="1" customFormat="1" x14ac:dyDescent="0.35">
      <c r="A2138" s="1" t="s">
        <v>4492</v>
      </c>
      <c r="B2138" s="1" t="s">
        <v>1516</v>
      </c>
      <c r="C2138" s="1" t="s">
        <v>1651</v>
      </c>
      <c r="D2138" s="1" t="s">
        <v>7370</v>
      </c>
      <c r="E2138" s="1" t="str">
        <f>"2320"</f>
        <v>2320</v>
      </c>
      <c r="F2138" s="1" t="str">
        <f>"013455182"</f>
        <v>013455182</v>
      </c>
      <c r="G2138" s="1" t="s">
        <v>394</v>
      </c>
      <c r="H2138" s="1" t="s">
        <v>15</v>
      </c>
      <c r="I2138" s="1" t="str">
        <f>"1"</f>
        <v>1</v>
      </c>
      <c r="J2138" s="3">
        <v>49520.89</v>
      </c>
      <c r="K2138" s="4">
        <v>46026</v>
      </c>
      <c r="L2138" s="4">
        <v>46027</v>
      </c>
      <c r="M2138" s="1" t="s">
        <v>4556</v>
      </c>
      <c r="N2138" s="1" t="s">
        <v>7369</v>
      </c>
    </row>
    <row r="2139" spans="1:14" s="1" customFormat="1" x14ac:dyDescent="0.35">
      <c r="A2139" s="1" t="s">
        <v>4492</v>
      </c>
      <c r="B2139" s="1" t="s">
        <v>1516</v>
      </c>
      <c r="C2139" s="1" t="s">
        <v>1651</v>
      </c>
      <c r="D2139" s="1" t="s">
        <v>7368</v>
      </c>
      <c r="E2139" s="1" t="str">
        <f>"2340"</f>
        <v>2340</v>
      </c>
      <c r="F2139" s="1" t="s">
        <v>1071</v>
      </c>
      <c r="G2139" s="1" t="s">
        <v>1072</v>
      </c>
      <c r="H2139" s="1" t="s">
        <v>15</v>
      </c>
      <c r="I2139" s="1" t="str">
        <f>"1"</f>
        <v>1</v>
      </c>
      <c r="J2139" s="3">
        <v>11964.82</v>
      </c>
      <c r="K2139" s="4">
        <v>46026</v>
      </c>
      <c r="L2139" s="4">
        <v>46027</v>
      </c>
      <c r="M2139" s="1" t="s">
        <v>4556</v>
      </c>
      <c r="N2139" s="1" t="s">
        <v>7367</v>
      </c>
    </row>
    <row r="2140" spans="1:14" s="1" customFormat="1" x14ac:dyDescent="0.35">
      <c r="A2140" s="1" t="s">
        <v>4492</v>
      </c>
      <c r="B2140" s="1" t="s">
        <v>1516</v>
      </c>
      <c r="C2140" s="1" t="s">
        <v>1651</v>
      </c>
      <c r="D2140" s="1" t="s">
        <v>7366</v>
      </c>
      <c r="E2140" s="1" t="str">
        <f>"2320"</f>
        <v>2320</v>
      </c>
      <c r="F2140" s="1" t="s">
        <v>100</v>
      </c>
      <c r="G2140" s="1" t="s">
        <v>101</v>
      </c>
      <c r="H2140" s="1" t="s">
        <v>15</v>
      </c>
      <c r="I2140" s="1" t="str">
        <f>"1"</f>
        <v>1</v>
      </c>
      <c r="J2140" s="3">
        <v>21545.32</v>
      </c>
      <c r="K2140" s="4">
        <v>46027</v>
      </c>
      <c r="L2140" s="4">
        <v>46039</v>
      </c>
      <c r="M2140" s="1" t="s">
        <v>7365</v>
      </c>
      <c r="N2140" s="1" t="s">
        <v>7364</v>
      </c>
    </row>
    <row r="2141" spans="1:14" s="1" customFormat="1" x14ac:dyDescent="0.35">
      <c r="A2141" s="1" t="s">
        <v>4492</v>
      </c>
      <c r="B2141" s="1" t="s">
        <v>1516</v>
      </c>
      <c r="C2141" s="1" t="s">
        <v>1651</v>
      </c>
      <c r="D2141" s="1" t="s">
        <v>7363</v>
      </c>
      <c r="E2141" s="1" t="str">
        <f>"2320"</f>
        <v>2320</v>
      </c>
      <c r="F2141" s="1" t="s">
        <v>100</v>
      </c>
      <c r="G2141" s="1" t="s">
        <v>101</v>
      </c>
      <c r="H2141" s="1" t="s">
        <v>15</v>
      </c>
      <c r="I2141" s="1" t="str">
        <f>"1"</f>
        <v>1</v>
      </c>
      <c r="J2141" s="3" t="str">
        <f>"40000"</f>
        <v>40000</v>
      </c>
      <c r="K2141" s="4">
        <v>46027</v>
      </c>
      <c r="L2141" s="4">
        <v>46029</v>
      </c>
      <c r="M2141" s="1" t="s">
        <v>7362</v>
      </c>
      <c r="N2141" s="1" t="s">
        <v>7361</v>
      </c>
    </row>
    <row r="2142" spans="1:14" s="1" customFormat="1" x14ac:dyDescent="0.35">
      <c r="A2142" s="1" t="s">
        <v>4492</v>
      </c>
      <c r="B2142" s="1" t="s">
        <v>1516</v>
      </c>
      <c r="C2142" s="1" t="s">
        <v>1651</v>
      </c>
      <c r="D2142" s="1" t="s">
        <v>7360</v>
      </c>
      <c r="E2142" s="1" t="str">
        <f>"2340"</f>
        <v>2340</v>
      </c>
      <c r="F2142" s="1" t="s">
        <v>1071</v>
      </c>
      <c r="G2142" s="1" t="s">
        <v>1072</v>
      </c>
      <c r="H2142" s="1" t="s">
        <v>15</v>
      </c>
      <c r="I2142" s="1" t="str">
        <f>"1"</f>
        <v>1</v>
      </c>
      <c r="J2142" s="3">
        <v>11964.82</v>
      </c>
      <c r="K2142" s="4">
        <v>46027</v>
      </c>
      <c r="L2142" s="4">
        <v>46027</v>
      </c>
      <c r="M2142" s="1" t="s">
        <v>4556</v>
      </c>
      <c r="N2142" s="1" t="s">
        <v>7359</v>
      </c>
    </row>
    <row r="2143" spans="1:14" s="1" customFormat="1" x14ac:dyDescent="0.35">
      <c r="A2143" s="1" t="s">
        <v>4492</v>
      </c>
      <c r="B2143" s="1" t="s">
        <v>1516</v>
      </c>
      <c r="C2143" s="1" t="s">
        <v>1651</v>
      </c>
      <c r="D2143" s="1" t="s">
        <v>7358</v>
      </c>
      <c r="E2143" s="1" t="str">
        <f>"2320"</f>
        <v>2320</v>
      </c>
      <c r="F2143" s="1" t="str">
        <f>"013455182"</f>
        <v>013455182</v>
      </c>
      <c r="G2143" s="1" t="s">
        <v>394</v>
      </c>
      <c r="H2143" s="1" t="s">
        <v>15</v>
      </c>
      <c r="I2143" s="1" t="str">
        <f>"1"</f>
        <v>1</v>
      </c>
      <c r="J2143" s="3">
        <v>49520.89</v>
      </c>
      <c r="K2143" s="4">
        <v>46027</v>
      </c>
      <c r="L2143" s="4">
        <v>46027</v>
      </c>
      <c r="N2143" s="1" t="s">
        <v>7357</v>
      </c>
    </row>
    <row r="2144" spans="1:14" s="1" customFormat="1" x14ac:dyDescent="0.35">
      <c r="A2144" s="1" t="s">
        <v>4492</v>
      </c>
      <c r="B2144" s="1" t="s">
        <v>1516</v>
      </c>
      <c r="C2144" s="1" t="s">
        <v>1651</v>
      </c>
      <c r="D2144" s="1" t="s">
        <v>7356</v>
      </c>
      <c r="E2144" s="1" t="str">
        <f>"2320"</f>
        <v>2320</v>
      </c>
      <c r="F2144" s="1" t="s">
        <v>100</v>
      </c>
      <c r="G2144" s="1" t="s">
        <v>101</v>
      </c>
      <c r="H2144" s="1" t="s">
        <v>15</v>
      </c>
      <c r="I2144" s="1" t="str">
        <f>"1"</f>
        <v>1</v>
      </c>
      <c r="J2144" s="3" t="str">
        <f>"28206"</f>
        <v>28206</v>
      </c>
      <c r="K2144" s="4">
        <v>46027</v>
      </c>
      <c r="L2144" s="4">
        <v>46039</v>
      </c>
      <c r="M2144" s="1" t="s">
        <v>7355</v>
      </c>
      <c r="N2144" s="1" t="s">
        <v>7354</v>
      </c>
    </row>
    <row r="2145" spans="1:14" s="1" customFormat="1" x14ac:dyDescent="0.35">
      <c r="A2145" s="1" t="s">
        <v>4492</v>
      </c>
      <c r="B2145" s="1" t="s">
        <v>1516</v>
      </c>
      <c r="C2145" s="1" t="s">
        <v>1651</v>
      </c>
      <c r="D2145" s="1" t="s">
        <v>7353</v>
      </c>
      <c r="E2145" s="1" t="str">
        <f>"2320"</f>
        <v>2320</v>
      </c>
      <c r="F2145" s="1" t="str">
        <f>"011950532"</f>
        <v>011950532</v>
      </c>
      <c r="G2145" s="1" t="s">
        <v>1306</v>
      </c>
      <c r="H2145" s="1" t="s">
        <v>15</v>
      </c>
      <c r="I2145" s="1" t="str">
        <f>"1"</f>
        <v>1</v>
      </c>
      <c r="J2145" s="3" t="str">
        <f>"110910"</f>
        <v>110910</v>
      </c>
      <c r="K2145" s="4">
        <v>46028</v>
      </c>
      <c r="L2145" s="4">
        <v>46069</v>
      </c>
      <c r="M2145" s="1" t="s">
        <v>7352</v>
      </c>
      <c r="N2145" s="1" t="s">
        <v>7351</v>
      </c>
    </row>
    <row r="2146" spans="1:14" s="1" customFormat="1" x14ac:dyDescent="0.35">
      <c r="A2146" s="1" t="s">
        <v>4492</v>
      </c>
      <c r="B2146" s="1" t="s">
        <v>1516</v>
      </c>
      <c r="C2146" s="1" t="s">
        <v>1651</v>
      </c>
      <c r="D2146" s="1" t="s">
        <v>7350</v>
      </c>
      <c r="E2146" s="1" t="str">
        <f>"3610"</f>
        <v>3610</v>
      </c>
      <c r="F2146" s="1" t="s">
        <v>2273</v>
      </c>
      <c r="G2146" s="1" t="s">
        <v>2274</v>
      </c>
      <c r="H2146" s="1" t="s">
        <v>15</v>
      </c>
      <c r="I2146" s="1" t="str">
        <f>"1"</f>
        <v>1</v>
      </c>
      <c r="J2146" s="3" t="str">
        <f>"13914"</f>
        <v>13914</v>
      </c>
      <c r="K2146" s="4">
        <v>46028</v>
      </c>
      <c r="L2146" s="4">
        <v>46039</v>
      </c>
      <c r="M2146" s="1" t="s">
        <v>7349</v>
      </c>
      <c r="N2146" s="1" t="s">
        <v>7348</v>
      </c>
    </row>
    <row r="2147" spans="1:14" s="1" customFormat="1" x14ac:dyDescent="0.35">
      <c r="A2147" s="1" t="s">
        <v>4492</v>
      </c>
      <c r="B2147" s="1" t="s">
        <v>1516</v>
      </c>
      <c r="C2147" s="1" t="s">
        <v>1651</v>
      </c>
      <c r="D2147" s="1" t="s">
        <v>7347</v>
      </c>
      <c r="E2147" s="1" t="str">
        <f>"1005"</f>
        <v>1005</v>
      </c>
      <c r="F2147" s="1" t="str">
        <f>"015419956"</f>
        <v>015419956</v>
      </c>
      <c r="G2147" s="1" t="s">
        <v>5432</v>
      </c>
      <c r="H2147" s="1" t="s">
        <v>15</v>
      </c>
      <c r="I2147" s="1" t="str">
        <f>"5"</f>
        <v>5</v>
      </c>
      <c r="J2147" s="3" t="str">
        <f>"18352"</f>
        <v>18352</v>
      </c>
      <c r="K2147" s="4">
        <v>46028</v>
      </c>
      <c r="L2147" s="4">
        <v>46069</v>
      </c>
      <c r="M2147" s="1" t="s">
        <v>7346</v>
      </c>
      <c r="N2147" s="1" t="s">
        <v>7345</v>
      </c>
    </row>
    <row r="2148" spans="1:14" s="1" customFormat="1" x14ac:dyDescent="0.35">
      <c r="A2148" s="1" t="s">
        <v>4492</v>
      </c>
      <c r="B2148" s="1" t="s">
        <v>1516</v>
      </c>
      <c r="C2148" s="1" t="s">
        <v>1651</v>
      </c>
      <c r="D2148" s="1" t="s">
        <v>7344</v>
      </c>
      <c r="E2148" s="1" t="str">
        <f>"1240"</f>
        <v>1240</v>
      </c>
      <c r="F2148" s="1" t="str">
        <f>"015403690"</f>
        <v>015403690</v>
      </c>
      <c r="G2148" s="1" t="s">
        <v>71</v>
      </c>
      <c r="H2148" s="1" t="s">
        <v>15</v>
      </c>
      <c r="I2148" s="1" t="str">
        <f>"2"</f>
        <v>2</v>
      </c>
      <c r="J2148" s="3" t="str">
        <f>"340"</f>
        <v>340</v>
      </c>
      <c r="K2148" s="4">
        <v>46028</v>
      </c>
      <c r="L2148" s="4">
        <v>46029</v>
      </c>
      <c r="M2148" s="1" t="s">
        <v>4524</v>
      </c>
      <c r="N2148" s="1" t="s">
        <v>7343</v>
      </c>
    </row>
    <row r="2149" spans="1:14" s="1" customFormat="1" x14ac:dyDescent="0.35">
      <c r="A2149" s="1" t="s">
        <v>4492</v>
      </c>
      <c r="B2149" s="1" t="s">
        <v>1516</v>
      </c>
      <c r="C2149" s="1" t="s">
        <v>1651</v>
      </c>
      <c r="D2149" s="1" t="s">
        <v>7342</v>
      </c>
      <c r="E2149" s="1" t="str">
        <f>"6130"</f>
        <v>6130</v>
      </c>
      <c r="F2149" s="1" t="str">
        <f>"014952839"</f>
        <v>014952839</v>
      </c>
      <c r="G2149" s="1" t="s">
        <v>882</v>
      </c>
      <c r="H2149" s="1" t="s">
        <v>15</v>
      </c>
      <c r="I2149" s="1" t="str">
        <f>"2"</f>
        <v>2</v>
      </c>
      <c r="J2149" s="3" t="str">
        <f>"4399"</f>
        <v>4399</v>
      </c>
      <c r="K2149" s="4">
        <v>46028</v>
      </c>
      <c r="L2149" s="4">
        <v>46030</v>
      </c>
      <c r="M2149" s="1" t="s">
        <v>4524</v>
      </c>
      <c r="N2149" s="1" t="s">
        <v>7341</v>
      </c>
    </row>
    <row r="2150" spans="1:14" s="1" customFormat="1" x14ac:dyDescent="0.35">
      <c r="A2150" s="1" t="s">
        <v>4492</v>
      </c>
      <c r="B2150" s="1" t="s">
        <v>1516</v>
      </c>
      <c r="C2150" s="1" t="s">
        <v>1651</v>
      </c>
      <c r="D2150" s="1" t="s">
        <v>7340</v>
      </c>
      <c r="E2150" s="1" t="str">
        <f>"2320"</f>
        <v>2320</v>
      </c>
      <c r="F2150" s="1" t="s">
        <v>100</v>
      </c>
      <c r="G2150" s="1" t="s">
        <v>101</v>
      </c>
      <c r="H2150" s="1" t="s">
        <v>15</v>
      </c>
      <c r="I2150" s="1" t="str">
        <f>"1"</f>
        <v>1</v>
      </c>
      <c r="J2150" s="3" t="str">
        <f>"40000"</f>
        <v>40000</v>
      </c>
      <c r="K2150" s="4">
        <v>46031</v>
      </c>
      <c r="L2150" s="4">
        <v>46031</v>
      </c>
      <c r="M2150" s="1" t="s">
        <v>4524</v>
      </c>
      <c r="N2150" s="1" t="s">
        <v>7339</v>
      </c>
    </row>
    <row r="2151" spans="1:14" s="1" customFormat="1" x14ac:dyDescent="0.35">
      <c r="A2151" s="1" t="s">
        <v>4492</v>
      </c>
      <c r="B2151" s="1" t="s">
        <v>1516</v>
      </c>
      <c r="C2151" s="1" t="s">
        <v>1651</v>
      </c>
      <c r="D2151" s="1" t="s">
        <v>7338</v>
      </c>
      <c r="E2151" s="1" t="str">
        <f>"2360"</f>
        <v>2360</v>
      </c>
      <c r="F2151" s="1" t="str">
        <f>"016629084"</f>
        <v>016629084</v>
      </c>
      <c r="G2151" s="1" t="s">
        <v>1275</v>
      </c>
      <c r="H2151" s="1" t="s">
        <v>15</v>
      </c>
      <c r="I2151" s="1" t="str">
        <f>"1"</f>
        <v>1</v>
      </c>
      <c r="J2151" s="3" t="str">
        <f>"200000"</f>
        <v>200000</v>
      </c>
      <c r="K2151" s="4">
        <v>46034</v>
      </c>
      <c r="L2151" s="4">
        <v>46070</v>
      </c>
      <c r="M2151" s="1" t="s">
        <v>7337</v>
      </c>
      <c r="N2151" s="1" t="s">
        <v>7336</v>
      </c>
    </row>
    <row r="2152" spans="1:14" s="1" customFormat="1" x14ac:dyDescent="0.35">
      <c r="A2152" s="1" t="s">
        <v>4492</v>
      </c>
      <c r="B2152" s="1" t="s">
        <v>1516</v>
      </c>
      <c r="C2152" s="1" t="s">
        <v>1651</v>
      </c>
      <c r="D2152" s="1" t="s">
        <v>7335</v>
      </c>
      <c r="E2152" s="1" t="str">
        <f>"1240"</f>
        <v>1240</v>
      </c>
      <c r="F2152" s="1" t="str">
        <f>"014111265"</f>
        <v>014111265</v>
      </c>
      <c r="G2152" s="1" t="s">
        <v>71</v>
      </c>
      <c r="H2152" s="1" t="s">
        <v>15</v>
      </c>
      <c r="I2152" s="1" t="str">
        <f>"1"</f>
        <v>1</v>
      </c>
      <c r="J2152" s="3" t="str">
        <f>"339"</f>
        <v>339</v>
      </c>
      <c r="K2152" s="4">
        <v>45999</v>
      </c>
      <c r="L2152" s="4">
        <v>46032</v>
      </c>
      <c r="M2152" s="1" t="s">
        <v>7334</v>
      </c>
      <c r="N2152" s="1" t="s">
        <v>7331</v>
      </c>
    </row>
    <row r="2153" spans="1:14" s="1" customFormat="1" x14ac:dyDescent="0.35">
      <c r="A2153" s="1" t="s">
        <v>4492</v>
      </c>
      <c r="B2153" s="1" t="s">
        <v>1516</v>
      </c>
      <c r="C2153" s="1" t="s">
        <v>1651</v>
      </c>
      <c r="D2153" s="1" t="s">
        <v>7333</v>
      </c>
      <c r="E2153" s="1" t="str">
        <f>"1240"</f>
        <v>1240</v>
      </c>
      <c r="F2153" s="1" t="str">
        <f>"014111265"</f>
        <v>014111265</v>
      </c>
      <c r="G2153" s="1" t="s">
        <v>71</v>
      </c>
      <c r="H2153" s="1" t="s">
        <v>15</v>
      </c>
      <c r="I2153" s="1" t="str">
        <f>"1"</f>
        <v>1</v>
      </c>
      <c r="J2153" s="3" t="str">
        <f>"339"</f>
        <v>339</v>
      </c>
      <c r="K2153" s="4">
        <v>45999</v>
      </c>
      <c r="L2153" s="4">
        <v>46032</v>
      </c>
      <c r="M2153" s="1" t="s">
        <v>7332</v>
      </c>
      <c r="N2153" s="1" t="s">
        <v>7331</v>
      </c>
    </row>
    <row r="2154" spans="1:14" s="1" customFormat="1" x14ac:dyDescent="0.35">
      <c r="A2154" s="1" t="s">
        <v>4492</v>
      </c>
      <c r="B2154" s="1" t="s">
        <v>1516</v>
      </c>
      <c r="C2154" s="1" t="s">
        <v>1651</v>
      </c>
      <c r="D2154" s="1" t="s">
        <v>7330</v>
      </c>
      <c r="E2154" s="1" t="str">
        <f>"2320"</f>
        <v>2320</v>
      </c>
      <c r="F2154" s="1" t="s">
        <v>1016</v>
      </c>
      <c r="G2154" s="1" t="s">
        <v>1017</v>
      </c>
      <c r="H2154" s="1" t="s">
        <v>15</v>
      </c>
      <c r="I2154" s="1" t="str">
        <f>"1"</f>
        <v>1</v>
      </c>
      <c r="J2154" s="3">
        <v>20917.099999999999</v>
      </c>
      <c r="K2154" s="4">
        <v>46044</v>
      </c>
      <c r="L2154" s="4">
        <v>46045</v>
      </c>
      <c r="M2154" s="1" t="s">
        <v>4524</v>
      </c>
      <c r="N2154" s="1" t="s">
        <v>7329</v>
      </c>
    </row>
    <row r="2155" spans="1:14" s="1" customFormat="1" x14ac:dyDescent="0.35">
      <c r="A2155" s="1" t="s">
        <v>4492</v>
      </c>
      <c r="B2155" s="1" t="s">
        <v>1516</v>
      </c>
      <c r="C2155" s="1" t="s">
        <v>1651</v>
      </c>
      <c r="D2155" s="1" t="s">
        <v>7328</v>
      </c>
      <c r="E2155" s="1" t="str">
        <f>"6650"</f>
        <v>6650</v>
      </c>
      <c r="F2155" s="1" t="s">
        <v>7325</v>
      </c>
      <c r="G2155" s="1" t="s">
        <v>7324</v>
      </c>
      <c r="H2155" s="1" t="s">
        <v>15</v>
      </c>
      <c r="I2155" s="1" t="str">
        <f>"1"</f>
        <v>1</v>
      </c>
      <c r="J2155" s="3">
        <v>99698.3</v>
      </c>
      <c r="K2155" s="4">
        <v>46044</v>
      </c>
      <c r="L2155" s="4">
        <v>46046</v>
      </c>
      <c r="M2155" s="1" t="s">
        <v>4524</v>
      </c>
      <c r="N2155" s="1" t="s">
        <v>7327</v>
      </c>
    </row>
    <row r="2156" spans="1:14" s="1" customFormat="1" x14ac:dyDescent="0.35">
      <c r="A2156" s="1" t="s">
        <v>4492</v>
      </c>
      <c r="B2156" s="1" t="s">
        <v>1516</v>
      </c>
      <c r="C2156" s="1" t="s">
        <v>1651</v>
      </c>
      <c r="D2156" s="1" t="s">
        <v>7326</v>
      </c>
      <c r="E2156" s="1" t="str">
        <f>"6650"</f>
        <v>6650</v>
      </c>
      <c r="F2156" s="1" t="s">
        <v>7325</v>
      </c>
      <c r="G2156" s="1" t="s">
        <v>7324</v>
      </c>
      <c r="H2156" s="1" t="s">
        <v>15</v>
      </c>
      <c r="I2156" s="1" t="str">
        <f>"1"</f>
        <v>1</v>
      </c>
      <c r="J2156" s="3" t="str">
        <f>"84819"</f>
        <v>84819</v>
      </c>
      <c r="K2156" s="4">
        <v>46044</v>
      </c>
      <c r="L2156" s="4">
        <v>46046</v>
      </c>
      <c r="M2156" s="1" t="s">
        <v>4524</v>
      </c>
      <c r="N2156" s="1" t="s">
        <v>7317</v>
      </c>
    </row>
    <row r="2157" spans="1:14" s="1" customFormat="1" x14ac:dyDescent="0.35">
      <c r="A2157" s="1" t="s">
        <v>4492</v>
      </c>
      <c r="B2157" s="1" t="s">
        <v>1516</v>
      </c>
      <c r="C2157" s="1" t="s">
        <v>1651</v>
      </c>
      <c r="D2157" s="1" t="s">
        <v>7323</v>
      </c>
      <c r="E2157" s="1" t="str">
        <f>"6130"</f>
        <v>6130</v>
      </c>
      <c r="F2157" s="1" t="s">
        <v>7322</v>
      </c>
      <c r="G2157" s="1" t="s">
        <v>7321</v>
      </c>
      <c r="H2157" s="1" t="s">
        <v>15</v>
      </c>
      <c r="I2157" s="1" t="str">
        <f>"20"</f>
        <v>20</v>
      </c>
      <c r="J2157" s="3">
        <v>200.01</v>
      </c>
      <c r="K2157" s="4">
        <v>46044</v>
      </c>
      <c r="L2157" s="4">
        <v>46046</v>
      </c>
      <c r="M2157" s="1" t="s">
        <v>4524</v>
      </c>
      <c r="N2157" s="1" t="s">
        <v>7320</v>
      </c>
    </row>
    <row r="2158" spans="1:14" s="1" customFormat="1" x14ac:dyDescent="0.35">
      <c r="A2158" s="1" t="s">
        <v>4492</v>
      </c>
      <c r="B2158" s="1" t="s">
        <v>1516</v>
      </c>
      <c r="C2158" s="1" t="s">
        <v>1651</v>
      </c>
      <c r="D2158" s="1" t="s">
        <v>7319</v>
      </c>
      <c r="E2158" s="1" t="str">
        <f>"6650"</f>
        <v>6650</v>
      </c>
      <c r="F2158" s="1" t="str">
        <f>"009736945"</f>
        <v>009736945</v>
      </c>
      <c r="G2158" s="1" t="s">
        <v>7318</v>
      </c>
      <c r="H2158" s="1" t="s">
        <v>15</v>
      </c>
      <c r="I2158" s="1" t="str">
        <f>"1"</f>
        <v>1</v>
      </c>
      <c r="J2158" s="3">
        <v>3915.28</v>
      </c>
      <c r="K2158" s="4">
        <v>46044</v>
      </c>
      <c r="L2158" s="4">
        <v>46046</v>
      </c>
      <c r="M2158" s="1" t="s">
        <v>4524</v>
      </c>
      <c r="N2158" s="1" t="s">
        <v>7317</v>
      </c>
    </row>
    <row r="2159" spans="1:14" s="1" customFormat="1" x14ac:dyDescent="0.35">
      <c r="A2159" s="1" t="s">
        <v>4492</v>
      </c>
      <c r="B2159" s="1" t="s">
        <v>1516</v>
      </c>
      <c r="C2159" s="1" t="s">
        <v>1651</v>
      </c>
      <c r="D2159" s="1" t="s">
        <v>7316</v>
      </c>
      <c r="E2159" s="1" t="str">
        <f>"2320"</f>
        <v>2320</v>
      </c>
      <c r="F2159" s="1" t="str">
        <f>"010907883"</f>
        <v>010907883</v>
      </c>
      <c r="G2159" s="1" t="s">
        <v>930</v>
      </c>
      <c r="H2159" s="1" t="s">
        <v>15</v>
      </c>
      <c r="I2159" s="1" t="str">
        <f>"1"</f>
        <v>1</v>
      </c>
      <c r="J2159" s="3" t="str">
        <f>"17724"</f>
        <v>17724</v>
      </c>
      <c r="K2159" s="4">
        <v>46032</v>
      </c>
      <c r="L2159" s="4">
        <v>46050</v>
      </c>
      <c r="M2159" s="1" t="s">
        <v>7315</v>
      </c>
      <c r="N2159" s="1" t="s">
        <v>7314</v>
      </c>
    </row>
    <row r="2160" spans="1:14" s="1" customFormat="1" x14ac:dyDescent="0.35">
      <c r="A2160" s="1" t="s">
        <v>4492</v>
      </c>
      <c r="B2160" s="1" t="s">
        <v>1516</v>
      </c>
      <c r="C2160" s="1" t="s">
        <v>1651</v>
      </c>
      <c r="D2160" s="1" t="s">
        <v>7313</v>
      </c>
      <c r="E2160" s="1" t="str">
        <f>"2320"</f>
        <v>2320</v>
      </c>
      <c r="F2160" s="1" t="str">
        <f>"010747642"</f>
        <v>010747642</v>
      </c>
      <c r="G2160" s="1" t="s">
        <v>7312</v>
      </c>
      <c r="H2160" s="1" t="s">
        <v>15</v>
      </c>
      <c r="I2160" s="1" t="str">
        <f>"1"</f>
        <v>1</v>
      </c>
      <c r="J2160" s="3" t="str">
        <f>"65070"</f>
        <v>65070</v>
      </c>
      <c r="K2160" s="4">
        <v>46032</v>
      </c>
      <c r="L2160" s="4">
        <v>46034</v>
      </c>
      <c r="M2160" s="1" t="s">
        <v>4556</v>
      </c>
      <c r="N2160" s="1" t="s">
        <v>7311</v>
      </c>
    </row>
    <row r="2161" spans="1:14" s="1" customFormat="1" x14ac:dyDescent="0.35">
      <c r="A2161" s="1" t="s">
        <v>4492</v>
      </c>
      <c r="B2161" s="1" t="s">
        <v>1516</v>
      </c>
      <c r="C2161" s="1" t="s">
        <v>1651</v>
      </c>
      <c r="D2161" s="1" t="s">
        <v>7310</v>
      </c>
      <c r="E2161" s="1" t="str">
        <f>"2320"</f>
        <v>2320</v>
      </c>
      <c r="F2161" s="1" t="str">
        <f>"010907816"</f>
        <v>010907816</v>
      </c>
      <c r="G2161" s="1" t="s">
        <v>3645</v>
      </c>
      <c r="H2161" s="1" t="s">
        <v>15</v>
      </c>
      <c r="I2161" s="1" t="str">
        <f>"1"</f>
        <v>1</v>
      </c>
      <c r="J2161" s="3" t="str">
        <f>"27377"</f>
        <v>27377</v>
      </c>
      <c r="K2161" s="4">
        <v>46032</v>
      </c>
      <c r="L2161" s="4">
        <v>46034</v>
      </c>
      <c r="M2161" s="1" t="s">
        <v>4556</v>
      </c>
      <c r="N2161" s="1" t="s">
        <v>7309</v>
      </c>
    </row>
    <row r="2162" spans="1:14" s="1" customFormat="1" x14ac:dyDescent="0.35">
      <c r="A2162" s="1" t="s">
        <v>4492</v>
      </c>
      <c r="B2162" s="1" t="s">
        <v>1516</v>
      </c>
      <c r="C2162" s="1" t="s">
        <v>1651</v>
      </c>
      <c r="D2162" s="1" t="s">
        <v>7308</v>
      </c>
      <c r="E2162" s="1" t="str">
        <f>"2320"</f>
        <v>2320</v>
      </c>
      <c r="F2162" s="1" t="s">
        <v>100</v>
      </c>
      <c r="G2162" s="1" t="s">
        <v>101</v>
      </c>
      <c r="H2162" s="1" t="s">
        <v>15</v>
      </c>
      <c r="I2162" s="1" t="str">
        <f>"1"</f>
        <v>1</v>
      </c>
      <c r="J2162" s="3">
        <v>64133.72</v>
      </c>
      <c r="K2162" s="4">
        <v>46032</v>
      </c>
      <c r="L2162" s="4">
        <v>46034</v>
      </c>
      <c r="M2162" s="1" t="s">
        <v>4556</v>
      </c>
      <c r="N2162" s="1" t="s">
        <v>7307</v>
      </c>
    </row>
    <row r="2163" spans="1:14" s="1" customFormat="1" x14ac:dyDescent="0.35">
      <c r="A2163" s="1" t="s">
        <v>4492</v>
      </c>
      <c r="B2163" s="1" t="s">
        <v>1516</v>
      </c>
      <c r="C2163" s="1" t="s">
        <v>1651</v>
      </c>
      <c r="D2163" s="1" t="s">
        <v>7306</v>
      </c>
      <c r="E2163" s="1" t="str">
        <f>"2340"</f>
        <v>2340</v>
      </c>
      <c r="F2163" s="1" t="s">
        <v>1071</v>
      </c>
      <c r="G2163" s="1" t="s">
        <v>1072</v>
      </c>
      <c r="H2163" s="1" t="s">
        <v>15</v>
      </c>
      <c r="I2163" s="1" t="str">
        <f>"1"</f>
        <v>1</v>
      </c>
      <c r="J2163" s="3" t="str">
        <f>"10000"</f>
        <v>10000</v>
      </c>
      <c r="K2163" s="4">
        <v>46032</v>
      </c>
      <c r="L2163" s="4">
        <v>46070</v>
      </c>
      <c r="M2163" s="1" t="s">
        <v>7305</v>
      </c>
      <c r="N2163" s="1" t="s">
        <v>7304</v>
      </c>
    </row>
    <row r="2164" spans="1:14" s="1" customFormat="1" x14ac:dyDescent="0.35">
      <c r="A2164" s="1" t="s">
        <v>4492</v>
      </c>
      <c r="B2164" s="1" t="s">
        <v>1516</v>
      </c>
      <c r="C2164" s="1" t="s">
        <v>1651</v>
      </c>
      <c r="D2164" s="1" t="s">
        <v>7303</v>
      </c>
      <c r="E2164" s="1" t="str">
        <f>"6115"</f>
        <v>6115</v>
      </c>
      <c r="F2164" s="1" t="s">
        <v>157</v>
      </c>
      <c r="G2164" s="1" t="s">
        <v>158</v>
      </c>
      <c r="H2164" s="1" t="s">
        <v>15</v>
      </c>
      <c r="I2164" s="1" t="str">
        <f>"2"</f>
        <v>2</v>
      </c>
      <c r="J2164" s="3" t="str">
        <f>"1500"</f>
        <v>1500</v>
      </c>
      <c r="K2164" s="4">
        <v>46032</v>
      </c>
      <c r="L2164" s="4">
        <v>46033</v>
      </c>
      <c r="N2164" s="1" t="s">
        <v>1706</v>
      </c>
    </row>
    <row r="2165" spans="1:14" s="1" customFormat="1" x14ac:dyDescent="0.35">
      <c r="A2165" s="1" t="s">
        <v>4492</v>
      </c>
      <c r="B2165" s="1" t="s">
        <v>1516</v>
      </c>
      <c r="C2165" s="1" t="s">
        <v>1651</v>
      </c>
      <c r="D2165" s="1" t="s">
        <v>7302</v>
      </c>
      <c r="E2165" s="1" t="str">
        <f>"6115"</f>
        <v>6115</v>
      </c>
      <c r="F2165" s="1" t="s">
        <v>157</v>
      </c>
      <c r="G2165" s="1" t="s">
        <v>158</v>
      </c>
      <c r="H2165" s="1" t="s">
        <v>15</v>
      </c>
      <c r="I2165" s="1" t="str">
        <f>"2"</f>
        <v>2</v>
      </c>
      <c r="J2165" s="3">
        <v>811.95</v>
      </c>
      <c r="K2165" s="4">
        <v>46032</v>
      </c>
      <c r="L2165" s="4">
        <v>46033</v>
      </c>
      <c r="M2165" s="1" t="s">
        <v>4556</v>
      </c>
      <c r="N2165" s="1" t="s">
        <v>1706</v>
      </c>
    </row>
    <row r="2166" spans="1:14" s="1" customFormat="1" x14ac:dyDescent="0.35">
      <c r="A2166" s="1" t="s">
        <v>4492</v>
      </c>
      <c r="B2166" s="1" t="s">
        <v>1516</v>
      </c>
      <c r="C2166" s="1" t="s">
        <v>1651</v>
      </c>
      <c r="D2166" s="1" t="s">
        <v>7301</v>
      </c>
      <c r="E2166" s="1" t="str">
        <f>"4240"</f>
        <v>4240</v>
      </c>
      <c r="F2166" s="1" t="str">
        <f>"015262395"</f>
        <v>015262395</v>
      </c>
      <c r="G2166" s="1" t="s">
        <v>5523</v>
      </c>
      <c r="H2166" s="1" t="s">
        <v>15</v>
      </c>
      <c r="I2166" s="1" t="str">
        <f>"30"</f>
        <v>30</v>
      </c>
      <c r="J2166" s="3">
        <v>615.77</v>
      </c>
      <c r="K2166" s="4">
        <v>46032</v>
      </c>
      <c r="L2166" s="4">
        <v>46069</v>
      </c>
      <c r="M2166" s="1" t="s">
        <v>7300</v>
      </c>
      <c r="N2166" s="1" t="s">
        <v>7295</v>
      </c>
    </row>
    <row r="2167" spans="1:14" s="1" customFormat="1" x14ac:dyDescent="0.35">
      <c r="A2167" s="1" t="s">
        <v>4492</v>
      </c>
      <c r="B2167" s="1" t="s">
        <v>1516</v>
      </c>
      <c r="C2167" s="1" t="s">
        <v>1651</v>
      </c>
      <c r="D2167" s="1" t="s">
        <v>7299</v>
      </c>
      <c r="E2167" s="1" t="str">
        <f>"4240"</f>
        <v>4240</v>
      </c>
      <c r="F2167" s="1" t="str">
        <f>"015262398"</f>
        <v>015262398</v>
      </c>
      <c r="G2167" s="1" t="s">
        <v>5523</v>
      </c>
      <c r="H2167" s="1" t="s">
        <v>15</v>
      </c>
      <c r="I2167" s="1" t="str">
        <f>"30"</f>
        <v>30</v>
      </c>
      <c r="J2167" s="3">
        <v>511.68</v>
      </c>
      <c r="K2167" s="4">
        <v>46032</v>
      </c>
      <c r="L2167" s="4">
        <v>46069</v>
      </c>
      <c r="M2167" s="1" t="s">
        <v>7298</v>
      </c>
      <c r="N2167" s="1" t="s">
        <v>7295</v>
      </c>
    </row>
    <row r="2168" spans="1:14" s="1" customFormat="1" x14ac:dyDescent="0.35">
      <c r="A2168" s="1" t="s">
        <v>4492</v>
      </c>
      <c r="B2168" s="1" t="s">
        <v>1516</v>
      </c>
      <c r="C2168" s="1" t="s">
        <v>1651</v>
      </c>
      <c r="D2168" s="1" t="s">
        <v>7297</v>
      </c>
      <c r="E2168" s="1" t="str">
        <f>"4240"</f>
        <v>4240</v>
      </c>
      <c r="F2168" s="1" t="str">
        <f>"015262388"</f>
        <v>015262388</v>
      </c>
      <c r="G2168" s="1" t="s">
        <v>5523</v>
      </c>
      <c r="H2168" s="1" t="s">
        <v>15</v>
      </c>
      <c r="I2168" s="1" t="str">
        <f>"13"</f>
        <v>13</v>
      </c>
      <c r="J2168" s="3">
        <v>627.24</v>
      </c>
      <c r="K2168" s="4">
        <v>46032</v>
      </c>
      <c r="L2168" s="4">
        <v>46069</v>
      </c>
      <c r="M2168" s="1" t="s">
        <v>7296</v>
      </c>
      <c r="N2168" s="1" t="s">
        <v>7295</v>
      </c>
    </row>
    <row r="2169" spans="1:14" s="1" customFormat="1" x14ac:dyDescent="0.35">
      <c r="A2169" s="1" t="s">
        <v>4492</v>
      </c>
      <c r="B2169" s="1" t="s">
        <v>1516</v>
      </c>
      <c r="C2169" s="1" t="s">
        <v>1651</v>
      </c>
      <c r="D2169" s="1" t="s">
        <v>7294</v>
      </c>
      <c r="E2169" s="1" t="str">
        <f>"2330"</f>
        <v>2330</v>
      </c>
      <c r="F2169" s="1" t="s">
        <v>104</v>
      </c>
      <c r="G2169" s="1" t="s">
        <v>105</v>
      </c>
      <c r="H2169" s="1" t="s">
        <v>15</v>
      </c>
      <c r="I2169" s="1" t="str">
        <f>"1"</f>
        <v>1</v>
      </c>
      <c r="J2169" s="3" t="str">
        <f>"20000"</f>
        <v>20000</v>
      </c>
      <c r="K2169" s="4">
        <v>46034</v>
      </c>
      <c r="L2169" s="4">
        <v>46036</v>
      </c>
      <c r="M2169" s="1" t="s">
        <v>4556</v>
      </c>
      <c r="N2169" s="1" t="s">
        <v>7290</v>
      </c>
    </row>
    <row r="2170" spans="1:14" s="1" customFormat="1" x14ac:dyDescent="0.35">
      <c r="A2170" s="1" t="s">
        <v>4492</v>
      </c>
      <c r="B2170" s="1" t="s">
        <v>1516</v>
      </c>
      <c r="C2170" s="1" t="s">
        <v>1651</v>
      </c>
      <c r="D2170" s="1" t="s">
        <v>7293</v>
      </c>
      <c r="E2170" s="1" t="str">
        <f>"2330"</f>
        <v>2330</v>
      </c>
      <c r="F2170" s="1" t="s">
        <v>104</v>
      </c>
      <c r="G2170" s="1" t="s">
        <v>105</v>
      </c>
      <c r="H2170" s="1" t="s">
        <v>15</v>
      </c>
      <c r="I2170" s="1" t="str">
        <f>"1"</f>
        <v>1</v>
      </c>
      <c r="J2170" s="3" t="str">
        <f>"15000"</f>
        <v>15000</v>
      </c>
      <c r="K2170" s="4">
        <v>46034</v>
      </c>
      <c r="L2170" s="4">
        <v>46036</v>
      </c>
      <c r="M2170" s="1" t="s">
        <v>4556</v>
      </c>
      <c r="N2170" s="1" t="s">
        <v>7290</v>
      </c>
    </row>
    <row r="2171" spans="1:14" s="1" customFormat="1" x14ac:dyDescent="0.35">
      <c r="A2171" s="1" t="s">
        <v>4492</v>
      </c>
      <c r="B2171" s="1" t="s">
        <v>1516</v>
      </c>
      <c r="C2171" s="1" t="s">
        <v>1651</v>
      </c>
      <c r="D2171" s="1" t="s">
        <v>7292</v>
      </c>
      <c r="E2171" s="1" t="str">
        <f>"2330"</f>
        <v>2330</v>
      </c>
      <c r="F2171" s="1" t="s">
        <v>104</v>
      </c>
      <c r="G2171" s="1" t="s">
        <v>105</v>
      </c>
      <c r="H2171" s="1" t="s">
        <v>15</v>
      </c>
      <c r="I2171" s="1" t="str">
        <f>"1"</f>
        <v>1</v>
      </c>
      <c r="J2171" s="3" t="str">
        <f>"20000"</f>
        <v>20000</v>
      </c>
      <c r="K2171" s="4">
        <v>46034</v>
      </c>
      <c r="L2171" s="4">
        <v>46036</v>
      </c>
      <c r="M2171" s="1" t="s">
        <v>4556</v>
      </c>
      <c r="N2171" s="1" t="s">
        <v>7290</v>
      </c>
    </row>
    <row r="2172" spans="1:14" s="1" customFormat="1" x14ac:dyDescent="0.35">
      <c r="A2172" s="1" t="s">
        <v>4492</v>
      </c>
      <c r="B2172" s="1" t="s">
        <v>1516</v>
      </c>
      <c r="C2172" s="1" t="s">
        <v>1651</v>
      </c>
      <c r="D2172" s="1" t="s">
        <v>7291</v>
      </c>
      <c r="E2172" s="1" t="str">
        <f>"2330"</f>
        <v>2330</v>
      </c>
      <c r="F2172" s="1" t="s">
        <v>104</v>
      </c>
      <c r="G2172" s="1" t="s">
        <v>105</v>
      </c>
      <c r="H2172" s="1" t="s">
        <v>15</v>
      </c>
      <c r="I2172" s="1" t="str">
        <f>"1"</f>
        <v>1</v>
      </c>
      <c r="J2172" s="3" t="str">
        <f>"15000"</f>
        <v>15000</v>
      </c>
      <c r="K2172" s="4">
        <v>46034</v>
      </c>
      <c r="L2172" s="4">
        <v>46036</v>
      </c>
      <c r="M2172" s="1" t="s">
        <v>4556</v>
      </c>
      <c r="N2172" s="1" t="s">
        <v>7290</v>
      </c>
    </row>
    <row r="2173" spans="1:14" s="1" customFormat="1" x14ac:dyDescent="0.35">
      <c r="A2173" s="1" t="s">
        <v>4492</v>
      </c>
      <c r="B2173" s="1" t="s">
        <v>1516</v>
      </c>
      <c r="C2173" s="1" t="s">
        <v>1651</v>
      </c>
      <c r="D2173" s="1" t="s">
        <v>7289</v>
      </c>
      <c r="E2173" s="1" t="str">
        <f>"6230"</f>
        <v>6230</v>
      </c>
      <c r="F2173" s="1" t="s">
        <v>3594</v>
      </c>
      <c r="G2173" s="1" t="s">
        <v>3595</v>
      </c>
      <c r="H2173" s="1" t="s">
        <v>15</v>
      </c>
      <c r="I2173" s="1" t="str">
        <f>"25"</f>
        <v>25</v>
      </c>
      <c r="J2173" s="3" t="str">
        <f>"60"</f>
        <v>60</v>
      </c>
      <c r="K2173" s="4">
        <v>46034</v>
      </c>
      <c r="L2173" s="4">
        <v>46036</v>
      </c>
      <c r="M2173" s="1" t="s">
        <v>4524</v>
      </c>
      <c r="N2173" s="1" t="s">
        <v>7288</v>
      </c>
    </row>
    <row r="2174" spans="1:14" s="1" customFormat="1" x14ac:dyDescent="0.35">
      <c r="A2174" s="1" t="s">
        <v>4492</v>
      </c>
      <c r="B2174" s="1" t="s">
        <v>1516</v>
      </c>
      <c r="C2174" s="1" t="s">
        <v>1651</v>
      </c>
      <c r="D2174" s="1" t="s">
        <v>7287</v>
      </c>
      <c r="E2174" s="1" t="str">
        <f>"5120"</f>
        <v>5120</v>
      </c>
      <c r="F2174" s="1" t="s">
        <v>2758</v>
      </c>
      <c r="G2174" s="1" t="s">
        <v>2759</v>
      </c>
      <c r="H2174" s="1" t="s">
        <v>15</v>
      </c>
      <c r="I2174" s="1" t="str">
        <f>"1"</f>
        <v>1</v>
      </c>
      <c r="J2174" s="3" t="str">
        <f>"200"</f>
        <v>200</v>
      </c>
      <c r="K2174" s="4">
        <v>46045</v>
      </c>
      <c r="L2174" s="4">
        <v>46046</v>
      </c>
      <c r="M2174" s="1" t="s">
        <v>4524</v>
      </c>
      <c r="N2174" s="1" t="s">
        <v>7286</v>
      </c>
    </row>
    <row r="2175" spans="1:14" s="1" customFormat="1" x14ac:dyDescent="0.35">
      <c r="A2175" s="1" t="s">
        <v>4492</v>
      </c>
      <c r="B2175" s="1" t="s">
        <v>1516</v>
      </c>
      <c r="C2175" s="1" t="s">
        <v>1651</v>
      </c>
      <c r="D2175" s="1" t="s">
        <v>7285</v>
      </c>
      <c r="E2175" s="1" t="str">
        <f>"2340"</f>
        <v>2340</v>
      </c>
      <c r="F2175" s="1" t="s">
        <v>179</v>
      </c>
      <c r="G2175" s="1" t="s">
        <v>180</v>
      </c>
      <c r="H2175" s="1" t="s">
        <v>15</v>
      </c>
      <c r="I2175" s="1" t="str">
        <f>"1"</f>
        <v>1</v>
      </c>
      <c r="J2175" s="3" t="str">
        <f>"1500"</f>
        <v>1500</v>
      </c>
      <c r="K2175" s="4">
        <v>46045</v>
      </c>
      <c r="L2175" s="4">
        <v>46046</v>
      </c>
      <c r="M2175" s="1" t="s">
        <v>4524</v>
      </c>
      <c r="N2175" s="1" t="s">
        <v>7284</v>
      </c>
    </row>
    <row r="2176" spans="1:14" s="1" customFormat="1" x14ac:dyDescent="0.35">
      <c r="A2176" s="1" t="s">
        <v>4492</v>
      </c>
      <c r="B2176" s="1" t="s">
        <v>1516</v>
      </c>
      <c r="C2176" s="1" t="s">
        <v>1651</v>
      </c>
      <c r="D2176" s="1" t="s">
        <v>7283</v>
      </c>
      <c r="E2176" s="1" t="str">
        <f>"4520"</f>
        <v>4520</v>
      </c>
      <c r="F2176" s="1" t="str">
        <f>"014318927"</f>
        <v>014318927</v>
      </c>
      <c r="G2176" s="1" t="s">
        <v>138</v>
      </c>
      <c r="H2176" s="1" t="s">
        <v>15</v>
      </c>
      <c r="I2176" s="1" t="str">
        <f>"3"</f>
        <v>3</v>
      </c>
      <c r="J2176" s="3">
        <v>16718.580000000002</v>
      </c>
      <c r="K2176" s="4">
        <v>46045</v>
      </c>
      <c r="L2176" s="4">
        <v>46046</v>
      </c>
      <c r="M2176" s="1" t="s">
        <v>4524</v>
      </c>
      <c r="N2176" s="1" t="s">
        <v>7282</v>
      </c>
    </row>
    <row r="2177" spans="1:14" s="1" customFormat="1" x14ac:dyDescent="0.35">
      <c r="A2177" s="1" t="s">
        <v>4492</v>
      </c>
      <c r="B2177" s="1" t="s">
        <v>1516</v>
      </c>
      <c r="C2177" s="1" t="s">
        <v>1651</v>
      </c>
      <c r="D2177" s="1" t="s">
        <v>7281</v>
      </c>
      <c r="E2177" s="1" t="str">
        <f>"2310"</f>
        <v>2310</v>
      </c>
      <c r="F2177" s="1" t="str">
        <f>"010907741"</f>
        <v>010907741</v>
      </c>
      <c r="G2177" s="1" t="s">
        <v>710</v>
      </c>
      <c r="H2177" s="1" t="s">
        <v>15</v>
      </c>
      <c r="I2177" s="1" t="str">
        <f>"1"</f>
        <v>1</v>
      </c>
      <c r="J2177" s="3" t="str">
        <f>"30027"</f>
        <v>30027</v>
      </c>
      <c r="K2177" s="4">
        <v>46039</v>
      </c>
      <c r="L2177" s="4">
        <v>46055</v>
      </c>
      <c r="M2177" s="1" t="s">
        <v>7280</v>
      </c>
      <c r="N2177" s="1" t="s">
        <v>1658</v>
      </c>
    </row>
    <row r="2178" spans="1:14" s="1" customFormat="1" x14ac:dyDescent="0.35">
      <c r="A2178" s="1" t="s">
        <v>4492</v>
      </c>
      <c r="B2178" s="1" t="s">
        <v>1516</v>
      </c>
      <c r="C2178" s="1" t="s">
        <v>1651</v>
      </c>
      <c r="D2178" s="1" t="s">
        <v>7279</v>
      </c>
      <c r="E2178" s="1" t="str">
        <f>"2310"</f>
        <v>2310</v>
      </c>
      <c r="F2178" s="1" t="str">
        <f>"010907741"</f>
        <v>010907741</v>
      </c>
      <c r="G2178" s="1" t="s">
        <v>710</v>
      </c>
      <c r="H2178" s="1" t="s">
        <v>15</v>
      </c>
      <c r="I2178" s="1" t="str">
        <f>"1"</f>
        <v>1</v>
      </c>
      <c r="J2178" s="3" t="str">
        <f>"30027"</f>
        <v>30027</v>
      </c>
      <c r="K2178" s="4">
        <v>46039</v>
      </c>
      <c r="L2178" s="4">
        <v>46055</v>
      </c>
      <c r="M2178" s="1" t="s">
        <v>7278</v>
      </c>
      <c r="N2178" s="1" t="s">
        <v>1658</v>
      </c>
    </row>
    <row r="2179" spans="1:14" s="1" customFormat="1" x14ac:dyDescent="0.35">
      <c r="A2179" s="1" t="s">
        <v>4492</v>
      </c>
      <c r="B2179" s="1" t="s">
        <v>1516</v>
      </c>
      <c r="C2179" s="1" t="s">
        <v>1651</v>
      </c>
      <c r="D2179" s="1" t="s">
        <v>7277</v>
      </c>
      <c r="E2179" s="1" t="str">
        <f>"2310"</f>
        <v>2310</v>
      </c>
      <c r="F2179" s="1" t="str">
        <f>"010907741"</f>
        <v>010907741</v>
      </c>
      <c r="G2179" s="1" t="s">
        <v>710</v>
      </c>
      <c r="H2179" s="1" t="s">
        <v>15</v>
      </c>
      <c r="I2179" s="1" t="str">
        <f>"1"</f>
        <v>1</v>
      </c>
      <c r="J2179" s="3" t="str">
        <f>"30027"</f>
        <v>30027</v>
      </c>
      <c r="K2179" s="4">
        <v>46039</v>
      </c>
      <c r="L2179" s="4">
        <v>46055</v>
      </c>
      <c r="M2179" s="1" t="s">
        <v>7276</v>
      </c>
      <c r="N2179" s="1" t="s">
        <v>1658</v>
      </c>
    </row>
    <row r="2180" spans="1:14" s="1" customFormat="1" x14ac:dyDescent="0.35">
      <c r="A2180" s="1" t="s">
        <v>4492</v>
      </c>
      <c r="B2180" s="1" t="s">
        <v>1516</v>
      </c>
      <c r="C2180" s="1" t="s">
        <v>1651</v>
      </c>
      <c r="D2180" s="1" t="s">
        <v>7275</v>
      </c>
      <c r="E2180" s="1" t="str">
        <f>"2310"</f>
        <v>2310</v>
      </c>
      <c r="F2180" s="1" t="str">
        <f>"010907741"</f>
        <v>010907741</v>
      </c>
      <c r="G2180" s="1" t="s">
        <v>710</v>
      </c>
      <c r="H2180" s="1" t="s">
        <v>15</v>
      </c>
      <c r="I2180" s="1" t="str">
        <f>"1"</f>
        <v>1</v>
      </c>
      <c r="J2180" s="3" t="str">
        <f>"30027"</f>
        <v>30027</v>
      </c>
      <c r="K2180" s="4">
        <v>46039</v>
      </c>
      <c r="L2180" s="4">
        <v>46055</v>
      </c>
      <c r="M2180" s="1" t="s">
        <v>7274</v>
      </c>
      <c r="N2180" s="1" t="s">
        <v>1658</v>
      </c>
    </row>
    <row r="2181" spans="1:14" s="1" customFormat="1" x14ac:dyDescent="0.35">
      <c r="A2181" s="1" t="s">
        <v>4492</v>
      </c>
      <c r="B2181" s="1" t="s">
        <v>1516</v>
      </c>
      <c r="C2181" s="1" t="s">
        <v>1651</v>
      </c>
      <c r="D2181" s="1" t="s">
        <v>7273</v>
      </c>
      <c r="E2181" s="1" t="str">
        <f>"2310"</f>
        <v>2310</v>
      </c>
      <c r="F2181" s="1" t="str">
        <f>"010907741"</f>
        <v>010907741</v>
      </c>
      <c r="G2181" s="1" t="s">
        <v>710</v>
      </c>
      <c r="H2181" s="1" t="s">
        <v>15</v>
      </c>
      <c r="I2181" s="1" t="str">
        <f>"1"</f>
        <v>1</v>
      </c>
      <c r="J2181" s="3" t="str">
        <f>"30027"</f>
        <v>30027</v>
      </c>
      <c r="K2181" s="4">
        <v>46039</v>
      </c>
      <c r="L2181" s="4">
        <v>46055</v>
      </c>
      <c r="M2181" s="1" t="s">
        <v>7272</v>
      </c>
      <c r="N2181" s="1" t="s">
        <v>1658</v>
      </c>
    </row>
    <row r="2182" spans="1:14" s="1" customFormat="1" x14ac:dyDescent="0.35">
      <c r="A2182" s="1" t="s">
        <v>4492</v>
      </c>
      <c r="B2182" s="1" t="s">
        <v>1516</v>
      </c>
      <c r="C2182" s="1" t="s">
        <v>1651</v>
      </c>
      <c r="D2182" s="1" t="s">
        <v>7271</v>
      </c>
      <c r="E2182" s="1" t="str">
        <f>"2310"</f>
        <v>2310</v>
      </c>
      <c r="F2182" s="1" t="str">
        <f>"010907741"</f>
        <v>010907741</v>
      </c>
      <c r="G2182" s="1" t="s">
        <v>710</v>
      </c>
      <c r="H2182" s="1" t="s">
        <v>15</v>
      </c>
      <c r="I2182" s="1" t="str">
        <f>"1"</f>
        <v>1</v>
      </c>
      <c r="J2182" s="3" t="str">
        <f>"30027"</f>
        <v>30027</v>
      </c>
      <c r="K2182" s="4">
        <v>46039</v>
      </c>
      <c r="L2182" s="4">
        <v>46055</v>
      </c>
      <c r="M2182" s="1" t="s">
        <v>7270</v>
      </c>
      <c r="N2182" s="1" t="s">
        <v>1658</v>
      </c>
    </row>
    <row r="2183" spans="1:14" s="1" customFormat="1" x14ac:dyDescent="0.35">
      <c r="A2183" s="1" t="s">
        <v>4492</v>
      </c>
      <c r="B2183" s="1" t="s">
        <v>1516</v>
      </c>
      <c r="C2183" s="1" t="s">
        <v>1651</v>
      </c>
      <c r="D2183" s="1" t="s">
        <v>7269</v>
      </c>
      <c r="E2183" s="1" t="str">
        <f>"2310"</f>
        <v>2310</v>
      </c>
      <c r="F2183" s="1" t="str">
        <f>"010907741"</f>
        <v>010907741</v>
      </c>
      <c r="G2183" s="1" t="s">
        <v>710</v>
      </c>
      <c r="H2183" s="1" t="s">
        <v>15</v>
      </c>
      <c r="I2183" s="1" t="str">
        <f>"1"</f>
        <v>1</v>
      </c>
      <c r="J2183" s="3" t="str">
        <f>"30027"</f>
        <v>30027</v>
      </c>
      <c r="K2183" s="4">
        <v>46039</v>
      </c>
      <c r="L2183" s="4">
        <v>46055</v>
      </c>
      <c r="M2183" s="1" t="s">
        <v>7268</v>
      </c>
      <c r="N2183" s="1" t="s">
        <v>1658</v>
      </c>
    </row>
    <row r="2184" spans="1:14" s="1" customFormat="1" x14ac:dyDescent="0.35">
      <c r="A2184" s="1" t="s">
        <v>4492</v>
      </c>
      <c r="B2184" s="1" t="s">
        <v>1516</v>
      </c>
      <c r="C2184" s="1" t="s">
        <v>1651</v>
      </c>
      <c r="D2184" s="1" t="s">
        <v>7267</v>
      </c>
      <c r="E2184" s="1" t="str">
        <f>"2310"</f>
        <v>2310</v>
      </c>
      <c r="F2184" s="1" t="str">
        <f>"011232666"</f>
        <v>011232666</v>
      </c>
      <c r="G2184" s="1" t="s">
        <v>2654</v>
      </c>
      <c r="H2184" s="1" t="s">
        <v>15</v>
      </c>
      <c r="I2184" s="1" t="str">
        <f>"1"</f>
        <v>1</v>
      </c>
      <c r="J2184" s="3" t="str">
        <f>"37409"</f>
        <v>37409</v>
      </c>
      <c r="K2184" s="4">
        <v>46039</v>
      </c>
      <c r="L2184" s="4">
        <v>46040</v>
      </c>
      <c r="N2184" s="1" t="s">
        <v>7265</v>
      </c>
    </row>
    <row r="2185" spans="1:14" s="1" customFormat="1" x14ac:dyDescent="0.35">
      <c r="A2185" s="1" t="s">
        <v>4492</v>
      </c>
      <c r="B2185" s="1" t="s">
        <v>1516</v>
      </c>
      <c r="C2185" s="1" t="s">
        <v>1651</v>
      </c>
      <c r="D2185" s="1" t="s">
        <v>7266</v>
      </c>
      <c r="E2185" s="1" t="str">
        <f>"2310"</f>
        <v>2310</v>
      </c>
      <c r="F2185" s="1" t="str">
        <f>"011232666"</f>
        <v>011232666</v>
      </c>
      <c r="G2185" s="1" t="s">
        <v>2654</v>
      </c>
      <c r="H2185" s="1" t="s">
        <v>15</v>
      </c>
      <c r="I2185" s="1" t="str">
        <f>"1"</f>
        <v>1</v>
      </c>
      <c r="J2185" s="3" t="str">
        <f>"37409"</f>
        <v>37409</v>
      </c>
      <c r="K2185" s="4">
        <v>46039</v>
      </c>
      <c r="L2185" s="4">
        <v>46040</v>
      </c>
      <c r="M2185" s="1" t="s">
        <v>4556</v>
      </c>
      <c r="N2185" s="1" t="s">
        <v>7265</v>
      </c>
    </row>
    <row r="2186" spans="1:14" s="1" customFormat="1" x14ac:dyDescent="0.35">
      <c r="A2186" s="1" t="s">
        <v>4492</v>
      </c>
      <c r="B2186" s="1" t="s">
        <v>1516</v>
      </c>
      <c r="C2186" s="1" t="s">
        <v>1651</v>
      </c>
      <c r="D2186" s="1" t="s">
        <v>7264</v>
      </c>
      <c r="E2186" s="1" t="str">
        <f>"2320"</f>
        <v>2320</v>
      </c>
      <c r="F2186" s="1" t="s">
        <v>100</v>
      </c>
      <c r="G2186" s="1" t="s">
        <v>101</v>
      </c>
      <c r="H2186" s="1" t="s">
        <v>15</v>
      </c>
      <c r="I2186" s="1" t="str">
        <f>"1"</f>
        <v>1</v>
      </c>
      <c r="J2186" s="3" t="str">
        <f>"56162"</f>
        <v>56162</v>
      </c>
      <c r="K2186" s="4">
        <v>46039</v>
      </c>
      <c r="L2186" s="4">
        <v>46045</v>
      </c>
      <c r="M2186" s="1" t="s">
        <v>7263</v>
      </c>
      <c r="N2186" s="1" t="s">
        <v>7262</v>
      </c>
    </row>
    <row r="2187" spans="1:14" s="1" customFormat="1" x14ac:dyDescent="0.35">
      <c r="A2187" s="1" t="s">
        <v>4492</v>
      </c>
      <c r="B2187" s="1" t="s">
        <v>1516</v>
      </c>
      <c r="C2187" s="1" t="s">
        <v>1651</v>
      </c>
      <c r="D2187" s="1" t="s">
        <v>7261</v>
      </c>
      <c r="E2187" s="1" t="str">
        <f>"2320"</f>
        <v>2320</v>
      </c>
      <c r="F2187" s="1" t="str">
        <f>"011950532"</f>
        <v>011950532</v>
      </c>
      <c r="G2187" s="1" t="s">
        <v>1306</v>
      </c>
      <c r="H2187" s="1" t="s">
        <v>15</v>
      </c>
      <c r="I2187" s="1" t="str">
        <f>"1"</f>
        <v>1</v>
      </c>
      <c r="J2187" s="3" t="str">
        <f>"110910"</f>
        <v>110910</v>
      </c>
      <c r="K2187" s="4">
        <v>46039</v>
      </c>
      <c r="L2187" s="4">
        <v>46040</v>
      </c>
      <c r="M2187" s="1" t="s">
        <v>4556</v>
      </c>
      <c r="N2187" s="1" t="s">
        <v>7260</v>
      </c>
    </row>
    <row r="2188" spans="1:14" s="1" customFormat="1" x14ac:dyDescent="0.35">
      <c r="A2188" s="1" t="s">
        <v>4492</v>
      </c>
      <c r="B2188" s="1" t="s">
        <v>1516</v>
      </c>
      <c r="C2188" s="1" t="s">
        <v>1651</v>
      </c>
      <c r="D2188" s="1" t="s">
        <v>7259</v>
      </c>
      <c r="E2188" s="1" t="str">
        <f>"2320"</f>
        <v>2320</v>
      </c>
      <c r="F2188" s="1" t="str">
        <f>"011513177"</f>
        <v>011513177</v>
      </c>
      <c r="G2188" s="1" t="s">
        <v>1765</v>
      </c>
      <c r="H2188" s="1" t="s">
        <v>15</v>
      </c>
      <c r="I2188" s="1" t="str">
        <f>"1"</f>
        <v>1</v>
      </c>
      <c r="J2188" s="3" t="str">
        <f>"29693"</f>
        <v>29693</v>
      </c>
      <c r="K2188" s="4">
        <v>46039</v>
      </c>
      <c r="L2188" s="4">
        <v>46055</v>
      </c>
      <c r="M2188" s="1" t="s">
        <v>7258</v>
      </c>
      <c r="N2188" s="1" t="s">
        <v>7257</v>
      </c>
    </row>
    <row r="2189" spans="1:14" s="1" customFormat="1" x14ac:dyDescent="0.35">
      <c r="A2189" s="1" t="s">
        <v>4492</v>
      </c>
      <c r="B2189" s="1" t="s">
        <v>1516</v>
      </c>
      <c r="C2189" s="1" t="s">
        <v>1651</v>
      </c>
      <c r="D2189" s="1" t="s">
        <v>7256</v>
      </c>
      <c r="E2189" s="1" t="str">
        <f>"2320"</f>
        <v>2320</v>
      </c>
      <c r="F2189" s="1" t="s">
        <v>100</v>
      </c>
      <c r="G2189" s="1" t="s">
        <v>101</v>
      </c>
      <c r="H2189" s="1" t="s">
        <v>15</v>
      </c>
      <c r="I2189" s="1" t="str">
        <f>"1"</f>
        <v>1</v>
      </c>
      <c r="J2189" s="3" t="str">
        <f>"56163"</f>
        <v>56163</v>
      </c>
      <c r="K2189" s="4">
        <v>46039</v>
      </c>
      <c r="L2189" s="4">
        <v>46055</v>
      </c>
      <c r="M2189" s="1" t="s">
        <v>7255</v>
      </c>
      <c r="N2189" s="1" t="s">
        <v>7254</v>
      </c>
    </row>
    <row r="2190" spans="1:14" s="1" customFormat="1" x14ac:dyDescent="0.35">
      <c r="A2190" s="1" t="s">
        <v>4492</v>
      </c>
      <c r="B2190" s="1" t="s">
        <v>1516</v>
      </c>
      <c r="C2190" s="1" t="s">
        <v>1651</v>
      </c>
      <c r="D2190" s="1" t="s">
        <v>7253</v>
      </c>
      <c r="E2190" s="1" t="str">
        <f>"2310"</f>
        <v>2310</v>
      </c>
      <c r="F2190" s="1" t="str">
        <f>"014998019"</f>
        <v>014998019</v>
      </c>
      <c r="G2190" s="1" t="s">
        <v>4671</v>
      </c>
      <c r="H2190" s="1" t="s">
        <v>15</v>
      </c>
      <c r="I2190" s="1" t="str">
        <f>"1"</f>
        <v>1</v>
      </c>
      <c r="J2190" s="3" t="str">
        <f>"165000"</f>
        <v>165000</v>
      </c>
      <c r="K2190" s="4">
        <v>46043</v>
      </c>
      <c r="L2190" s="4">
        <v>46055</v>
      </c>
      <c r="M2190" s="1" t="s">
        <v>7252</v>
      </c>
      <c r="N2190" s="1" t="s">
        <v>7251</v>
      </c>
    </row>
    <row r="2191" spans="1:14" s="1" customFormat="1" x14ac:dyDescent="0.35">
      <c r="A2191" s="1" t="s">
        <v>4492</v>
      </c>
      <c r="B2191" s="1" t="s">
        <v>1516</v>
      </c>
      <c r="C2191" s="1" t="s">
        <v>1651</v>
      </c>
      <c r="D2191" s="1" t="s">
        <v>7250</v>
      </c>
      <c r="E2191" s="1" t="str">
        <f>"6910"</f>
        <v>6910</v>
      </c>
      <c r="F2191" s="1" t="s">
        <v>647</v>
      </c>
      <c r="G2191" s="1" t="s">
        <v>648</v>
      </c>
      <c r="H2191" s="1" t="s">
        <v>15</v>
      </c>
      <c r="I2191" s="1" t="str">
        <f>"1"</f>
        <v>1</v>
      </c>
      <c r="J2191" s="3" t="str">
        <f>"150"</f>
        <v>150</v>
      </c>
      <c r="K2191" s="4">
        <v>46051</v>
      </c>
      <c r="L2191" s="4">
        <v>46069</v>
      </c>
      <c r="M2191" s="1" t="s">
        <v>7249</v>
      </c>
      <c r="N2191" s="1" t="s">
        <v>7248</v>
      </c>
    </row>
    <row r="2192" spans="1:14" s="1" customFormat="1" x14ac:dyDescent="0.35">
      <c r="A2192" s="1" t="s">
        <v>4492</v>
      </c>
      <c r="B2192" s="1" t="s">
        <v>1516</v>
      </c>
      <c r="C2192" s="1" t="s">
        <v>1651</v>
      </c>
      <c r="D2192" s="1" t="s">
        <v>7247</v>
      </c>
      <c r="E2192" s="1" t="str">
        <f>"2310"</f>
        <v>2310</v>
      </c>
      <c r="F2192" s="1" t="str">
        <f>"010907741"</f>
        <v>010907741</v>
      </c>
      <c r="G2192" s="1" t="s">
        <v>710</v>
      </c>
      <c r="H2192" s="1" t="s">
        <v>15</v>
      </c>
      <c r="I2192" s="1" t="str">
        <f>"1"</f>
        <v>1</v>
      </c>
      <c r="J2192" s="3" t="str">
        <f>"30027"</f>
        <v>30027</v>
      </c>
      <c r="K2192" s="4">
        <v>46071</v>
      </c>
      <c r="L2192" s="4">
        <v>46072</v>
      </c>
      <c r="M2192" s="1" t="s">
        <v>4524</v>
      </c>
      <c r="N2192" s="1" t="s">
        <v>7246</v>
      </c>
    </row>
    <row r="2193" spans="1:14" s="1" customFormat="1" x14ac:dyDescent="0.35">
      <c r="A2193" s="1" t="s">
        <v>4492</v>
      </c>
      <c r="B2193" s="1" t="s">
        <v>1516</v>
      </c>
      <c r="C2193" s="1" t="s">
        <v>1651</v>
      </c>
      <c r="D2193" s="1" t="s">
        <v>7245</v>
      </c>
      <c r="E2193" s="1" t="str">
        <f>"2805"</f>
        <v>2805</v>
      </c>
      <c r="F2193" s="1" t="str">
        <f>"016279670"</f>
        <v>016279670</v>
      </c>
      <c r="G2193" s="1" t="s">
        <v>4158</v>
      </c>
      <c r="H2193" s="1" t="s">
        <v>15</v>
      </c>
      <c r="I2193" s="1" t="str">
        <f>"1"</f>
        <v>1</v>
      </c>
      <c r="J2193" s="3" t="str">
        <f>"14944"</f>
        <v>14944</v>
      </c>
      <c r="K2193" s="4">
        <v>46046</v>
      </c>
      <c r="L2193" s="4">
        <v>46047</v>
      </c>
      <c r="M2193" s="1" t="s">
        <v>4556</v>
      </c>
      <c r="N2193" s="1" t="s">
        <v>7239</v>
      </c>
    </row>
    <row r="2194" spans="1:14" s="1" customFormat="1" x14ac:dyDescent="0.35">
      <c r="A2194" s="1" t="s">
        <v>4492</v>
      </c>
      <c r="B2194" s="1" t="s">
        <v>1516</v>
      </c>
      <c r="C2194" s="1" t="s">
        <v>1651</v>
      </c>
      <c r="D2194" s="1" t="s">
        <v>7244</v>
      </c>
      <c r="E2194" s="1" t="str">
        <f>"2805"</f>
        <v>2805</v>
      </c>
      <c r="F2194" s="1" t="str">
        <f>"016279670"</f>
        <v>016279670</v>
      </c>
      <c r="G2194" s="1" t="s">
        <v>4158</v>
      </c>
      <c r="H2194" s="1" t="s">
        <v>15</v>
      </c>
      <c r="I2194" s="1" t="str">
        <f>"1"</f>
        <v>1</v>
      </c>
      <c r="J2194" s="3" t="str">
        <f>"14944"</f>
        <v>14944</v>
      </c>
      <c r="K2194" s="4">
        <v>46046</v>
      </c>
      <c r="L2194" s="4">
        <v>46047</v>
      </c>
      <c r="M2194" s="1" t="s">
        <v>4556</v>
      </c>
      <c r="N2194" s="1" t="s">
        <v>7239</v>
      </c>
    </row>
    <row r="2195" spans="1:14" s="1" customFormat="1" x14ac:dyDescent="0.35">
      <c r="A2195" s="1" t="s">
        <v>4492</v>
      </c>
      <c r="B2195" s="1" t="s">
        <v>1516</v>
      </c>
      <c r="C2195" s="1" t="s">
        <v>1651</v>
      </c>
      <c r="D2195" s="1" t="s">
        <v>7243</v>
      </c>
      <c r="E2195" s="1" t="str">
        <f>"2805"</f>
        <v>2805</v>
      </c>
      <c r="F2195" s="1" t="str">
        <f>"016279670"</f>
        <v>016279670</v>
      </c>
      <c r="G2195" s="1" t="s">
        <v>4158</v>
      </c>
      <c r="H2195" s="1" t="s">
        <v>15</v>
      </c>
      <c r="I2195" s="1" t="str">
        <f>"1"</f>
        <v>1</v>
      </c>
      <c r="J2195" s="3" t="str">
        <f>"14944"</f>
        <v>14944</v>
      </c>
      <c r="K2195" s="4">
        <v>46046</v>
      </c>
      <c r="L2195" s="4">
        <v>46047</v>
      </c>
      <c r="M2195" s="1" t="s">
        <v>4556</v>
      </c>
      <c r="N2195" s="1" t="s">
        <v>7239</v>
      </c>
    </row>
    <row r="2196" spans="1:14" s="1" customFormat="1" x14ac:dyDescent="0.35">
      <c r="A2196" s="1" t="s">
        <v>4492</v>
      </c>
      <c r="B2196" s="1" t="s">
        <v>1516</v>
      </c>
      <c r="C2196" s="1" t="s">
        <v>1651</v>
      </c>
      <c r="D2196" s="1" t="s">
        <v>7242</v>
      </c>
      <c r="E2196" s="1" t="str">
        <f>"2805"</f>
        <v>2805</v>
      </c>
      <c r="F2196" s="1" t="str">
        <f>"016279670"</f>
        <v>016279670</v>
      </c>
      <c r="G2196" s="1" t="s">
        <v>4158</v>
      </c>
      <c r="H2196" s="1" t="s">
        <v>15</v>
      </c>
      <c r="I2196" s="1" t="str">
        <f>"1"</f>
        <v>1</v>
      </c>
      <c r="J2196" s="3" t="str">
        <f>"14944"</f>
        <v>14944</v>
      </c>
      <c r="K2196" s="4">
        <v>46046</v>
      </c>
      <c r="L2196" s="4">
        <v>46047</v>
      </c>
      <c r="M2196" s="1" t="s">
        <v>4556</v>
      </c>
      <c r="N2196" s="1" t="s">
        <v>7239</v>
      </c>
    </row>
    <row r="2197" spans="1:14" s="1" customFormat="1" x14ac:dyDescent="0.35">
      <c r="A2197" s="1" t="s">
        <v>4492</v>
      </c>
      <c r="B2197" s="1" t="s">
        <v>1516</v>
      </c>
      <c r="C2197" s="1" t="s">
        <v>1651</v>
      </c>
      <c r="D2197" s="1" t="s">
        <v>7241</v>
      </c>
      <c r="E2197" s="1" t="str">
        <f>"2805"</f>
        <v>2805</v>
      </c>
      <c r="F2197" s="1" t="str">
        <f>"016279670"</f>
        <v>016279670</v>
      </c>
      <c r="G2197" s="1" t="s">
        <v>4158</v>
      </c>
      <c r="H2197" s="1" t="s">
        <v>15</v>
      </c>
      <c r="I2197" s="1" t="str">
        <f>"1"</f>
        <v>1</v>
      </c>
      <c r="J2197" s="3" t="str">
        <f>"14944"</f>
        <v>14944</v>
      </c>
      <c r="K2197" s="4">
        <v>46046</v>
      </c>
      <c r="L2197" s="4">
        <v>46047</v>
      </c>
      <c r="M2197" s="1" t="s">
        <v>4556</v>
      </c>
      <c r="N2197" s="1" t="s">
        <v>7239</v>
      </c>
    </row>
    <row r="2198" spans="1:14" s="1" customFormat="1" x14ac:dyDescent="0.35">
      <c r="A2198" s="1" t="s">
        <v>4492</v>
      </c>
      <c r="B2198" s="1" t="s">
        <v>1516</v>
      </c>
      <c r="C2198" s="1" t="s">
        <v>1651</v>
      </c>
      <c r="D2198" s="1" t="s">
        <v>7240</v>
      </c>
      <c r="E2198" s="1" t="str">
        <f>"2805"</f>
        <v>2805</v>
      </c>
      <c r="F2198" s="1" t="str">
        <f>"016279670"</f>
        <v>016279670</v>
      </c>
      <c r="G2198" s="1" t="s">
        <v>4158</v>
      </c>
      <c r="H2198" s="1" t="s">
        <v>15</v>
      </c>
      <c r="I2198" s="1" t="str">
        <f>"1"</f>
        <v>1</v>
      </c>
      <c r="J2198" s="3" t="str">
        <f>"14944"</f>
        <v>14944</v>
      </c>
      <c r="K2198" s="4">
        <v>46046</v>
      </c>
      <c r="L2198" s="4">
        <v>46047</v>
      </c>
      <c r="M2198" s="1" t="s">
        <v>4556</v>
      </c>
      <c r="N2198" s="1" t="s">
        <v>7239</v>
      </c>
    </row>
    <row r="2199" spans="1:14" s="1" customFormat="1" x14ac:dyDescent="0.35">
      <c r="A2199" s="1" t="s">
        <v>4492</v>
      </c>
      <c r="B2199" s="1" t="s">
        <v>1516</v>
      </c>
      <c r="C2199" s="1" t="s">
        <v>1651</v>
      </c>
      <c r="D2199" s="1" t="s">
        <v>7238</v>
      </c>
      <c r="E2199" s="1" t="str">
        <f>"4240"</f>
        <v>4240</v>
      </c>
      <c r="F2199" s="1" t="str">
        <f>"015635699"</f>
        <v>015635699</v>
      </c>
      <c r="G2199" s="1" t="s">
        <v>5032</v>
      </c>
      <c r="H2199" s="1" t="s">
        <v>15</v>
      </c>
      <c r="I2199" s="1" t="str">
        <f>"54"</f>
        <v>54</v>
      </c>
      <c r="J2199" s="3" t="str">
        <f>"55"</f>
        <v>55</v>
      </c>
      <c r="K2199" s="4">
        <v>46048</v>
      </c>
      <c r="L2199" s="4">
        <v>46060</v>
      </c>
      <c r="M2199" s="1" t="s">
        <v>7237</v>
      </c>
      <c r="N2199" s="1" t="s">
        <v>7236</v>
      </c>
    </row>
    <row r="2200" spans="1:14" s="1" customFormat="1" x14ac:dyDescent="0.35">
      <c r="A2200" s="1" t="s">
        <v>4492</v>
      </c>
      <c r="B2200" s="1" t="s">
        <v>1516</v>
      </c>
      <c r="C2200" s="1" t="s">
        <v>1651</v>
      </c>
      <c r="D2200" s="1" t="s">
        <v>7235</v>
      </c>
      <c r="E2200" s="1" t="str">
        <f>"4240"</f>
        <v>4240</v>
      </c>
      <c r="F2200" s="1" t="str">
        <f>"015641173"</f>
        <v>015641173</v>
      </c>
      <c r="G2200" s="1" t="s">
        <v>2448</v>
      </c>
      <c r="H2200" s="1" t="s">
        <v>15</v>
      </c>
      <c r="I2200" s="1" t="str">
        <f>"54"</f>
        <v>54</v>
      </c>
      <c r="J2200" s="3">
        <v>26.59</v>
      </c>
      <c r="K2200" s="4">
        <v>46048</v>
      </c>
      <c r="L2200" s="4">
        <v>46062</v>
      </c>
      <c r="M2200" s="1" t="s">
        <v>7234</v>
      </c>
      <c r="N2200" s="1" t="s">
        <v>7233</v>
      </c>
    </row>
    <row r="2201" spans="1:14" s="1" customFormat="1" x14ac:dyDescent="0.35">
      <c r="A2201" s="1" t="s">
        <v>4492</v>
      </c>
      <c r="B2201" s="1" t="s">
        <v>1516</v>
      </c>
      <c r="C2201" s="1" t="s">
        <v>1651</v>
      </c>
      <c r="D2201" s="1" t="s">
        <v>7232</v>
      </c>
      <c r="E2201" s="1" t="str">
        <f>"4240"</f>
        <v>4240</v>
      </c>
      <c r="F2201" s="1" t="str">
        <f>"015641174"</f>
        <v>015641174</v>
      </c>
      <c r="G2201" s="1" t="s">
        <v>2422</v>
      </c>
      <c r="H2201" s="1" t="s">
        <v>15</v>
      </c>
      <c r="I2201" s="1" t="str">
        <f>"54"</f>
        <v>54</v>
      </c>
      <c r="J2201" s="3">
        <v>26.59</v>
      </c>
      <c r="K2201" s="4">
        <v>46048</v>
      </c>
      <c r="L2201" s="4">
        <v>46062</v>
      </c>
      <c r="M2201" s="1" t="s">
        <v>7231</v>
      </c>
      <c r="N2201" s="1" t="s">
        <v>7230</v>
      </c>
    </row>
    <row r="2202" spans="1:14" s="1" customFormat="1" x14ac:dyDescent="0.35">
      <c r="A2202" s="1" t="s">
        <v>4492</v>
      </c>
      <c r="B2202" s="1" t="s">
        <v>1516</v>
      </c>
      <c r="C2202" s="1" t="s">
        <v>1651</v>
      </c>
      <c r="D2202" s="1" t="s">
        <v>7229</v>
      </c>
      <c r="E2202" s="1" t="str">
        <f>"4240"</f>
        <v>4240</v>
      </c>
      <c r="F2202" s="1" t="str">
        <f>"015641175"</f>
        <v>015641175</v>
      </c>
      <c r="G2202" s="1" t="s">
        <v>2425</v>
      </c>
      <c r="H2202" s="1" t="s">
        <v>168</v>
      </c>
      <c r="I2202" s="1" t="str">
        <f>"54"</f>
        <v>54</v>
      </c>
      <c r="J2202" s="3" t="str">
        <f>"15"</f>
        <v>15</v>
      </c>
      <c r="K2202" s="4">
        <v>46048</v>
      </c>
      <c r="L2202" s="4">
        <v>46062</v>
      </c>
      <c r="M2202" s="1" t="s">
        <v>7228</v>
      </c>
      <c r="N2202" s="1" t="s">
        <v>7227</v>
      </c>
    </row>
    <row r="2203" spans="1:14" s="1" customFormat="1" x14ac:dyDescent="0.35">
      <c r="A2203" s="1" t="s">
        <v>4492</v>
      </c>
      <c r="B2203" s="1" t="s">
        <v>1516</v>
      </c>
      <c r="C2203" s="1" t="s">
        <v>1651</v>
      </c>
      <c r="D2203" s="1" t="s">
        <v>7226</v>
      </c>
      <c r="E2203" s="1" t="str">
        <f>"5855"</f>
        <v>5855</v>
      </c>
      <c r="F2203" s="1" t="s">
        <v>7225</v>
      </c>
      <c r="G2203" s="1" t="s">
        <v>7224</v>
      </c>
      <c r="H2203" s="1" t="s">
        <v>15</v>
      </c>
      <c r="I2203" s="1" t="str">
        <f>"1"</f>
        <v>1</v>
      </c>
      <c r="J2203" s="3" t="str">
        <f>"400"</f>
        <v>400</v>
      </c>
      <c r="K2203" s="4">
        <v>46051</v>
      </c>
      <c r="L2203" s="4">
        <v>46069</v>
      </c>
      <c r="M2203" s="1" t="s">
        <v>7223</v>
      </c>
      <c r="N2203" s="1" t="s">
        <v>7222</v>
      </c>
    </row>
    <row r="2204" spans="1:14" s="1" customFormat="1" x14ac:dyDescent="0.35">
      <c r="A2204" s="1" t="s">
        <v>4492</v>
      </c>
      <c r="B2204" s="1" t="s">
        <v>1516</v>
      </c>
      <c r="C2204" s="1" t="s">
        <v>1651</v>
      </c>
      <c r="D2204" s="1" t="s">
        <v>7221</v>
      </c>
      <c r="E2204" s="1" t="str">
        <f>"2320"</f>
        <v>2320</v>
      </c>
      <c r="F2204" s="1" t="s">
        <v>4526</v>
      </c>
      <c r="G2204" s="1" t="s">
        <v>4525</v>
      </c>
      <c r="H2204" s="1" t="s">
        <v>15</v>
      </c>
      <c r="I2204" s="1" t="str">
        <f>"1"</f>
        <v>1</v>
      </c>
      <c r="J2204" s="3">
        <v>610434.26</v>
      </c>
      <c r="K2204" s="4">
        <v>46055</v>
      </c>
      <c r="L2204" s="4">
        <v>46056</v>
      </c>
      <c r="M2204" s="1" t="s">
        <v>4524</v>
      </c>
      <c r="N2204" s="1" t="s">
        <v>7220</v>
      </c>
    </row>
    <row r="2205" spans="1:14" s="1" customFormat="1" x14ac:dyDescent="0.35">
      <c r="A2205" s="1" t="s">
        <v>4492</v>
      </c>
      <c r="B2205" s="1" t="s">
        <v>1516</v>
      </c>
      <c r="C2205" s="1" t="s">
        <v>1651</v>
      </c>
      <c r="D2205" s="1" t="s">
        <v>7219</v>
      </c>
      <c r="E2205" s="1" t="str">
        <f>"2310"</f>
        <v>2310</v>
      </c>
      <c r="F2205" s="1" t="str">
        <f>"010907739"</f>
        <v>010907739</v>
      </c>
      <c r="G2205" s="1" t="s">
        <v>710</v>
      </c>
      <c r="H2205" s="1" t="s">
        <v>15</v>
      </c>
      <c r="I2205" s="1" t="str">
        <f>"1"</f>
        <v>1</v>
      </c>
      <c r="J2205" s="3" t="str">
        <f>"9176"</f>
        <v>9176</v>
      </c>
      <c r="K2205" s="4">
        <v>46055</v>
      </c>
      <c r="L2205" s="4">
        <v>46056</v>
      </c>
      <c r="M2205" s="1" t="s">
        <v>4556</v>
      </c>
      <c r="N2205" s="1" t="s">
        <v>7217</v>
      </c>
    </row>
    <row r="2206" spans="1:14" s="1" customFormat="1" x14ac:dyDescent="0.35">
      <c r="A2206" s="1" t="s">
        <v>4492</v>
      </c>
      <c r="B2206" s="1" t="s">
        <v>1516</v>
      </c>
      <c r="C2206" s="1" t="s">
        <v>1651</v>
      </c>
      <c r="D2206" s="1" t="s">
        <v>7218</v>
      </c>
      <c r="E2206" s="1" t="str">
        <f>"2310"</f>
        <v>2310</v>
      </c>
      <c r="F2206" s="1" t="str">
        <f>"010907739"</f>
        <v>010907739</v>
      </c>
      <c r="G2206" s="1" t="s">
        <v>710</v>
      </c>
      <c r="H2206" s="1" t="s">
        <v>15</v>
      </c>
      <c r="I2206" s="1" t="str">
        <f>"1"</f>
        <v>1</v>
      </c>
      <c r="J2206" s="3" t="str">
        <f>"9176"</f>
        <v>9176</v>
      </c>
      <c r="K2206" s="4">
        <v>46055</v>
      </c>
      <c r="L2206" s="4">
        <v>46056</v>
      </c>
      <c r="M2206" s="1" t="s">
        <v>4556</v>
      </c>
      <c r="N2206" s="1" t="s">
        <v>7217</v>
      </c>
    </row>
    <row r="2207" spans="1:14" s="1" customFormat="1" x14ac:dyDescent="0.35">
      <c r="A2207" s="1" t="s">
        <v>4492</v>
      </c>
      <c r="B2207" s="1" t="s">
        <v>1516</v>
      </c>
      <c r="C2207" s="1" t="s">
        <v>1651</v>
      </c>
      <c r="D2207" s="1" t="s">
        <v>7216</v>
      </c>
      <c r="E2207" s="1" t="str">
        <f>"6720"</f>
        <v>6720</v>
      </c>
      <c r="F2207" s="1" t="str">
        <f>"016877421"</f>
        <v>016877421</v>
      </c>
      <c r="G2207" s="1" t="s">
        <v>1725</v>
      </c>
      <c r="H2207" s="1" t="s">
        <v>15</v>
      </c>
      <c r="I2207" s="1" t="str">
        <f>"20"</f>
        <v>20</v>
      </c>
      <c r="J2207" s="3">
        <v>10613.84</v>
      </c>
      <c r="K2207" s="4">
        <v>46060</v>
      </c>
      <c r="L2207" s="4">
        <v>46097</v>
      </c>
      <c r="M2207" s="1" t="s">
        <v>7215</v>
      </c>
      <c r="N2207" s="1" t="s">
        <v>7214</v>
      </c>
    </row>
    <row r="2208" spans="1:14" s="1" customFormat="1" x14ac:dyDescent="0.35">
      <c r="A2208" s="1" t="s">
        <v>4492</v>
      </c>
      <c r="B2208" s="1" t="s">
        <v>1516</v>
      </c>
      <c r="C2208" s="1" t="s">
        <v>1651</v>
      </c>
      <c r="D2208" s="1" t="s">
        <v>7213</v>
      </c>
      <c r="E2208" s="1" t="str">
        <f>"8145"</f>
        <v>8145</v>
      </c>
      <c r="F2208" s="1" t="str">
        <f>"014654199"</f>
        <v>014654199</v>
      </c>
      <c r="G2208" s="1" t="s">
        <v>753</v>
      </c>
      <c r="H2208" s="1" t="s">
        <v>15</v>
      </c>
      <c r="I2208" s="1" t="str">
        <f>"1"</f>
        <v>1</v>
      </c>
      <c r="J2208" s="3">
        <v>17779.66</v>
      </c>
      <c r="K2208" s="4">
        <v>46061</v>
      </c>
      <c r="L2208" s="4">
        <v>46087</v>
      </c>
      <c r="M2208" s="1" t="s">
        <v>7212</v>
      </c>
      <c r="N2208" s="1" t="s">
        <v>7211</v>
      </c>
    </row>
    <row r="2209" spans="1:14" s="1" customFormat="1" x14ac:dyDescent="0.35">
      <c r="A2209" s="1" t="s">
        <v>4492</v>
      </c>
      <c r="B2209" s="1" t="s">
        <v>1516</v>
      </c>
      <c r="C2209" s="1" t="s">
        <v>1651</v>
      </c>
      <c r="D2209" s="1" t="s">
        <v>7210</v>
      </c>
      <c r="E2209" s="1" t="str">
        <f>"1367"</f>
        <v>1367</v>
      </c>
      <c r="F2209" s="1" t="str">
        <f>"015615278"</f>
        <v>015615278</v>
      </c>
      <c r="G2209" s="1" t="s">
        <v>7209</v>
      </c>
      <c r="H2209" s="1" t="s">
        <v>15</v>
      </c>
      <c r="I2209" s="1" t="str">
        <f>"1"</f>
        <v>1</v>
      </c>
      <c r="J2209" s="3" t="str">
        <f>"424403"</f>
        <v>424403</v>
      </c>
      <c r="K2209" s="4">
        <v>46033</v>
      </c>
      <c r="L2209" s="4">
        <v>46087</v>
      </c>
      <c r="M2209" s="1" t="s">
        <v>7208</v>
      </c>
      <c r="N2209" s="1" t="s">
        <v>7207</v>
      </c>
    </row>
    <row r="2210" spans="1:14" s="1" customFormat="1" x14ac:dyDescent="0.35">
      <c r="A2210" s="1" t="s">
        <v>4492</v>
      </c>
      <c r="B2210" s="1" t="s">
        <v>1516</v>
      </c>
      <c r="C2210" s="1" t="s">
        <v>1651</v>
      </c>
      <c r="D2210" s="1" t="s">
        <v>7206</v>
      </c>
      <c r="E2210" s="1" t="str">
        <f>"2340"</f>
        <v>2340</v>
      </c>
      <c r="F2210" s="1" t="s">
        <v>179</v>
      </c>
      <c r="G2210" s="1" t="s">
        <v>180</v>
      </c>
      <c r="H2210" s="1" t="s">
        <v>15</v>
      </c>
      <c r="I2210" s="1" t="str">
        <f>"1"</f>
        <v>1</v>
      </c>
      <c r="J2210" s="3" t="str">
        <f>"6600"</f>
        <v>6600</v>
      </c>
      <c r="K2210" s="4">
        <v>46060</v>
      </c>
      <c r="L2210" s="4">
        <v>46064</v>
      </c>
      <c r="M2210" s="1" t="s">
        <v>7205</v>
      </c>
      <c r="N2210" s="1" t="s">
        <v>7204</v>
      </c>
    </row>
    <row r="2211" spans="1:14" s="1" customFormat="1" x14ac:dyDescent="0.35">
      <c r="A2211" s="1" t="s">
        <v>4492</v>
      </c>
      <c r="B2211" s="1" t="s">
        <v>1516</v>
      </c>
      <c r="C2211" s="1" t="s">
        <v>1651</v>
      </c>
      <c r="D2211" s="1" t="s">
        <v>7203</v>
      </c>
      <c r="E2211" s="1" t="str">
        <f>"2340"</f>
        <v>2340</v>
      </c>
      <c r="F2211" s="1" t="s">
        <v>179</v>
      </c>
      <c r="G2211" s="1" t="s">
        <v>180</v>
      </c>
      <c r="H2211" s="1" t="s">
        <v>15</v>
      </c>
      <c r="I2211" s="1" t="str">
        <f>"2"</f>
        <v>2</v>
      </c>
      <c r="J2211" s="3" t="str">
        <f>"6600"</f>
        <v>6600</v>
      </c>
      <c r="K2211" s="4">
        <v>46060</v>
      </c>
      <c r="L2211" s="4">
        <v>46064</v>
      </c>
      <c r="M2211" s="1" t="s">
        <v>7202</v>
      </c>
      <c r="N2211" s="1" t="s">
        <v>7201</v>
      </c>
    </row>
    <row r="2212" spans="1:14" s="1" customFormat="1" x14ac:dyDescent="0.35">
      <c r="A2212" s="1" t="s">
        <v>4492</v>
      </c>
      <c r="B2212" s="1" t="s">
        <v>1516</v>
      </c>
      <c r="C2212" s="1" t="s">
        <v>1651</v>
      </c>
      <c r="D2212" s="1" t="s">
        <v>7200</v>
      </c>
      <c r="E2212" s="1" t="str">
        <f>"2320"</f>
        <v>2320</v>
      </c>
      <c r="F2212" s="1" t="str">
        <f>"013477645"</f>
        <v>013477645</v>
      </c>
      <c r="G2212" s="1" t="s">
        <v>1147</v>
      </c>
      <c r="H2212" s="1" t="s">
        <v>15</v>
      </c>
      <c r="I2212" s="1" t="str">
        <f>"1"</f>
        <v>1</v>
      </c>
      <c r="J2212" s="3" t="str">
        <f>"350000"</f>
        <v>350000</v>
      </c>
      <c r="K2212" s="4">
        <v>46071</v>
      </c>
      <c r="L2212" s="4">
        <v>46071</v>
      </c>
      <c r="M2212" s="1" t="s">
        <v>7199</v>
      </c>
      <c r="N2212" s="1" t="s">
        <v>7198</v>
      </c>
    </row>
    <row r="2213" spans="1:14" s="1" customFormat="1" x14ac:dyDescent="0.35">
      <c r="A2213" s="1" t="s">
        <v>4492</v>
      </c>
      <c r="B2213" s="1" t="s">
        <v>1516</v>
      </c>
      <c r="C2213" s="1" t="s">
        <v>1651</v>
      </c>
      <c r="D2213" s="1" t="s">
        <v>7200</v>
      </c>
      <c r="E2213" s="1" t="str">
        <f>"2320"</f>
        <v>2320</v>
      </c>
      <c r="F2213" s="1" t="str">
        <f>"013477645"</f>
        <v>013477645</v>
      </c>
      <c r="G2213" s="1" t="s">
        <v>1147</v>
      </c>
      <c r="H2213" s="1" t="s">
        <v>15</v>
      </c>
      <c r="I2213" s="1" t="str">
        <f>"1"</f>
        <v>1</v>
      </c>
      <c r="J2213" s="3" t="str">
        <f>"350000"</f>
        <v>350000</v>
      </c>
      <c r="K2213" s="4">
        <v>46071</v>
      </c>
      <c r="L2213" s="4">
        <v>46071</v>
      </c>
      <c r="M2213" s="1" t="s">
        <v>7199</v>
      </c>
      <c r="N2213" s="1" t="s">
        <v>7198</v>
      </c>
    </row>
    <row r="2214" spans="1:14" s="1" customFormat="1" x14ac:dyDescent="0.35">
      <c r="A2214" s="1" t="s">
        <v>4492</v>
      </c>
      <c r="B2214" s="1" t="s">
        <v>1516</v>
      </c>
      <c r="C2214" s="1" t="s">
        <v>1651</v>
      </c>
      <c r="D2214" s="1" t="s">
        <v>7197</v>
      </c>
      <c r="E2214" s="1" t="str">
        <f>"2310"</f>
        <v>2310</v>
      </c>
      <c r="F2214" s="1" t="str">
        <f>"014998019"</f>
        <v>014998019</v>
      </c>
      <c r="G2214" s="1" t="s">
        <v>4671</v>
      </c>
      <c r="H2214" s="1" t="s">
        <v>15</v>
      </c>
      <c r="I2214" s="1" t="str">
        <f>"1"</f>
        <v>1</v>
      </c>
      <c r="J2214" s="3" t="str">
        <f>"165000"</f>
        <v>165000</v>
      </c>
      <c r="K2214" s="4">
        <v>46080</v>
      </c>
      <c r="L2214" s="4">
        <v>46097</v>
      </c>
      <c r="M2214" s="1" t="s">
        <v>7196</v>
      </c>
      <c r="N2214" s="1" t="s">
        <v>7195</v>
      </c>
    </row>
    <row r="2215" spans="1:14" s="1" customFormat="1" x14ac:dyDescent="0.35">
      <c r="A2215" s="1" t="s">
        <v>4492</v>
      </c>
      <c r="B2215" s="1" t="s">
        <v>1516</v>
      </c>
      <c r="C2215" s="1" t="s">
        <v>1651</v>
      </c>
      <c r="D2215" s="1" t="s">
        <v>7194</v>
      </c>
      <c r="E2215" s="1" t="str">
        <f>"2310"</f>
        <v>2310</v>
      </c>
      <c r="F2215" s="1" t="str">
        <f>"010907741"</f>
        <v>010907741</v>
      </c>
      <c r="G2215" s="1" t="s">
        <v>710</v>
      </c>
      <c r="H2215" s="1" t="s">
        <v>15</v>
      </c>
      <c r="I2215" s="1" t="str">
        <f>"1"</f>
        <v>1</v>
      </c>
      <c r="J2215" s="3" t="str">
        <f>"30027"</f>
        <v>30027</v>
      </c>
      <c r="K2215" s="4">
        <v>46080</v>
      </c>
      <c r="L2215" s="4">
        <v>46088</v>
      </c>
      <c r="M2215" s="1" t="s">
        <v>7193</v>
      </c>
      <c r="N2215" s="1" t="s">
        <v>7192</v>
      </c>
    </row>
    <row r="2216" spans="1:14" s="1" customFormat="1" x14ac:dyDescent="0.35">
      <c r="A2216" s="1" t="s">
        <v>4492</v>
      </c>
      <c r="B2216" s="1" t="s">
        <v>1516</v>
      </c>
      <c r="C2216" s="1" t="s">
        <v>1651</v>
      </c>
      <c r="D2216" s="1" t="s">
        <v>7191</v>
      </c>
      <c r="E2216" s="1" t="str">
        <f>"2330"</f>
        <v>2330</v>
      </c>
      <c r="F2216" s="1" t="s">
        <v>104</v>
      </c>
      <c r="G2216" s="1" t="s">
        <v>105</v>
      </c>
      <c r="H2216" s="1" t="s">
        <v>15</v>
      </c>
      <c r="I2216" s="1" t="str">
        <f>"1"</f>
        <v>1</v>
      </c>
      <c r="J2216" s="3">
        <v>968678.86</v>
      </c>
      <c r="K2216" s="4">
        <v>46074</v>
      </c>
      <c r="L2216" s="4">
        <v>46076</v>
      </c>
      <c r="M2216" s="1" t="s">
        <v>4556</v>
      </c>
      <c r="N2216" s="1" t="s">
        <v>7190</v>
      </c>
    </row>
    <row r="2217" spans="1:14" s="1" customFormat="1" x14ac:dyDescent="0.35">
      <c r="A2217" s="1" t="s">
        <v>4492</v>
      </c>
      <c r="B2217" s="1" t="s">
        <v>1516</v>
      </c>
      <c r="C2217" s="1" t="s">
        <v>1651</v>
      </c>
      <c r="D2217" s="1" t="s">
        <v>7189</v>
      </c>
      <c r="E2217" s="1" t="str">
        <f>"2330"</f>
        <v>2330</v>
      </c>
      <c r="F2217" s="1" t="s">
        <v>104</v>
      </c>
      <c r="G2217" s="1" t="s">
        <v>105</v>
      </c>
      <c r="H2217" s="1" t="s">
        <v>15</v>
      </c>
      <c r="I2217" s="1" t="str">
        <f>"1"</f>
        <v>1</v>
      </c>
      <c r="J2217" s="3" t="str">
        <f>"4906"</f>
        <v>4906</v>
      </c>
      <c r="K2217" s="4">
        <v>46074</v>
      </c>
      <c r="L2217" s="4">
        <v>46105</v>
      </c>
      <c r="M2217" s="1" t="s">
        <v>7188</v>
      </c>
      <c r="N2217" s="1" t="s">
        <v>7187</v>
      </c>
    </row>
    <row r="2218" spans="1:14" s="1" customFormat="1" x14ac:dyDescent="0.35">
      <c r="A2218" s="1" t="s">
        <v>4492</v>
      </c>
      <c r="B2218" s="1" t="s">
        <v>1516</v>
      </c>
      <c r="C2218" s="1" t="s">
        <v>1651</v>
      </c>
      <c r="D2218" s="1" t="s">
        <v>7186</v>
      </c>
      <c r="E2218" s="1" t="str">
        <f>"5130"</f>
        <v>5130</v>
      </c>
      <c r="F2218" s="1" t="s">
        <v>6919</v>
      </c>
      <c r="G2218" s="1" t="s">
        <v>6918</v>
      </c>
      <c r="H2218" s="1" t="s">
        <v>15</v>
      </c>
      <c r="I2218" s="1" t="str">
        <f>"11"</f>
        <v>11</v>
      </c>
      <c r="J2218" s="3">
        <v>184.56</v>
      </c>
      <c r="K2218" s="4">
        <v>46087</v>
      </c>
      <c r="L2218" s="4">
        <v>46087</v>
      </c>
      <c r="M2218" s="1" t="s">
        <v>4524</v>
      </c>
      <c r="N2218" s="1" t="s">
        <v>7185</v>
      </c>
    </row>
    <row r="2219" spans="1:14" s="1" customFormat="1" x14ac:dyDescent="0.35">
      <c r="A2219" s="1" t="s">
        <v>4492</v>
      </c>
      <c r="B2219" s="1" t="s">
        <v>1516</v>
      </c>
      <c r="C2219" s="1" t="s">
        <v>1651</v>
      </c>
      <c r="D2219" s="1" t="s">
        <v>7184</v>
      </c>
      <c r="E2219" s="1" t="str">
        <f>"5130"</f>
        <v>5130</v>
      </c>
      <c r="F2219" s="1" t="str">
        <f>"014467846"</f>
        <v>014467846</v>
      </c>
      <c r="G2219" s="1" t="s">
        <v>1697</v>
      </c>
      <c r="H2219" s="1" t="s">
        <v>15</v>
      </c>
      <c r="I2219" s="1" t="str">
        <f>"6"</f>
        <v>6</v>
      </c>
      <c r="J2219" s="3">
        <v>431.04</v>
      </c>
      <c r="K2219" s="4">
        <v>46087</v>
      </c>
      <c r="L2219" s="4">
        <v>46087</v>
      </c>
      <c r="M2219" s="1" t="s">
        <v>4524</v>
      </c>
      <c r="N2219" s="1" t="s">
        <v>7183</v>
      </c>
    </row>
    <row r="2220" spans="1:14" s="1" customFormat="1" x14ac:dyDescent="0.35">
      <c r="A2220" s="1" t="s">
        <v>4492</v>
      </c>
      <c r="B2220" s="1" t="s">
        <v>1516</v>
      </c>
      <c r="C2220" s="1" t="s">
        <v>1651</v>
      </c>
      <c r="D2220" s="1" t="s">
        <v>7182</v>
      </c>
      <c r="E2220" s="1" t="str">
        <f>"1385"</f>
        <v>1385</v>
      </c>
      <c r="F2220" s="1" t="str">
        <f>"015736046"</f>
        <v>015736046</v>
      </c>
      <c r="G2220" s="1" t="s">
        <v>417</v>
      </c>
      <c r="H2220" s="1" t="s">
        <v>15</v>
      </c>
      <c r="I2220" s="1" t="str">
        <f>"1"</f>
        <v>1</v>
      </c>
      <c r="J2220" s="3">
        <v>284528.08</v>
      </c>
      <c r="K2220" s="4">
        <v>46061</v>
      </c>
      <c r="L2220" s="4">
        <v>46062</v>
      </c>
      <c r="M2220" s="1" t="s">
        <v>7181</v>
      </c>
      <c r="N2220" s="1" t="s">
        <v>7180</v>
      </c>
    </row>
    <row r="2221" spans="1:14" s="1" customFormat="1" x14ac:dyDescent="0.35">
      <c r="A2221" s="1" t="s">
        <v>4492</v>
      </c>
      <c r="B2221" s="1" t="s">
        <v>1516</v>
      </c>
      <c r="C2221" s="1" t="s">
        <v>1651</v>
      </c>
      <c r="D2221" s="1" t="s">
        <v>7182</v>
      </c>
      <c r="E2221" s="1" t="str">
        <f>"1385"</f>
        <v>1385</v>
      </c>
      <c r="F2221" s="1" t="str">
        <f>"015736046"</f>
        <v>015736046</v>
      </c>
      <c r="G2221" s="1" t="s">
        <v>417</v>
      </c>
      <c r="H2221" s="1" t="s">
        <v>15</v>
      </c>
      <c r="I2221" s="1" t="str">
        <f>"1"</f>
        <v>1</v>
      </c>
      <c r="J2221" s="3">
        <v>284528.08</v>
      </c>
      <c r="K2221" s="4">
        <v>46061</v>
      </c>
      <c r="L2221" s="4">
        <v>46062</v>
      </c>
      <c r="M2221" s="1" t="s">
        <v>7181</v>
      </c>
      <c r="N2221" s="1" t="s">
        <v>7180</v>
      </c>
    </row>
    <row r="2222" spans="1:14" s="1" customFormat="1" x14ac:dyDescent="0.35">
      <c r="A2222" s="1" t="s">
        <v>4492</v>
      </c>
      <c r="B2222" s="1" t="s">
        <v>1989</v>
      </c>
      <c r="C2222" s="1" t="s">
        <v>7179</v>
      </c>
      <c r="D2222" s="1" t="s">
        <v>7178</v>
      </c>
      <c r="E2222" s="1" t="str">
        <f>"2330"</f>
        <v>2330</v>
      </c>
      <c r="F2222" s="1" t="s">
        <v>104</v>
      </c>
      <c r="G2222" s="1" t="s">
        <v>105</v>
      </c>
      <c r="H2222" s="1" t="s">
        <v>15</v>
      </c>
      <c r="I2222" s="1" t="str">
        <f>"1"</f>
        <v>1</v>
      </c>
      <c r="J2222" s="3" t="str">
        <f>"10000"</f>
        <v>10000</v>
      </c>
      <c r="K2222" s="4">
        <v>46095</v>
      </c>
      <c r="L2222" s="4">
        <v>46101</v>
      </c>
      <c r="M2222" s="1" t="s">
        <v>7177</v>
      </c>
      <c r="N2222" s="1" t="s">
        <v>7176</v>
      </c>
    </row>
    <row r="2223" spans="1:14" s="1" customFormat="1" x14ac:dyDescent="0.35">
      <c r="A2223" s="1" t="s">
        <v>4492</v>
      </c>
      <c r="B2223" s="1" t="s">
        <v>1989</v>
      </c>
      <c r="C2223" s="1" t="s">
        <v>7167</v>
      </c>
      <c r="D2223" s="1" t="s">
        <v>7175</v>
      </c>
      <c r="E2223" s="1" t="str">
        <f>"2310"</f>
        <v>2310</v>
      </c>
      <c r="F2223" s="1" t="str">
        <f>"014998019"</f>
        <v>014998019</v>
      </c>
      <c r="G2223" s="1" t="s">
        <v>4671</v>
      </c>
      <c r="H2223" s="1" t="s">
        <v>15</v>
      </c>
      <c r="I2223" s="1" t="str">
        <f>"1"</f>
        <v>1</v>
      </c>
      <c r="J2223" s="3" t="str">
        <f>"165000"</f>
        <v>165000</v>
      </c>
      <c r="K2223" s="4">
        <v>46043</v>
      </c>
      <c r="L2223" s="4">
        <v>46055</v>
      </c>
      <c r="M2223" s="1" t="s">
        <v>7174</v>
      </c>
      <c r="N2223" s="1" t="s">
        <v>7173</v>
      </c>
    </row>
    <row r="2224" spans="1:14" s="1" customFormat="1" x14ac:dyDescent="0.35">
      <c r="A2224" s="1" t="s">
        <v>4492</v>
      </c>
      <c r="B2224" s="1" t="s">
        <v>1989</v>
      </c>
      <c r="C2224" s="1" t="s">
        <v>7167</v>
      </c>
      <c r="D2224" s="1" t="s">
        <v>7172</v>
      </c>
      <c r="E2224" s="1" t="str">
        <f>"2310"</f>
        <v>2310</v>
      </c>
      <c r="F2224" s="1" t="s">
        <v>4332</v>
      </c>
      <c r="G2224" s="1" t="s">
        <v>4333</v>
      </c>
      <c r="H2224" s="1" t="s">
        <v>15</v>
      </c>
      <c r="I2224" s="1" t="str">
        <f>"1"</f>
        <v>1</v>
      </c>
      <c r="J2224" s="3" t="str">
        <f>"81369"</f>
        <v>81369</v>
      </c>
      <c r="K2224" s="4">
        <v>46096</v>
      </c>
      <c r="L2224" s="4">
        <v>46109</v>
      </c>
      <c r="M2224" s="1" t="s">
        <v>7171</v>
      </c>
      <c r="N2224" s="1" t="s">
        <v>7170</v>
      </c>
    </row>
    <row r="2225" spans="1:14" s="1" customFormat="1" x14ac:dyDescent="0.35">
      <c r="A2225" s="1" t="s">
        <v>4492</v>
      </c>
      <c r="B2225" s="1" t="s">
        <v>1989</v>
      </c>
      <c r="C2225" s="1" t="s">
        <v>7167</v>
      </c>
      <c r="D2225" s="1" t="s">
        <v>7169</v>
      </c>
      <c r="E2225" s="1" t="str">
        <f>"1940"</f>
        <v>1940</v>
      </c>
      <c r="F2225" s="1" t="s">
        <v>1898</v>
      </c>
      <c r="G2225" s="1" t="s">
        <v>1899</v>
      </c>
      <c r="H2225" s="1" t="s">
        <v>15</v>
      </c>
      <c r="I2225" s="1" t="str">
        <f>"1"</f>
        <v>1</v>
      </c>
      <c r="J2225" s="3" t="str">
        <f>"259000"</f>
        <v>259000</v>
      </c>
      <c r="K2225" s="4">
        <v>46096</v>
      </c>
      <c r="L2225" s="4">
        <v>46098</v>
      </c>
      <c r="M2225" s="1" t="s">
        <v>4524</v>
      </c>
      <c r="N2225" s="1" t="s">
        <v>7168</v>
      </c>
    </row>
    <row r="2226" spans="1:14" s="1" customFormat="1" x14ac:dyDescent="0.35">
      <c r="A2226" s="1" t="s">
        <v>4492</v>
      </c>
      <c r="B2226" s="1" t="s">
        <v>1989</v>
      </c>
      <c r="C2226" s="1" t="s">
        <v>7167</v>
      </c>
      <c r="D2226" s="1" t="s">
        <v>7166</v>
      </c>
      <c r="E2226" s="1" t="str">
        <f>"2310"</f>
        <v>2310</v>
      </c>
      <c r="F2226" s="1" t="s">
        <v>4332</v>
      </c>
      <c r="G2226" s="1" t="s">
        <v>4333</v>
      </c>
      <c r="H2226" s="1" t="s">
        <v>15</v>
      </c>
      <c r="I2226" s="1" t="str">
        <f>"1"</f>
        <v>1</v>
      </c>
      <c r="J2226" s="3" t="str">
        <f>"26275"</f>
        <v>26275</v>
      </c>
      <c r="K2226" s="4">
        <v>46098</v>
      </c>
      <c r="L2226" s="4">
        <v>46109</v>
      </c>
      <c r="M2226" s="1" t="s">
        <v>7165</v>
      </c>
      <c r="N2226" s="1" t="s">
        <v>7164</v>
      </c>
    </row>
    <row r="2227" spans="1:14" s="1" customFormat="1" x14ac:dyDescent="0.35">
      <c r="A2227" s="1" t="s">
        <v>4492</v>
      </c>
      <c r="B2227" s="1" t="s">
        <v>319</v>
      </c>
      <c r="C2227" s="1" t="s">
        <v>348</v>
      </c>
      <c r="D2227" s="1" t="s">
        <v>7163</v>
      </c>
      <c r="E2227" s="1" t="str">
        <f>"4120"</f>
        <v>4120</v>
      </c>
      <c r="F2227" s="1" t="str">
        <f>"013933717"</f>
        <v>013933717</v>
      </c>
      <c r="G2227" s="1" t="s">
        <v>1088</v>
      </c>
      <c r="H2227" s="1" t="s">
        <v>15</v>
      </c>
      <c r="I2227" s="1" t="str">
        <f>"1"</f>
        <v>1</v>
      </c>
      <c r="J2227" s="3">
        <v>2173.04</v>
      </c>
      <c r="K2227" s="4">
        <v>46052</v>
      </c>
      <c r="L2227" s="4">
        <v>46059</v>
      </c>
      <c r="M2227" s="1" t="s">
        <v>7162</v>
      </c>
      <c r="N2227" s="1" t="s">
        <v>7157</v>
      </c>
    </row>
    <row r="2228" spans="1:14" s="1" customFormat="1" x14ac:dyDescent="0.35">
      <c r="A2228" s="1" t="s">
        <v>4492</v>
      </c>
      <c r="B2228" s="1" t="s">
        <v>319</v>
      </c>
      <c r="C2228" s="1" t="s">
        <v>348</v>
      </c>
      <c r="D2228" s="1" t="s">
        <v>7161</v>
      </c>
      <c r="E2228" s="1" t="str">
        <f>"4120"</f>
        <v>4120</v>
      </c>
      <c r="F2228" s="1" t="str">
        <f>"013933717"</f>
        <v>013933717</v>
      </c>
      <c r="G2228" s="1" t="s">
        <v>1088</v>
      </c>
      <c r="H2228" s="1" t="s">
        <v>15</v>
      </c>
      <c r="I2228" s="1" t="str">
        <f>"1"</f>
        <v>1</v>
      </c>
      <c r="J2228" s="3">
        <v>2173.04</v>
      </c>
      <c r="K2228" s="4">
        <v>46052</v>
      </c>
      <c r="L2228" s="4">
        <v>46059</v>
      </c>
      <c r="M2228" s="1" t="s">
        <v>7160</v>
      </c>
      <c r="N2228" s="1" t="s">
        <v>7157</v>
      </c>
    </row>
    <row r="2229" spans="1:14" s="1" customFormat="1" x14ac:dyDescent="0.35">
      <c r="A2229" s="1" t="s">
        <v>4492</v>
      </c>
      <c r="B2229" s="1" t="s">
        <v>319</v>
      </c>
      <c r="C2229" s="1" t="s">
        <v>348</v>
      </c>
      <c r="D2229" s="1" t="s">
        <v>7159</v>
      </c>
      <c r="E2229" s="1" t="str">
        <f>"4120"</f>
        <v>4120</v>
      </c>
      <c r="F2229" s="1" t="str">
        <f>"013933717"</f>
        <v>013933717</v>
      </c>
      <c r="G2229" s="1" t="s">
        <v>1088</v>
      </c>
      <c r="H2229" s="1" t="s">
        <v>15</v>
      </c>
      <c r="I2229" s="1" t="str">
        <f>"1"</f>
        <v>1</v>
      </c>
      <c r="J2229" s="3">
        <v>2173.04</v>
      </c>
      <c r="K2229" s="4">
        <v>46052</v>
      </c>
      <c r="L2229" s="4">
        <v>46059</v>
      </c>
      <c r="M2229" s="1" t="s">
        <v>7158</v>
      </c>
      <c r="N2229" s="1" t="s">
        <v>7157</v>
      </c>
    </row>
    <row r="2230" spans="1:14" s="1" customFormat="1" x14ac:dyDescent="0.35">
      <c r="A2230" s="1" t="s">
        <v>4492</v>
      </c>
      <c r="B2230" s="1" t="s">
        <v>319</v>
      </c>
      <c r="C2230" s="1" t="s">
        <v>348</v>
      </c>
      <c r="D2230" s="1" t="s">
        <v>7156</v>
      </c>
      <c r="E2230" s="1" t="str">
        <f>"3930"</f>
        <v>3930</v>
      </c>
      <c r="F2230" s="1" t="str">
        <f>"013832942"</f>
        <v>013832942</v>
      </c>
      <c r="G2230" s="1" t="s">
        <v>124</v>
      </c>
      <c r="H2230" s="1" t="s">
        <v>15</v>
      </c>
      <c r="I2230" s="1" t="str">
        <f>"1"</f>
        <v>1</v>
      </c>
      <c r="J2230" s="3" t="str">
        <f>"15008"</f>
        <v>15008</v>
      </c>
      <c r="K2230" s="4">
        <v>46083</v>
      </c>
      <c r="L2230" s="4">
        <v>46095</v>
      </c>
      <c r="M2230" s="1" t="s">
        <v>7155</v>
      </c>
      <c r="N2230" s="1" t="s">
        <v>7154</v>
      </c>
    </row>
    <row r="2231" spans="1:14" s="1" customFormat="1" x14ac:dyDescent="0.35">
      <c r="A2231" s="1" t="s">
        <v>4492</v>
      </c>
      <c r="B2231" s="1" t="s">
        <v>3268</v>
      </c>
      <c r="C2231" s="1" t="s">
        <v>3330</v>
      </c>
      <c r="D2231" s="1" t="s">
        <v>7153</v>
      </c>
      <c r="E2231" s="1" t="str">
        <f>"6910"</f>
        <v>6910</v>
      </c>
      <c r="F2231" s="1" t="s">
        <v>647</v>
      </c>
      <c r="G2231" s="1" t="s">
        <v>648</v>
      </c>
      <c r="H2231" s="1" t="s">
        <v>15</v>
      </c>
      <c r="I2231" s="1" t="str">
        <f>"1"</f>
        <v>1</v>
      </c>
      <c r="J2231" s="3" t="str">
        <f>"3760"</f>
        <v>3760</v>
      </c>
      <c r="K2231" s="4">
        <v>45927</v>
      </c>
      <c r="L2231" s="4">
        <v>46030</v>
      </c>
      <c r="M2231" s="1" t="s">
        <v>7152</v>
      </c>
      <c r="N2231" s="1" t="s">
        <v>7151</v>
      </c>
    </row>
    <row r="2232" spans="1:14" s="1" customFormat="1" x14ac:dyDescent="0.35">
      <c r="A2232" s="1" t="s">
        <v>4492</v>
      </c>
      <c r="B2232" s="1" t="s">
        <v>3268</v>
      </c>
      <c r="C2232" s="1" t="s">
        <v>3330</v>
      </c>
      <c r="D2232" s="1" t="s">
        <v>7150</v>
      </c>
      <c r="E2232" s="1" t="str">
        <f>"5965"</f>
        <v>5965</v>
      </c>
      <c r="F2232" s="1" t="s">
        <v>3712</v>
      </c>
      <c r="G2232" s="1" t="s">
        <v>3713</v>
      </c>
      <c r="H2232" s="1" t="s">
        <v>47</v>
      </c>
      <c r="I2232" s="1" t="str">
        <f>"1"</f>
        <v>1</v>
      </c>
      <c r="J2232" s="3" t="str">
        <f>"250"</f>
        <v>250</v>
      </c>
      <c r="K2232" s="4">
        <v>45986</v>
      </c>
      <c r="L2232" s="4">
        <v>46029</v>
      </c>
      <c r="M2232" s="1" t="s">
        <v>7149</v>
      </c>
      <c r="N2232" s="1" t="s">
        <v>7146</v>
      </c>
    </row>
    <row r="2233" spans="1:14" s="1" customFormat="1" x14ac:dyDescent="0.35">
      <c r="A2233" s="1" t="s">
        <v>4492</v>
      </c>
      <c r="B2233" s="1" t="s">
        <v>3268</v>
      </c>
      <c r="C2233" s="1" t="s">
        <v>3330</v>
      </c>
      <c r="D2233" s="1" t="s">
        <v>7148</v>
      </c>
      <c r="E2233" s="1" t="str">
        <f>"5965"</f>
        <v>5965</v>
      </c>
      <c r="F2233" s="1" t="s">
        <v>3712</v>
      </c>
      <c r="G2233" s="1" t="s">
        <v>3713</v>
      </c>
      <c r="H2233" s="1" t="s">
        <v>47</v>
      </c>
      <c r="I2233" s="1" t="str">
        <f>"1"</f>
        <v>1</v>
      </c>
      <c r="J2233" s="3" t="str">
        <f>"250"</f>
        <v>250</v>
      </c>
      <c r="K2233" s="4">
        <v>45986</v>
      </c>
      <c r="L2233" s="4">
        <v>46029</v>
      </c>
      <c r="M2233" s="1" t="s">
        <v>7147</v>
      </c>
      <c r="N2233" s="1" t="s">
        <v>7146</v>
      </c>
    </row>
    <row r="2234" spans="1:14" s="1" customFormat="1" x14ac:dyDescent="0.35">
      <c r="A2234" s="1" t="s">
        <v>4492</v>
      </c>
      <c r="B2234" s="1" t="s">
        <v>3268</v>
      </c>
      <c r="C2234" s="1" t="s">
        <v>3330</v>
      </c>
      <c r="D2234" s="1" t="s">
        <v>7145</v>
      </c>
      <c r="E2234" s="1" t="str">
        <f>"7830"</f>
        <v>7830</v>
      </c>
      <c r="F2234" s="1" t="s">
        <v>2004</v>
      </c>
      <c r="G2234" s="1" t="s">
        <v>2005</v>
      </c>
      <c r="H2234" s="1" t="s">
        <v>15</v>
      </c>
      <c r="I2234" s="1" t="str">
        <f>"1"</f>
        <v>1</v>
      </c>
      <c r="J2234" s="3" t="str">
        <f>"3599"</f>
        <v>3599</v>
      </c>
      <c r="K2234" s="4">
        <v>46042</v>
      </c>
      <c r="L2234" s="4">
        <v>46051</v>
      </c>
      <c r="M2234" s="1" t="s">
        <v>7144</v>
      </c>
      <c r="N2234" s="1" t="s">
        <v>3336</v>
      </c>
    </row>
    <row r="2235" spans="1:14" s="1" customFormat="1" x14ac:dyDescent="0.35">
      <c r="A2235" s="1" t="s">
        <v>4492</v>
      </c>
      <c r="B2235" s="1" t="s">
        <v>3268</v>
      </c>
      <c r="C2235" s="1" t="s">
        <v>3330</v>
      </c>
      <c r="D2235" s="1" t="s">
        <v>7143</v>
      </c>
      <c r="E2235" s="1" t="str">
        <f>"4220"</f>
        <v>4220</v>
      </c>
      <c r="F2235" s="1" t="str">
        <f>"014159817"</f>
        <v>014159817</v>
      </c>
      <c r="G2235" s="1" t="s">
        <v>1880</v>
      </c>
      <c r="H2235" s="1" t="s">
        <v>15</v>
      </c>
      <c r="I2235" s="1" t="str">
        <f>"12"</f>
        <v>12</v>
      </c>
      <c r="J2235" s="3">
        <v>100.81</v>
      </c>
      <c r="K2235" s="4">
        <v>46046</v>
      </c>
      <c r="L2235" s="4">
        <v>46060</v>
      </c>
      <c r="M2235" s="1" t="s">
        <v>7142</v>
      </c>
      <c r="N2235" s="1" t="s">
        <v>7141</v>
      </c>
    </row>
    <row r="2236" spans="1:14" s="1" customFormat="1" x14ac:dyDescent="0.35">
      <c r="A2236" s="1" t="s">
        <v>4492</v>
      </c>
      <c r="B2236" s="1" t="s">
        <v>3268</v>
      </c>
      <c r="C2236" s="1" t="s">
        <v>3330</v>
      </c>
      <c r="D2236" s="1" t="s">
        <v>7140</v>
      </c>
      <c r="E2236" s="1" t="str">
        <f>"2320"</f>
        <v>2320</v>
      </c>
      <c r="F2236" s="1" t="s">
        <v>4526</v>
      </c>
      <c r="G2236" s="1" t="s">
        <v>4525</v>
      </c>
      <c r="H2236" s="1" t="s">
        <v>15</v>
      </c>
      <c r="I2236" s="1" t="str">
        <f>"1"</f>
        <v>1</v>
      </c>
      <c r="J2236" s="3">
        <v>610434.26</v>
      </c>
      <c r="K2236" s="4">
        <v>46055</v>
      </c>
      <c r="L2236" s="4">
        <v>46056</v>
      </c>
      <c r="M2236" s="1" t="s">
        <v>4524</v>
      </c>
      <c r="N2236" s="1" t="s">
        <v>7139</v>
      </c>
    </row>
    <row r="2237" spans="1:14" s="1" customFormat="1" x14ac:dyDescent="0.35">
      <c r="A2237" s="1" t="s">
        <v>4492</v>
      </c>
      <c r="B2237" s="1" t="s">
        <v>3268</v>
      </c>
      <c r="C2237" s="1" t="s">
        <v>3330</v>
      </c>
      <c r="D2237" s="1" t="s">
        <v>7138</v>
      </c>
      <c r="E2237" s="1" t="str">
        <f>"4250"</f>
        <v>4250</v>
      </c>
      <c r="F2237" s="1" t="str">
        <f>"014597052"</f>
        <v>014597052</v>
      </c>
      <c r="G2237" s="1" t="s">
        <v>2129</v>
      </c>
      <c r="H2237" s="1" t="s">
        <v>15</v>
      </c>
      <c r="I2237" s="1" t="str">
        <f>"1"</f>
        <v>1</v>
      </c>
      <c r="J2237" s="3">
        <v>3480.53</v>
      </c>
      <c r="K2237" s="4">
        <v>46055</v>
      </c>
      <c r="L2237" s="4">
        <v>46058</v>
      </c>
      <c r="M2237" s="1" t="s">
        <v>7137</v>
      </c>
      <c r="N2237" s="1" t="s">
        <v>7136</v>
      </c>
    </row>
    <row r="2238" spans="1:14" s="1" customFormat="1" x14ac:dyDescent="0.35">
      <c r="A2238" s="1" t="s">
        <v>4492</v>
      </c>
      <c r="B2238" s="1" t="s">
        <v>3268</v>
      </c>
      <c r="C2238" s="1" t="s">
        <v>3330</v>
      </c>
      <c r="D2238" s="1" t="s">
        <v>7135</v>
      </c>
      <c r="E2238" s="1" t="str">
        <f>"2330"</f>
        <v>2330</v>
      </c>
      <c r="F2238" s="1" t="s">
        <v>104</v>
      </c>
      <c r="G2238" s="1" t="s">
        <v>105</v>
      </c>
      <c r="H2238" s="1" t="s">
        <v>15</v>
      </c>
      <c r="I2238" s="1" t="str">
        <f>"1"</f>
        <v>1</v>
      </c>
      <c r="J2238" s="3">
        <v>968678.86</v>
      </c>
      <c r="K2238" s="4">
        <v>46074</v>
      </c>
      <c r="L2238" s="4">
        <v>46088</v>
      </c>
      <c r="M2238" s="1" t="s">
        <v>7134</v>
      </c>
      <c r="N2238" s="1" t="s">
        <v>7133</v>
      </c>
    </row>
    <row r="2239" spans="1:14" s="1" customFormat="1" x14ac:dyDescent="0.35">
      <c r="A2239" s="1" t="s">
        <v>4492</v>
      </c>
      <c r="B2239" s="1" t="s">
        <v>1791</v>
      </c>
      <c r="C2239" s="1" t="s">
        <v>1847</v>
      </c>
      <c r="D2239" s="1" t="s">
        <v>7132</v>
      </c>
      <c r="E2239" s="1" t="str">
        <f>"6720"</f>
        <v>6720</v>
      </c>
      <c r="F2239" s="1" t="s">
        <v>1719</v>
      </c>
      <c r="G2239" s="1" t="s">
        <v>1720</v>
      </c>
      <c r="H2239" s="1" t="s">
        <v>15</v>
      </c>
      <c r="I2239" s="1" t="str">
        <f>"1"</f>
        <v>1</v>
      </c>
      <c r="J2239" s="3">
        <v>629.96</v>
      </c>
      <c r="K2239" s="4">
        <v>46004</v>
      </c>
      <c r="L2239" s="4">
        <v>46065</v>
      </c>
      <c r="M2239" s="1" t="s">
        <v>7131</v>
      </c>
      <c r="N2239" s="1" t="s">
        <v>7130</v>
      </c>
    </row>
    <row r="2240" spans="1:14" s="1" customFormat="1" x14ac:dyDescent="0.35">
      <c r="A2240" s="1" t="s">
        <v>4492</v>
      </c>
      <c r="B2240" s="1" t="s">
        <v>1791</v>
      </c>
      <c r="C2240" s="1" t="s">
        <v>1847</v>
      </c>
      <c r="D2240" s="1" t="s">
        <v>7129</v>
      </c>
      <c r="E2240" s="1" t="str">
        <f>"6720"</f>
        <v>6720</v>
      </c>
      <c r="F2240" s="1" t="s">
        <v>1719</v>
      </c>
      <c r="G2240" s="1" t="s">
        <v>1720</v>
      </c>
      <c r="H2240" s="1" t="s">
        <v>15</v>
      </c>
      <c r="I2240" s="1" t="str">
        <f>"1"</f>
        <v>1</v>
      </c>
      <c r="J2240" s="3" t="str">
        <f>"2249"</f>
        <v>2249</v>
      </c>
      <c r="K2240" s="4">
        <v>46004</v>
      </c>
      <c r="L2240" s="4">
        <v>46065</v>
      </c>
      <c r="M2240" s="1" t="s">
        <v>7128</v>
      </c>
      <c r="N2240" s="1" t="s">
        <v>7127</v>
      </c>
    </row>
    <row r="2241" spans="1:14" s="1" customFormat="1" x14ac:dyDescent="0.35">
      <c r="A2241" s="1" t="s">
        <v>4492</v>
      </c>
      <c r="B2241" s="1" t="s">
        <v>1791</v>
      </c>
      <c r="C2241" s="1" t="s">
        <v>1847</v>
      </c>
      <c r="D2241" s="1" t="s">
        <v>7126</v>
      </c>
      <c r="E2241" s="1" t="str">
        <f>"6720"</f>
        <v>6720</v>
      </c>
      <c r="F2241" s="1" t="s">
        <v>1719</v>
      </c>
      <c r="G2241" s="1" t="s">
        <v>1720</v>
      </c>
      <c r="H2241" s="1" t="s">
        <v>15</v>
      </c>
      <c r="I2241" s="1" t="str">
        <f>"1"</f>
        <v>1</v>
      </c>
      <c r="J2241" s="3" t="str">
        <f>"650"</f>
        <v>650</v>
      </c>
      <c r="K2241" s="4">
        <v>46011</v>
      </c>
      <c r="L2241" s="4">
        <v>46092</v>
      </c>
      <c r="M2241" s="1" t="s">
        <v>7125</v>
      </c>
      <c r="N2241" s="1" t="s">
        <v>7124</v>
      </c>
    </row>
    <row r="2242" spans="1:14" s="1" customFormat="1" x14ac:dyDescent="0.35">
      <c r="A2242" s="1" t="s">
        <v>4492</v>
      </c>
      <c r="B2242" s="1" t="s">
        <v>1791</v>
      </c>
      <c r="C2242" s="1" t="s">
        <v>1847</v>
      </c>
      <c r="D2242" s="1" t="s">
        <v>7123</v>
      </c>
      <c r="E2242" s="1" t="str">
        <f>"6515"</f>
        <v>6515</v>
      </c>
      <c r="F2242" s="1" t="str">
        <f>"014984360"</f>
        <v>014984360</v>
      </c>
      <c r="G2242" s="1" t="s">
        <v>7122</v>
      </c>
      <c r="H2242" s="1" t="s">
        <v>15</v>
      </c>
      <c r="I2242" s="1" t="str">
        <f>"1"</f>
        <v>1</v>
      </c>
      <c r="J2242" s="3">
        <v>1929.2</v>
      </c>
      <c r="K2242" s="4">
        <v>46011</v>
      </c>
      <c r="L2242" s="4">
        <v>46065</v>
      </c>
      <c r="M2242" s="1" t="s">
        <v>7121</v>
      </c>
      <c r="N2242" s="1" t="s">
        <v>7120</v>
      </c>
    </row>
    <row r="2243" spans="1:14" s="1" customFormat="1" x14ac:dyDescent="0.35">
      <c r="A2243" s="1" t="s">
        <v>4492</v>
      </c>
      <c r="B2243" s="1" t="s">
        <v>1791</v>
      </c>
      <c r="C2243" s="1" t="s">
        <v>1847</v>
      </c>
      <c r="D2243" s="1" t="s">
        <v>7119</v>
      </c>
      <c r="E2243" s="1" t="str">
        <f>"6720"</f>
        <v>6720</v>
      </c>
      <c r="F2243" s="1" t="s">
        <v>1719</v>
      </c>
      <c r="G2243" s="1" t="s">
        <v>1720</v>
      </c>
      <c r="H2243" s="1" t="s">
        <v>15</v>
      </c>
      <c r="I2243" s="1" t="str">
        <f>"2"</f>
        <v>2</v>
      </c>
      <c r="J2243" s="3" t="str">
        <f>"600"</f>
        <v>600</v>
      </c>
      <c r="K2243" s="4">
        <v>46039</v>
      </c>
      <c r="L2243" s="4">
        <v>46092</v>
      </c>
      <c r="M2243" s="1" t="s">
        <v>7118</v>
      </c>
      <c r="N2243" s="1" t="s">
        <v>7117</v>
      </c>
    </row>
    <row r="2244" spans="1:14" s="1" customFormat="1" x14ac:dyDescent="0.35">
      <c r="A2244" s="1" t="s">
        <v>4492</v>
      </c>
      <c r="B2244" s="1" t="s">
        <v>1791</v>
      </c>
      <c r="C2244" s="1" t="s">
        <v>1847</v>
      </c>
      <c r="D2244" s="1" t="s">
        <v>7116</v>
      </c>
      <c r="E2244" s="1" t="str">
        <f>"6760"</f>
        <v>6760</v>
      </c>
      <c r="F2244" s="1" t="s">
        <v>1735</v>
      </c>
      <c r="G2244" s="1" t="s">
        <v>1736</v>
      </c>
      <c r="H2244" s="1" t="s">
        <v>15</v>
      </c>
      <c r="I2244" s="1" t="str">
        <f>"2"</f>
        <v>2</v>
      </c>
      <c r="J2244" s="3" t="str">
        <f>"350"</f>
        <v>350</v>
      </c>
      <c r="K2244" s="4">
        <v>46039</v>
      </c>
      <c r="L2244" s="4">
        <v>46092</v>
      </c>
      <c r="M2244" s="1" t="s">
        <v>7115</v>
      </c>
      <c r="N2244" s="1" t="s">
        <v>7114</v>
      </c>
    </row>
    <row r="2245" spans="1:14" s="1" customFormat="1" x14ac:dyDescent="0.35">
      <c r="A2245" s="1" t="s">
        <v>4492</v>
      </c>
      <c r="B2245" s="1" t="s">
        <v>1791</v>
      </c>
      <c r="C2245" s="1" t="s">
        <v>1847</v>
      </c>
      <c r="D2245" s="1" t="s">
        <v>7113</v>
      </c>
      <c r="E2245" s="1" t="str">
        <f>"2320"</f>
        <v>2320</v>
      </c>
      <c r="F2245" s="1" t="s">
        <v>100</v>
      </c>
      <c r="G2245" s="1" t="s">
        <v>101</v>
      </c>
      <c r="H2245" s="1" t="s">
        <v>15</v>
      </c>
      <c r="I2245" s="1" t="str">
        <f>"1"</f>
        <v>1</v>
      </c>
      <c r="J2245" s="3" t="str">
        <f>"61735"</f>
        <v>61735</v>
      </c>
      <c r="K2245" s="4">
        <v>46095</v>
      </c>
      <c r="L2245" s="4">
        <v>46109</v>
      </c>
      <c r="M2245" s="1" t="s">
        <v>7112</v>
      </c>
      <c r="N2245" s="1" t="s">
        <v>7111</v>
      </c>
    </row>
    <row r="2246" spans="1:14" s="1" customFormat="1" x14ac:dyDescent="0.35">
      <c r="A2246" s="1" t="s">
        <v>4492</v>
      </c>
      <c r="B2246" s="1" t="s">
        <v>1791</v>
      </c>
      <c r="C2246" s="1" t="s">
        <v>1847</v>
      </c>
      <c r="D2246" s="1" t="s">
        <v>7110</v>
      </c>
      <c r="E2246" s="1" t="str">
        <f>"2320"</f>
        <v>2320</v>
      </c>
      <c r="F2246" s="1" t="str">
        <f>"010907892"</f>
        <v>010907892</v>
      </c>
      <c r="G2246" s="1" t="s">
        <v>930</v>
      </c>
      <c r="H2246" s="1" t="s">
        <v>15</v>
      </c>
      <c r="I2246" s="1" t="str">
        <f>"1"</f>
        <v>1</v>
      </c>
      <c r="J2246" s="3" t="str">
        <f>"23000"</f>
        <v>23000</v>
      </c>
      <c r="K2246" s="4">
        <v>46095</v>
      </c>
      <c r="L2246" s="4">
        <v>46100</v>
      </c>
      <c r="M2246" s="1" t="s">
        <v>7109</v>
      </c>
      <c r="N2246" s="1" t="s">
        <v>7108</v>
      </c>
    </row>
    <row r="2247" spans="1:14" s="1" customFormat="1" x14ac:dyDescent="0.35">
      <c r="A2247" s="1" t="s">
        <v>4492</v>
      </c>
      <c r="B2247" s="1" t="s">
        <v>1303</v>
      </c>
      <c r="C2247" s="1" t="s">
        <v>1408</v>
      </c>
      <c r="D2247" s="1" t="s">
        <v>7107</v>
      </c>
      <c r="E2247" s="1" t="str">
        <f>"1095"</f>
        <v>1095</v>
      </c>
      <c r="F2247" s="1" t="str">
        <f>"004070674"</f>
        <v>004070674</v>
      </c>
      <c r="G2247" s="1" t="s">
        <v>330</v>
      </c>
      <c r="H2247" s="1" t="s">
        <v>15</v>
      </c>
      <c r="I2247" s="1" t="str">
        <f>"29"</f>
        <v>29</v>
      </c>
      <c r="J2247" s="3">
        <v>1098.96</v>
      </c>
      <c r="K2247" s="4">
        <v>45975</v>
      </c>
      <c r="L2247" s="4">
        <v>46030</v>
      </c>
      <c r="M2247" s="1" t="s">
        <v>7106</v>
      </c>
      <c r="N2247" s="1" t="s">
        <v>7105</v>
      </c>
    </row>
    <row r="2248" spans="1:14" s="1" customFormat="1" x14ac:dyDescent="0.35">
      <c r="A2248" s="1" t="s">
        <v>4492</v>
      </c>
      <c r="B2248" s="1" t="s">
        <v>1303</v>
      </c>
      <c r="C2248" s="1" t="s">
        <v>1408</v>
      </c>
      <c r="D2248" s="1" t="s">
        <v>7104</v>
      </c>
      <c r="E2248" s="1" t="str">
        <f>"4240"</f>
        <v>4240</v>
      </c>
      <c r="F2248" s="1" t="str">
        <f>"015395134"</f>
        <v>015395134</v>
      </c>
      <c r="G2248" s="1" t="s">
        <v>7103</v>
      </c>
      <c r="H2248" s="1" t="s">
        <v>15</v>
      </c>
      <c r="I2248" s="1" t="str">
        <f>"1"</f>
        <v>1</v>
      </c>
      <c r="J2248" s="3" t="str">
        <f>"31040"</f>
        <v>31040</v>
      </c>
      <c r="K2248" s="4">
        <v>45994</v>
      </c>
      <c r="L2248" s="4">
        <v>46044</v>
      </c>
      <c r="M2248" s="1" t="s">
        <v>7102</v>
      </c>
      <c r="N2248" s="1" t="s">
        <v>7101</v>
      </c>
    </row>
    <row r="2249" spans="1:14" s="1" customFormat="1" x14ac:dyDescent="0.35">
      <c r="A2249" s="1" t="s">
        <v>4492</v>
      </c>
      <c r="B2249" s="1" t="s">
        <v>1303</v>
      </c>
      <c r="C2249" s="1" t="s">
        <v>1408</v>
      </c>
      <c r="D2249" s="1" t="s">
        <v>7100</v>
      </c>
      <c r="E2249" s="1" t="str">
        <f>"2320"</f>
        <v>2320</v>
      </c>
      <c r="F2249" s="1" t="s">
        <v>100</v>
      </c>
      <c r="G2249" s="1" t="s">
        <v>101</v>
      </c>
      <c r="H2249" s="1" t="s">
        <v>15</v>
      </c>
      <c r="I2249" s="1" t="str">
        <f>"1"</f>
        <v>1</v>
      </c>
      <c r="J2249" s="3" t="str">
        <f>"195440"</f>
        <v>195440</v>
      </c>
      <c r="K2249" s="4">
        <v>46019</v>
      </c>
      <c r="L2249" s="4">
        <v>46025</v>
      </c>
      <c r="M2249" s="1" t="s">
        <v>7099</v>
      </c>
      <c r="N2249" s="1" t="s">
        <v>7098</v>
      </c>
    </row>
    <row r="2250" spans="1:14" s="1" customFormat="1" x14ac:dyDescent="0.35">
      <c r="A2250" s="1" t="s">
        <v>4492</v>
      </c>
      <c r="B2250" s="1" t="s">
        <v>1303</v>
      </c>
      <c r="C2250" s="1" t="s">
        <v>1408</v>
      </c>
      <c r="D2250" s="1" t="s">
        <v>7097</v>
      </c>
      <c r="E2250" s="1" t="str">
        <f>"2340"</f>
        <v>2340</v>
      </c>
      <c r="F2250" s="1" t="s">
        <v>1071</v>
      </c>
      <c r="G2250" s="1" t="s">
        <v>1072</v>
      </c>
      <c r="H2250" s="1" t="s">
        <v>15</v>
      </c>
      <c r="I2250" s="1" t="str">
        <f>"1"</f>
        <v>1</v>
      </c>
      <c r="J2250" s="3" t="str">
        <f>"19891"</f>
        <v>19891</v>
      </c>
      <c r="K2250" s="4">
        <v>46019</v>
      </c>
      <c r="L2250" s="4">
        <v>46064</v>
      </c>
      <c r="M2250" s="1" t="s">
        <v>7096</v>
      </c>
      <c r="N2250" s="1" t="s">
        <v>7095</v>
      </c>
    </row>
    <row r="2251" spans="1:14" s="1" customFormat="1" x14ac:dyDescent="0.35">
      <c r="A2251" s="1" t="s">
        <v>4492</v>
      </c>
      <c r="B2251" s="1" t="s">
        <v>1303</v>
      </c>
      <c r="C2251" s="1" t="s">
        <v>1408</v>
      </c>
      <c r="D2251" s="1" t="s">
        <v>7094</v>
      </c>
      <c r="E2251" s="1" t="str">
        <f>"5965"</f>
        <v>5965</v>
      </c>
      <c r="F2251" s="1" t="str">
        <f>"015727946"</f>
        <v>015727946</v>
      </c>
      <c r="G2251" s="1" t="s">
        <v>209</v>
      </c>
      <c r="H2251" s="1" t="s">
        <v>168</v>
      </c>
      <c r="I2251" s="1" t="str">
        <f>"2"</f>
        <v>2</v>
      </c>
      <c r="J2251" s="3">
        <v>1583.47</v>
      </c>
      <c r="K2251" s="4">
        <v>46019</v>
      </c>
      <c r="L2251" s="4">
        <v>46028</v>
      </c>
      <c r="M2251" s="1" t="s">
        <v>7093</v>
      </c>
      <c r="N2251" s="1" t="s">
        <v>7092</v>
      </c>
    </row>
    <row r="2252" spans="1:14" s="1" customFormat="1" x14ac:dyDescent="0.35">
      <c r="A2252" s="1" t="s">
        <v>4492</v>
      </c>
      <c r="B2252" s="1" t="s">
        <v>1303</v>
      </c>
      <c r="C2252" s="1" t="s">
        <v>1408</v>
      </c>
      <c r="D2252" s="1" t="s">
        <v>7091</v>
      </c>
      <c r="E2252" s="1" t="str">
        <f>"5855"</f>
        <v>5855</v>
      </c>
      <c r="F2252" s="1" t="str">
        <f>"015485687"</f>
        <v>015485687</v>
      </c>
      <c r="G2252" s="1" t="s">
        <v>798</v>
      </c>
      <c r="H2252" s="1" t="s">
        <v>15</v>
      </c>
      <c r="I2252" s="1" t="str">
        <f>"50"</f>
        <v>50</v>
      </c>
      <c r="J2252" s="3" t="str">
        <f>"10402"</f>
        <v>10402</v>
      </c>
      <c r="K2252" s="4">
        <v>46042</v>
      </c>
      <c r="L2252" s="4">
        <v>46063</v>
      </c>
      <c r="M2252" s="1" t="s">
        <v>7090</v>
      </c>
      <c r="N2252" s="1" t="s">
        <v>7087</v>
      </c>
    </row>
    <row r="2253" spans="1:14" s="1" customFormat="1" x14ac:dyDescent="0.35">
      <c r="A2253" s="1" t="s">
        <v>4492</v>
      </c>
      <c r="B2253" s="1" t="s">
        <v>1303</v>
      </c>
      <c r="C2253" s="1" t="s">
        <v>1408</v>
      </c>
      <c r="D2253" s="1" t="s">
        <v>7089</v>
      </c>
      <c r="E2253" s="1" t="str">
        <f>"5855"</f>
        <v>5855</v>
      </c>
      <c r="F2253" s="1" t="str">
        <f>"015485687"</f>
        <v>015485687</v>
      </c>
      <c r="G2253" s="1" t="s">
        <v>798</v>
      </c>
      <c r="H2253" s="1" t="s">
        <v>15</v>
      </c>
      <c r="I2253" s="1" t="str">
        <f>"105"</f>
        <v>105</v>
      </c>
      <c r="J2253" s="3" t="str">
        <f>"10402"</f>
        <v>10402</v>
      </c>
      <c r="K2253" s="4">
        <v>46042</v>
      </c>
      <c r="L2253" s="4">
        <v>46056</v>
      </c>
      <c r="M2253" s="1" t="s">
        <v>7088</v>
      </c>
      <c r="N2253" s="1" t="s">
        <v>7087</v>
      </c>
    </row>
    <row r="2254" spans="1:14" s="1" customFormat="1" x14ac:dyDescent="0.35">
      <c r="A2254" s="1" t="s">
        <v>4492</v>
      </c>
      <c r="B2254" s="1" t="s">
        <v>1303</v>
      </c>
      <c r="C2254" s="1" t="s">
        <v>1408</v>
      </c>
      <c r="D2254" s="1" t="s">
        <v>7086</v>
      </c>
      <c r="E2254" s="1" t="str">
        <f>"3990"</f>
        <v>3990</v>
      </c>
      <c r="F2254" s="1" t="s">
        <v>2283</v>
      </c>
      <c r="G2254" s="1" t="s">
        <v>2284</v>
      </c>
      <c r="H2254" s="1" t="s">
        <v>15</v>
      </c>
      <c r="I2254" s="1" t="str">
        <f>"1"</f>
        <v>1</v>
      </c>
      <c r="J2254" s="3">
        <v>13605.44</v>
      </c>
      <c r="K2254" s="4">
        <v>46043</v>
      </c>
      <c r="L2254" s="4">
        <v>46066</v>
      </c>
      <c r="M2254" s="1" t="s">
        <v>7085</v>
      </c>
      <c r="N2254" s="1" t="s">
        <v>7084</v>
      </c>
    </row>
    <row r="2255" spans="1:14" s="1" customFormat="1" x14ac:dyDescent="0.35">
      <c r="A2255" s="1" t="s">
        <v>4492</v>
      </c>
      <c r="B2255" s="1" t="s">
        <v>1303</v>
      </c>
      <c r="C2255" s="1" t="s">
        <v>1408</v>
      </c>
      <c r="D2255" s="1" t="s">
        <v>7083</v>
      </c>
      <c r="E2255" s="1" t="str">
        <f>"2320"</f>
        <v>2320</v>
      </c>
      <c r="F2255" s="1" t="s">
        <v>4526</v>
      </c>
      <c r="G2255" s="1" t="s">
        <v>4525</v>
      </c>
      <c r="H2255" s="1" t="s">
        <v>15</v>
      </c>
      <c r="I2255" s="1" t="str">
        <f>"1"</f>
        <v>1</v>
      </c>
      <c r="J2255" s="3">
        <v>610434.26</v>
      </c>
      <c r="K2255" s="4">
        <v>46055</v>
      </c>
      <c r="L2255" s="4">
        <v>46056</v>
      </c>
      <c r="M2255" s="1" t="s">
        <v>4524</v>
      </c>
      <c r="N2255" s="1" t="s">
        <v>7082</v>
      </c>
    </row>
    <row r="2256" spans="1:14" s="1" customFormat="1" x14ac:dyDescent="0.35">
      <c r="A2256" s="1" t="s">
        <v>4492</v>
      </c>
      <c r="B2256" s="1" t="s">
        <v>1303</v>
      </c>
      <c r="C2256" s="1" t="s">
        <v>1408</v>
      </c>
      <c r="D2256" s="1" t="s">
        <v>7081</v>
      </c>
      <c r="E2256" s="1" t="str">
        <f>"5855"</f>
        <v>5855</v>
      </c>
      <c r="F2256" s="1" t="str">
        <f>"015665301"</f>
        <v>015665301</v>
      </c>
      <c r="G2256" s="1" t="s">
        <v>1357</v>
      </c>
      <c r="H2256" s="1" t="s">
        <v>15</v>
      </c>
      <c r="I2256" s="1" t="str">
        <f>"117"</f>
        <v>117</v>
      </c>
      <c r="J2256" s="3">
        <v>445.26</v>
      </c>
      <c r="K2256" s="4">
        <v>46062</v>
      </c>
      <c r="L2256" s="4">
        <v>46067</v>
      </c>
      <c r="M2256" s="1" t="s">
        <v>7080</v>
      </c>
      <c r="N2256" s="1" t="s">
        <v>7079</v>
      </c>
    </row>
    <row r="2257" spans="1:14" s="1" customFormat="1" x14ac:dyDescent="0.35">
      <c r="A2257" s="1" t="s">
        <v>4492</v>
      </c>
      <c r="B2257" s="1" t="s">
        <v>1303</v>
      </c>
      <c r="C2257" s="1" t="s">
        <v>1408</v>
      </c>
      <c r="D2257" s="1" t="s">
        <v>7078</v>
      </c>
      <c r="E2257" s="1" t="str">
        <f>"5855"</f>
        <v>5855</v>
      </c>
      <c r="F2257" s="1" t="str">
        <f>"015485687"</f>
        <v>015485687</v>
      </c>
      <c r="G2257" s="1" t="s">
        <v>798</v>
      </c>
      <c r="H2257" s="1" t="s">
        <v>15</v>
      </c>
      <c r="I2257" s="1" t="str">
        <f>"50"</f>
        <v>50</v>
      </c>
      <c r="J2257" s="3" t="str">
        <f>"10402"</f>
        <v>10402</v>
      </c>
      <c r="K2257" s="4">
        <v>46076</v>
      </c>
      <c r="L2257" s="4">
        <v>46086</v>
      </c>
      <c r="M2257" s="1" t="s">
        <v>7077</v>
      </c>
    </row>
    <row r="2258" spans="1:14" s="1" customFormat="1" x14ac:dyDescent="0.35">
      <c r="A2258" s="1" t="s">
        <v>4492</v>
      </c>
      <c r="B2258" s="1" t="s">
        <v>1303</v>
      </c>
      <c r="C2258" s="1" t="s">
        <v>1408</v>
      </c>
      <c r="D2258" s="1" t="s">
        <v>7076</v>
      </c>
      <c r="E2258" s="1" t="str">
        <f>"5855"</f>
        <v>5855</v>
      </c>
      <c r="F2258" s="1" t="str">
        <f>"015485687"</f>
        <v>015485687</v>
      </c>
      <c r="G2258" s="1" t="s">
        <v>798</v>
      </c>
      <c r="H2258" s="1" t="s">
        <v>15</v>
      </c>
      <c r="I2258" s="1" t="str">
        <f>"10"</f>
        <v>10</v>
      </c>
      <c r="J2258" s="3" t="str">
        <f>"10402"</f>
        <v>10402</v>
      </c>
      <c r="K2258" s="4">
        <v>46069</v>
      </c>
      <c r="L2258" s="4">
        <v>46071</v>
      </c>
      <c r="M2258" s="1" t="s">
        <v>7075</v>
      </c>
      <c r="N2258" s="1" t="s">
        <v>7074</v>
      </c>
    </row>
    <row r="2259" spans="1:14" s="1" customFormat="1" x14ac:dyDescent="0.35">
      <c r="A2259" s="1" t="s">
        <v>4492</v>
      </c>
      <c r="B2259" s="1" t="s">
        <v>1303</v>
      </c>
      <c r="C2259" s="1" t="s">
        <v>1408</v>
      </c>
      <c r="D2259" s="1" t="s">
        <v>7073</v>
      </c>
      <c r="E2259" s="1" t="str">
        <f>"6115"</f>
        <v>6115</v>
      </c>
      <c r="F2259" s="1" t="s">
        <v>157</v>
      </c>
      <c r="G2259" s="1" t="s">
        <v>158</v>
      </c>
      <c r="H2259" s="1" t="s">
        <v>15</v>
      </c>
      <c r="I2259" s="1" t="str">
        <f>"1"</f>
        <v>1</v>
      </c>
      <c r="J2259" s="3">
        <v>2292.92</v>
      </c>
      <c r="K2259" s="4">
        <v>46076</v>
      </c>
      <c r="L2259" s="4">
        <v>46087</v>
      </c>
      <c r="M2259" s="1" t="s">
        <v>7072</v>
      </c>
      <c r="N2259" s="1" t="s">
        <v>7071</v>
      </c>
    </row>
    <row r="2260" spans="1:14" s="1" customFormat="1" x14ac:dyDescent="0.35">
      <c r="A2260" s="1" t="s">
        <v>4492</v>
      </c>
      <c r="B2260" s="1" t="s">
        <v>1303</v>
      </c>
      <c r="C2260" s="1" t="s">
        <v>1408</v>
      </c>
      <c r="D2260" s="1" t="s">
        <v>7070</v>
      </c>
      <c r="E2260" s="1" t="str">
        <f>"2320"</f>
        <v>2320</v>
      </c>
      <c r="F2260" s="1" t="str">
        <f>"010911597"</f>
        <v>010911597</v>
      </c>
      <c r="G2260" s="1" t="s">
        <v>4468</v>
      </c>
      <c r="H2260" s="1" t="s">
        <v>15</v>
      </c>
      <c r="I2260" s="1" t="str">
        <f>"1"</f>
        <v>1</v>
      </c>
      <c r="J2260" s="3" t="str">
        <f>"150120"</f>
        <v>150120</v>
      </c>
      <c r="K2260" s="4">
        <v>46074</v>
      </c>
      <c r="L2260" s="4">
        <v>46088</v>
      </c>
      <c r="M2260" s="1" t="s">
        <v>7069</v>
      </c>
      <c r="N2260" s="1" t="s">
        <v>7068</v>
      </c>
    </row>
    <row r="2261" spans="1:14" s="1" customFormat="1" x14ac:dyDescent="0.35">
      <c r="A2261" s="1" t="s">
        <v>4492</v>
      </c>
      <c r="B2261" s="1" t="s">
        <v>1303</v>
      </c>
      <c r="C2261" s="1" t="s">
        <v>1408</v>
      </c>
      <c r="D2261" s="1" t="s">
        <v>7067</v>
      </c>
      <c r="E2261" s="1" t="str">
        <f>"2330"</f>
        <v>2330</v>
      </c>
      <c r="F2261" s="1" t="s">
        <v>104</v>
      </c>
      <c r="G2261" s="1" t="s">
        <v>105</v>
      </c>
      <c r="H2261" s="1" t="s">
        <v>15</v>
      </c>
      <c r="I2261" s="1" t="str">
        <f>"1"</f>
        <v>1</v>
      </c>
      <c r="J2261" s="3">
        <v>968678.86</v>
      </c>
      <c r="K2261" s="4">
        <v>46075</v>
      </c>
      <c r="L2261" s="4">
        <v>46088</v>
      </c>
      <c r="M2261" s="1" t="s">
        <v>7066</v>
      </c>
      <c r="N2261" s="1" t="s">
        <v>7065</v>
      </c>
    </row>
    <row r="2262" spans="1:14" s="1" customFormat="1" x14ac:dyDescent="0.35">
      <c r="A2262" s="1" t="s">
        <v>4492</v>
      </c>
      <c r="B2262" s="1" t="s">
        <v>1303</v>
      </c>
      <c r="C2262" s="1" t="s">
        <v>1408</v>
      </c>
      <c r="D2262" s="1" t="s">
        <v>7064</v>
      </c>
      <c r="E2262" s="1" t="str">
        <f>"2330"</f>
        <v>2330</v>
      </c>
      <c r="F2262" s="1" t="str">
        <f>"010911710"</f>
        <v>010911710</v>
      </c>
      <c r="G2262" s="1" t="s">
        <v>3511</v>
      </c>
      <c r="H2262" s="1" t="s">
        <v>15</v>
      </c>
      <c r="I2262" s="1" t="str">
        <f>"1"</f>
        <v>1</v>
      </c>
      <c r="J2262" s="3" t="str">
        <f>"4200"</f>
        <v>4200</v>
      </c>
      <c r="K2262" s="4">
        <v>46083</v>
      </c>
      <c r="L2262" s="4">
        <v>46095</v>
      </c>
      <c r="M2262" s="1" t="s">
        <v>7063</v>
      </c>
      <c r="N2262" s="1" t="s">
        <v>7062</v>
      </c>
    </row>
    <row r="2263" spans="1:14" s="1" customFormat="1" x14ac:dyDescent="0.35">
      <c r="A2263" s="1" t="s">
        <v>4492</v>
      </c>
      <c r="B2263" s="1" t="s">
        <v>1303</v>
      </c>
      <c r="C2263" s="1" t="s">
        <v>1408</v>
      </c>
      <c r="D2263" s="1" t="s">
        <v>7061</v>
      </c>
      <c r="E2263" s="1" t="str">
        <f>"2310"</f>
        <v>2310</v>
      </c>
      <c r="F2263" s="1" t="s">
        <v>4332</v>
      </c>
      <c r="G2263" s="1" t="s">
        <v>4333</v>
      </c>
      <c r="H2263" s="1" t="s">
        <v>15</v>
      </c>
      <c r="I2263" s="1" t="str">
        <f>"1"</f>
        <v>1</v>
      </c>
      <c r="J2263" s="3" t="str">
        <f>"81369"</f>
        <v>81369</v>
      </c>
      <c r="K2263" s="4">
        <v>46095</v>
      </c>
      <c r="L2263" s="4">
        <v>46095</v>
      </c>
      <c r="N2263" s="1" t="s">
        <v>7060</v>
      </c>
    </row>
    <row r="2264" spans="1:14" s="1" customFormat="1" x14ac:dyDescent="0.35">
      <c r="A2264" s="1" t="s">
        <v>4492</v>
      </c>
      <c r="B2264" s="1" t="s">
        <v>1303</v>
      </c>
      <c r="C2264" s="1" t="s">
        <v>1408</v>
      </c>
      <c r="D2264" s="1" t="s">
        <v>7059</v>
      </c>
      <c r="E2264" s="1" t="str">
        <f>"1940"</f>
        <v>1940</v>
      </c>
      <c r="F2264" s="1" t="s">
        <v>1898</v>
      </c>
      <c r="G2264" s="1" t="s">
        <v>1899</v>
      </c>
      <c r="H2264" s="1" t="s">
        <v>15</v>
      </c>
      <c r="I2264" s="1" t="str">
        <f>"1"</f>
        <v>1</v>
      </c>
      <c r="J2264" s="3" t="str">
        <f>"259000"</f>
        <v>259000</v>
      </c>
      <c r="K2264" s="4">
        <v>46097</v>
      </c>
      <c r="L2264" s="4">
        <v>46098</v>
      </c>
      <c r="M2264" s="1" t="s">
        <v>4524</v>
      </c>
      <c r="N2264" s="1" t="s">
        <v>7058</v>
      </c>
    </row>
    <row r="2265" spans="1:14" s="1" customFormat="1" x14ac:dyDescent="0.35">
      <c r="A2265" s="1" t="s">
        <v>4492</v>
      </c>
      <c r="B2265" s="1" t="s">
        <v>1303</v>
      </c>
      <c r="C2265" s="1" t="s">
        <v>1408</v>
      </c>
      <c r="D2265" s="1" t="s">
        <v>7057</v>
      </c>
      <c r="E2265" s="1" t="str">
        <f>"4240"</f>
        <v>4240</v>
      </c>
      <c r="F2265" s="1" t="s">
        <v>372</v>
      </c>
      <c r="G2265" s="1" t="s">
        <v>373</v>
      </c>
      <c r="H2265" s="1" t="s">
        <v>15</v>
      </c>
      <c r="I2265" s="1" t="str">
        <f>"1"</f>
        <v>1</v>
      </c>
      <c r="J2265" s="3">
        <v>3881.95</v>
      </c>
      <c r="K2265" s="4">
        <v>46097</v>
      </c>
      <c r="L2265" s="4">
        <v>46098</v>
      </c>
      <c r="M2265" s="1" t="s">
        <v>4524</v>
      </c>
      <c r="N2265" s="1" t="s">
        <v>7056</v>
      </c>
    </row>
    <row r="2266" spans="1:14" s="1" customFormat="1" x14ac:dyDescent="0.35">
      <c r="A2266" s="1" t="s">
        <v>4492</v>
      </c>
      <c r="B2266" s="1" t="s">
        <v>1303</v>
      </c>
      <c r="C2266" s="1" t="s">
        <v>1408</v>
      </c>
      <c r="D2266" s="1" t="s">
        <v>7055</v>
      </c>
      <c r="E2266" s="1" t="str">
        <f>"2310"</f>
        <v>2310</v>
      </c>
      <c r="F2266" s="1" t="str">
        <f>"016231545"</f>
        <v>016231545</v>
      </c>
      <c r="G2266" s="1" t="s">
        <v>232</v>
      </c>
      <c r="H2266" s="1" t="s">
        <v>15</v>
      </c>
      <c r="I2266" s="1" t="str">
        <f>"1"</f>
        <v>1</v>
      </c>
      <c r="J2266" s="3" t="str">
        <f>"32000"</f>
        <v>32000</v>
      </c>
      <c r="K2266" s="4">
        <v>46098</v>
      </c>
      <c r="L2266" s="4">
        <v>46099</v>
      </c>
      <c r="M2266" s="1" t="s">
        <v>7054</v>
      </c>
      <c r="N2266" s="1" t="s">
        <v>7053</v>
      </c>
    </row>
    <row r="2267" spans="1:14" s="1" customFormat="1" x14ac:dyDescent="0.35">
      <c r="A2267" s="1" t="s">
        <v>4492</v>
      </c>
      <c r="B2267" s="1" t="s">
        <v>1303</v>
      </c>
      <c r="C2267" s="1" t="s">
        <v>1408</v>
      </c>
      <c r="D2267" s="1" t="s">
        <v>7055</v>
      </c>
      <c r="E2267" s="1" t="str">
        <f>"2310"</f>
        <v>2310</v>
      </c>
      <c r="F2267" s="1" t="str">
        <f>"016231545"</f>
        <v>016231545</v>
      </c>
      <c r="G2267" s="1" t="s">
        <v>232</v>
      </c>
      <c r="H2267" s="1" t="s">
        <v>15</v>
      </c>
      <c r="I2267" s="1" t="str">
        <f>"1"</f>
        <v>1</v>
      </c>
      <c r="J2267" s="3" t="str">
        <f>"32000"</f>
        <v>32000</v>
      </c>
      <c r="K2267" s="4">
        <v>46098</v>
      </c>
      <c r="L2267" s="4">
        <v>46099</v>
      </c>
      <c r="M2267" s="1" t="s">
        <v>7054</v>
      </c>
      <c r="N2267" s="1" t="s">
        <v>7053</v>
      </c>
    </row>
    <row r="2268" spans="1:14" s="1" customFormat="1" x14ac:dyDescent="0.35">
      <c r="A2268" s="1" t="s">
        <v>4492</v>
      </c>
      <c r="B2268" s="1" t="s">
        <v>1989</v>
      </c>
      <c r="C2268" s="1" t="s">
        <v>7034</v>
      </c>
      <c r="D2268" s="1" t="s">
        <v>7052</v>
      </c>
      <c r="E2268" s="1" t="str">
        <f>"2340"</f>
        <v>2340</v>
      </c>
      <c r="F2268" s="1" t="s">
        <v>1071</v>
      </c>
      <c r="G2268" s="1" t="s">
        <v>1072</v>
      </c>
      <c r="H2268" s="1" t="s">
        <v>15</v>
      </c>
      <c r="I2268" s="1" t="str">
        <f>"1"</f>
        <v>1</v>
      </c>
      <c r="J2268" s="3" t="str">
        <f>"5000"</f>
        <v>5000</v>
      </c>
      <c r="K2268" s="4">
        <v>46097</v>
      </c>
      <c r="L2268" s="4">
        <v>46100</v>
      </c>
      <c r="M2268" s="1" t="s">
        <v>7051</v>
      </c>
      <c r="N2268" s="1" t="s">
        <v>7050</v>
      </c>
    </row>
    <row r="2269" spans="1:14" s="1" customFormat="1" x14ac:dyDescent="0.35">
      <c r="A2269" s="1" t="s">
        <v>4492</v>
      </c>
      <c r="B2269" s="1" t="s">
        <v>1989</v>
      </c>
      <c r="C2269" s="1" t="s">
        <v>7034</v>
      </c>
      <c r="D2269" s="1" t="s">
        <v>7049</v>
      </c>
      <c r="E2269" s="1" t="str">
        <f>"6230"</f>
        <v>6230</v>
      </c>
      <c r="F2269" s="1" t="s">
        <v>3594</v>
      </c>
      <c r="G2269" s="1" t="s">
        <v>3595</v>
      </c>
      <c r="H2269" s="1" t="s">
        <v>15</v>
      </c>
      <c r="I2269" s="1" t="str">
        <f>"1"</f>
        <v>1</v>
      </c>
      <c r="J2269" s="3" t="str">
        <f>"8000"</f>
        <v>8000</v>
      </c>
      <c r="K2269" s="4">
        <v>46097</v>
      </c>
      <c r="L2269" s="4">
        <v>46109</v>
      </c>
      <c r="M2269" s="1" t="s">
        <v>7048</v>
      </c>
      <c r="N2269" s="1" t="s">
        <v>7047</v>
      </c>
    </row>
    <row r="2270" spans="1:14" s="1" customFormat="1" x14ac:dyDescent="0.35">
      <c r="A2270" s="1" t="s">
        <v>4492</v>
      </c>
      <c r="B2270" s="1" t="s">
        <v>1989</v>
      </c>
      <c r="C2270" s="1" t="s">
        <v>7034</v>
      </c>
      <c r="D2270" s="1" t="s">
        <v>7046</v>
      </c>
      <c r="E2270" s="1" t="str">
        <f>"5180"</f>
        <v>5180</v>
      </c>
      <c r="F2270" s="1" t="str">
        <f>"015878129"</f>
        <v>015878129</v>
      </c>
      <c r="G2270" s="1" t="s">
        <v>322</v>
      </c>
      <c r="H2270" s="1" t="s">
        <v>15</v>
      </c>
      <c r="I2270" s="1" t="str">
        <f>"6"</f>
        <v>6</v>
      </c>
      <c r="J2270" s="3">
        <v>1720.12</v>
      </c>
      <c r="K2270" s="4">
        <v>46097</v>
      </c>
      <c r="L2270" s="4">
        <v>46109</v>
      </c>
      <c r="M2270" s="1" t="s">
        <v>7045</v>
      </c>
      <c r="N2270" s="1" t="s">
        <v>7044</v>
      </c>
    </row>
    <row r="2271" spans="1:14" s="1" customFormat="1" x14ac:dyDescent="0.35">
      <c r="A2271" s="1" t="s">
        <v>4492</v>
      </c>
      <c r="B2271" s="1" t="s">
        <v>1989</v>
      </c>
      <c r="C2271" s="1" t="s">
        <v>7034</v>
      </c>
      <c r="D2271" s="1" t="s">
        <v>7043</v>
      </c>
      <c r="E2271" s="1" t="str">
        <f>"7010"</f>
        <v>7010</v>
      </c>
      <c r="F2271" s="1" t="s">
        <v>1203</v>
      </c>
      <c r="G2271" s="1" t="s">
        <v>1204</v>
      </c>
      <c r="H2271" s="1" t="s">
        <v>15</v>
      </c>
      <c r="I2271" s="1" t="str">
        <f>"4"</f>
        <v>4</v>
      </c>
      <c r="J2271" s="3" t="str">
        <f>"1182"</f>
        <v>1182</v>
      </c>
      <c r="K2271" s="4">
        <v>46098</v>
      </c>
      <c r="L2271" s="4">
        <v>46109</v>
      </c>
      <c r="M2271" s="1" t="s">
        <v>7042</v>
      </c>
      <c r="N2271" s="1" t="s">
        <v>7041</v>
      </c>
    </row>
    <row r="2272" spans="1:14" s="1" customFormat="1" x14ac:dyDescent="0.35">
      <c r="A2272" s="1" t="s">
        <v>4492</v>
      </c>
      <c r="B2272" s="1" t="s">
        <v>1989</v>
      </c>
      <c r="C2272" s="1" t="s">
        <v>7034</v>
      </c>
      <c r="D2272" s="1" t="s">
        <v>7040</v>
      </c>
      <c r="E2272" s="1" t="str">
        <f>"5180"</f>
        <v>5180</v>
      </c>
      <c r="F2272" s="1" t="str">
        <f>"014618105"</f>
        <v>014618105</v>
      </c>
      <c r="G2272" s="1" t="s">
        <v>7039</v>
      </c>
      <c r="H2272" s="1" t="s">
        <v>15</v>
      </c>
      <c r="I2272" s="1" t="str">
        <f>"1"</f>
        <v>1</v>
      </c>
      <c r="J2272" s="3">
        <v>9835.73</v>
      </c>
      <c r="K2272" s="4">
        <v>46098</v>
      </c>
      <c r="L2272" s="4">
        <v>46109</v>
      </c>
      <c r="M2272" s="1" t="s">
        <v>7038</v>
      </c>
      <c r="N2272" s="1" t="s">
        <v>7037</v>
      </c>
    </row>
    <row r="2273" spans="1:14" s="1" customFormat="1" x14ac:dyDescent="0.35">
      <c r="A2273" s="1" t="s">
        <v>4492</v>
      </c>
      <c r="B2273" s="1" t="s">
        <v>1989</v>
      </c>
      <c r="C2273" s="1" t="s">
        <v>7034</v>
      </c>
      <c r="D2273" s="1" t="s">
        <v>7036</v>
      </c>
      <c r="E2273" s="1" t="str">
        <f>"6730"</f>
        <v>6730</v>
      </c>
      <c r="F2273" s="1" t="s">
        <v>2462</v>
      </c>
      <c r="G2273" s="1" t="s">
        <v>2463</v>
      </c>
      <c r="H2273" s="1" t="s">
        <v>15</v>
      </c>
      <c r="I2273" s="1" t="str">
        <f>"1"</f>
        <v>1</v>
      </c>
      <c r="J2273" s="3" t="str">
        <f>"400"</f>
        <v>400</v>
      </c>
      <c r="K2273" s="4">
        <v>46108</v>
      </c>
      <c r="L2273" s="4">
        <v>46109</v>
      </c>
      <c r="M2273" s="1" t="s">
        <v>4524</v>
      </c>
      <c r="N2273" s="1" t="s">
        <v>7035</v>
      </c>
    </row>
    <row r="2274" spans="1:14" s="1" customFormat="1" x14ac:dyDescent="0.35">
      <c r="A2274" s="1" t="s">
        <v>4492</v>
      </c>
      <c r="B2274" s="1" t="s">
        <v>1989</v>
      </c>
      <c r="C2274" s="1" t="s">
        <v>7034</v>
      </c>
      <c r="D2274" s="1" t="s">
        <v>7033</v>
      </c>
      <c r="E2274" s="1" t="str">
        <f>"4240"</f>
        <v>4240</v>
      </c>
      <c r="F2274" s="1" t="str">
        <f>"016306064"</f>
        <v>016306064</v>
      </c>
      <c r="G2274" s="1" t="s">
        <v>1404</v>
      </c>
      <c r="H2274" s="1" t="s">
        <v>15</v>
      </c>
      <c r="I2274" s="1" t="str">
        <f>"10"</f>
        <v>10</v>
      </c>
      <c r="J2274" s="3">
        <v>128.97999999999999</v>
      </c>
      <c r="K2274" s="4">
        <v>46103</v>
      </c>
      <c r="L2274" s="4">
        <v>46105</v>
      </c>
      <c r="M2274" s="1" t="s">
        <v>7032</v>
      </c>
      <c r="N2274" s="1" t="s">
        <v>7031</v>
      </c>
    </row>
    <row r="2275" spans="1:14" s="1" customFormat="1" x14ac:dyDescent="0.35">
      <c r="A2275" s="1" t="s">
        <v>4492</v>
      </c>
      <c r="B2275" s="1" t="s">
        <v>1303</v>
      </c>
      <c r="C2275" s="1" t="s">
        <v>1442</v>
      </c>
      <c r="D2275" s="1" t="s">
        <v>7030</v>
      </c>
      <c r="E2275" s="1" t="str">
        <f>"1240"</f>
        <v>1240</v>
      </c>
      <c r="F2275" s="1" t="str">
        <f>"015544488"</f>
        <v>015544488</v>
      </c>
      <c r="G2275" s="1" t="s">
        <v>5801</v>
      </c>
      <c r="H2275" s="1" t="s">
        <v>15</v>
      </c>
      <c r="I2275" s="1" t="str">
        <f>"6"</f>
        <v>6</v>
      </c>
      <c r="J2275" s="3" t="str">
        <f>"379"</f>
        <v>379</v>
      </c>
      <c r="K2275" s="4">
        <v>46014</v>
      </c>
      <c r="L2275" s="4">
        <v>46111</v>
      </c>
      <c r="M2275" s="1" t="s">
        <v>7029</v>
      </c>
      <c r="N2275" s="1" t="s">
        <v>7028</v>
      </c>
    </row>
    <row r="2276" spans="1:14" s="1" customFormat="1" x14ac:dyDescent="0.35">
      <c r="A2276" s="1" t="s">
        <v>4492</v>
      </c>
      <c r="B2276" s="1" t="s">
        <v>1303</v>
      </c>
      <c r="C2276" s="1" t="s">
        <v>1442</v>
      </c>
      <c r="D2276" s="1" t="s">
        <v>7027</v>
      </c>
      <c r="E2276" s="1" t="str">
        <f>"2805"</f>
        <v>2805</v>
      </c>
      <c r="F2276" s="1" t="str">
        <f>"016279670"</f>
        <v>016279670</v>
      </c>
      <c r="G2276" s="1" t="s">
        <v>4158</v>
      </c>
      <c r="H2276" s="1" t="s">
        <v>15</v>
      </c>
      <c r="I2276" s="1" t="str">
        <f>"1"</f>
        <v>1</v>
      </c>
      <c r="J2276" s="3" t="str">
        <f>"14944"</f>
        <v>14944</v>
      </c>
      <c r="K2276" s="4">
        <v>46048</v>
      </c>
      <c r="L2276" s="4">
        <v>46060</v>
      </c>
      <c r="M2276" s="1" t="s">
        <v>7026</v>
      </c>
      <c r="N2276" s="1" t="s">
        <v>7025</v>
      </c>
    </row>
    <row r="2277" spans="1:14" s="1" customFormat="1" x14ac:dyDescent="0.35">
      <c r="A2277" s="1" t="s">
        <v>4492</v>
      </c>
      <c r="B2277" s="1" t="s">
        <v>1303</v>
      </c>
      <c r="C2277" s="1" t="s">
        <v>1442</v>
      </c>
      <c r="D2277" s="1" t="s">
        <v>7024</v>
      </c>
      <c r="E2277" s="1" t="str">
        <f>"1990"</f>
        <v>1990</v>
      </c>
      <c r="F2277" s="1" t="s">
        <v>5830</v>
      </c>
      <c r="G2277" s="1" t="s">
        <v>5829</v>
      </c>
      <c r="H2277" s="1" t="s">
        <v>15</v>
      </c>
      <c r="I2277" s="1" t="str">
        <f>"1"</f>
        <v>1</v>
      </c>
      <c r="J2277" s="3" t="str">
        <f>"42624"</f>
        <v>42624</v>
      </c>
      <c r="K2277" s="4">
        <v>46070</v>
      </c>
      <c r="L2277" s="4">
        <v>46104</v>
      </c>
      <c r="M2277" s="1" t="s">
        <v>7023</v>
      </c>
      <c r="N2277" s="1" t="s">
        <v>7022</v>
      </c>
    </row>
    <row r="2278" spans="1:14" s="1" customFormat="1" x14ac:dyDescent="0.35">
      <c r="A2278" s="1" t="s">
        <v>4492</v>
      </c>
      <c r="B2278" s="1" t="s">
        <v>1303</v>
      </c>
      <c r="C2278" s="1" t="s">
        <v>1442</v>
      </c>
      <c r="D2278" s="1" t="s">
        <v>7021</v>
      </c>
      <c r="E2278" s="1" t="str">
        <f>"5855"</f>
        <v>5855</v>
      </c>
      <c r="F2278" s="1" t="str">
        <f>"015790062"</f>
        <v>015790062</v>
      </c>
      <c r="G2278" s="1" t="s">
        <v>742</v>
      </c>
      <c r="H2278" s="1" t="s">
        <v>15</v>
      </c>
      <c r="I2278" s="1" t="str">
        <f>"14"</f>
        <v>14</v>
      </c>
      <c r="J2278" s="3" t="str">
        <f>"900"</f>
        <v>900</v>
      </c>
      <c r="K2278" s="4">
        <v>46077</v>
      </c>
      <c r="L2278" s="4">
        <v>46105</v>
      </c>
      <c r="M2278" s="1" t="s">
        <v>7020</v>
      </c>
      <c r="N2278" s="1" t="s">
        <v>7019</v>
      </c>
    </row>
    <row r="2279" spans="1:14" s="1" customFormat="1" x14ac:dyDescent="0.35">
      <c r="A2279" s="1" t="s">
        <v>4492</v>
      </c>
      <c r="B2279" s="1" t="s">
        <v>1303</v>
      </c>
      <c r="C2279" s="1" t="s">
        <v>1442</v>
      </c>
      <c r="D2279" s="1" t="s">
        <v>7018</v>
      </c>
      <c r="E2279" s="1" t="str">
        <f>"1005"</f>
        <v>1005</v>
      </c>
      <c r="F2279" s="1" t="str">
        <f>"016316485"</f>
        <v>016316485</v>
      </c>
      <c r="G2279" s="1" t="s">
        <v>2502</v>
      </c>
      <c r="H2279" s="1" t="s">
        <v>15</v>
      </c>
      <c r="I2279" s="1" t="str">
        <f>"21"</f>
        <v>21</v>
      </c>
      <c r="J2279" s="3">
        <v>1140.4100000000001</v>
      </c>
      <c r="K2279" s="4">
        <v>46083</v>
      </c>
      <c r="L2279" s="4">
        <v>46095</v>
      </c>
      <c r="M2279" s="1" t="s">
        <v>7017</v>
      </c>
      <c r="N2279" s="1" t="s">
        <v>7016</v>
      </c>
    </row>
    <row r="2280" spans="1:14" s="1" customFormat="1" x14ac:dyDescent="0.35">
      <c r="A2280" s="1" t="s">
        <v>4492</v>
      </c>
      <c r="B2280" s="1" t="s">
        <v>1303</v>
      </c>
      <c r="C2280" s="1" t="s">
        <v>1442</v>
      </c>
      <c r="D2280" s="1" t="s">
        <v>7015</v>
      </c>
      <c r="E2280" s="1" t="str">
        <f>"5855"</f>
        <v>5855</v>
      </c>
      <c r="F2280" s="1" t="str">
        <f>"015847217"</f>
        <v>015847217</v>
      </c>
      <c r="G2280" s="1" t="s">
        <v>614</v>
      </c>
      <c r="H2280" s="1" t="s">
        <v>15</v>
      </c>
      <c r="I2280" s="1" t="str">
        <f>"5"</f>
        <v>5</v>
      </c>
      <c r="J2280" s="3" t="str">
        <f>"34084"</f>
        <v>34084</v>
      </c>
      <c r="K2280" s="4">
        <v>46097</v>
      </c>
      <c r="L2280" s="4">
        <v>46100</v>
      </c>
      <c r="M2280" s="1" t="s">
        <v>7014</v>
      </c>
      <c r="N2280" s="1" t="s">
        <v>7013</v>
      </c>
    </row>
    <row r="2281" spans="1:14" s="1" customFormat="1" x14ac:dyDescent="0.35">
      <c r="A2281" s="1" t="s">
        <v>4492</v>
      </c>
      <c r="B2281" s="1" t="s">
        <v>1013</v>
      </c>
      <c r="C2281" s="1" t="s">
        <v>1077</v>
      </c>
      <c r="D2281" s="1" t="s">
        <v>7012</v>
      </c>
      <c r="E2281" s="1" t="str">
        <f>"6115"</f>
        <v>6115</v>
      </c>
      <c r="F2281" s="1" t="s">
        <v>157</v>
      </c>
      <c r="G2281" s="1" t="s">
        <v>158</v>
      </c>
      <c r="H2281" s="1" t="s">
        <v>15</v>
      </c>
      <c r="I2281" s="1" t="str">
        <f>"1"</f>
        <v>1</v>
      </c>
      <c r="J2281" s="3" t="str">
        <f>"1500"</f>
        <v>1500</v>
      </c>
      <c r="K2281" s="4">
        <v>45996</v>
      </c>
      <c r="L2281" s="4">
        <v>46064</v>
      </c>
      <c r="M2281" s="1" t="s">
        <v>7011</v>
      </c>
      <c r="N2281" s="1" t="s">
        <v>7010</v>
      </c>
    </row>
    <row r="2282" spans="1:14" s="1" customFormat="1" x14ac:dyDescent="0.35">
      <c r="A2282" s="1" t="s">
        <v>4492</v>
      </c>
      <c r="B2282" s="1" t="s">
        <v>1013</v>
      </c>
      <c r="C2282" s="1" t="s">
        <v>1077</v>
      </c>
      <c r="D2282" s="1" t="s">
        <v>7009</v>
      </c>
      <c r="E2282" s="1" t="str">
        <f>"3590"</f>
        <v>3590</v>
      </c>
      <c r="F2282" s="1" t="s">
        <v>1052</v>
      </c>
      <c r="G2282" s="1" t="s">
        <v>1053</v>
      </c>
      <c r="H2282" s="1" t="s">
        <v>15</v>
      </c>
      <c r="I2282" s="1" t="str">
        <f>"1"</f>
        <v>1</v>
      </c>
      <c r="J2282" s="3" t="str">
        <f>"20000"</f>
        <v>20000</v>
      </c>
      <c r="K2282" s="4">
        <v>46082</v>
      </c>
      <c r="L2282" s="4">
        <v>46084</v>
      </c>
      <c r="M2282" s="1" t="s">
        <v>4524</v>
      </c>
      <c r="N2282" s="1" t="s">
        <v>7008</v>
      </c>
    </row>
    <row r="2283" spans="1:14" s="1" customFormat="1" x14ac:dyDescent="0.35">
      <c r="A2283" s="1" t="s">
        <v>4492</v>
      </c>
      <c r="B2283" s="1" t="s">
        <v>1013</v>
      </c>
      <c r="C2283" s="1" t="s">
        <v>1077</v>
      </c>
      <c r="D2283" s="1" t="s">
        <v>7007</v>
      </c>
      <c r="E2283" s="1" t="str">
        <f>"8145"</f>
        <v>8145</v>
      </c>
      <c r="F2283" s="1" t="str">
        <f>"014423336"</f>
        <v>014423336</v>
      </c>
      <c r="G2283" s="1" t="s">
        <v>753</v>
      </c>
      <c r="H2283" s="1" t="s">
        <v>15</v>
      </c>
      <c r="I2283" s="1" t="str">
        <f>"1"</f>
        <v>1</v>
      </c>
      <c r="J2283" s="3" t="str">
        <f>"4975"</f>
        <v>4975</v>
      </c>
      <c r="K2283" s="4">
        <v>46105</v>
      </c>
      <c r="L2283" s="4">
        <v>46106</v>
      </c>
      <c r="M2283" s="1" t="s">
        <v>4524</v>
      </c>
      <c r="N2283" s="1" t="s">
        <v>7006</v>
      </c>
    </row>
    <row r="2284" spans="1:14" s="1" customFormat="1" x14ac:dyDescent="0.35">
      <c r="A2284" s="1" t="s">
        <v>4492</v>
      </c>
      <c r="B2284" s="1" t="s">
        <v>1013</v>
      </c>
      <c r="C2284" s="1" t="s">
        <v>7005</v>
      </c>
      <c r="D2284" s="1" t="s">
        <v>7004</v>
      </c>
      <c r="E2284" s="1" t="str">
        <f>"5855"</f>
        <v>5855</v>
      </c>
      <c r="F2284" s="1" t="s">
        <v>2510</v>
      </c>
      <c r="G2284" s="1" t="s">
        <v>2511</v>
      </c>
      <c r="H2284" s="1" t="s">
        <v>15</v>
      </c>
      <c r="I2284" s="1" t="str">
        <f>"3"</f>
        <v>3</v>
      </c>
      <c r="J2284" s="3" t="str">
        <f>"188"</f>
        <v>188</v>
      </c>
      <c r="K2284" s="4">
        <v>46106</v>
      </c>
      <c r="L2284" s="4">
        <v>46108</v>
      </c>
      <c r="M2284" s="1" t="s">
        <v>7003</v>
      </c>
      <c r="N2284" s="1" t="s">
        <v>7002</v>
      </c>
    </row>
    <row r="2285" spans="1:14" s="1" customFormat="1" x14ac:dyDescent="0.35">
      <c r="A2285" s="1" t="s">
        <v>4492</v>
      </c>
      <c r="B2285" s="1" t="s">
        <v>1013</v>
      </c>
      <c r="C2285" s="1" t="s">
        <v>7005</v>
      </c>
      <c r="D2285" s="1" t="s">
        <v>7004</v>
      </c>
      <c r="E2285" s="1" t="str">
        <f>"5855"</f>
        <v>5855</v>
      </c>
      <c r="F2285" s="1" t="s">
        <v>2510</v>
      </c>
      <c r="G2285" s="1" t="s">
        <v>2511</v>
      </c>
      <c r="H2285" s="1" t="s">
        <v>15</v>
      </c>
      <c r="I2285" s="1" t="str">
        <f>"3"</f>
        <v>3</v>
      </c>
      <c r="J2285" s="3" t="str">
        <f>"188"</f>
        <v>188</v>
      </c>
      <c r="K2285" s="4">
        <v>46106</v>
      </c>
      <c r="L2285" s="4">
        <v>46108</v>
      </c>
      <c r="M2285" s="1" t="s">
        <v>7003</v>
      </c>
      <c r="N2285" s="1" t="s">
        <v>7002</v>
      </c>
    </row>
    <row r="2286" spans="1:14" s="1" customFormat="1" x14ac:dyDescent="0.35">
      <c r="A2286" s="1" t="s">
        <v>4492</v>
      </c>
      <c r="B2286" s="1" t="s">
        <v>1293</v>
      </c>
      <c r="C2286" s="1" t="s">
        <v>1297</v>
      </c>
      <c r="D2286" s="1" t="s">
        <v>7001</v>
      </c>
      <c r="E2286" s="1" t="str">
        <f>"7830"</f>
        <v>7830</v>
      </c>
      <c r="F2286" s="1" t="s">
        <v>2008</v>
      </c>
      <c r="G2286" s="1" t="s">
        <v>2009</v>
      </c>
      <c r="H2286" s="1" t="s">
        <v>15</v>
      </c>
      <c r="I2286" s="1" t="str">
        <f>"3"</f>
        <v>3</v>
      </c>
      <c r="J2286" s="3" t="str">
        <f>"695"</f>
        <v>695</v>
      </c>
      <c r="K2286" s="4">
        <v>46030</v>
      </c>
      <c r="L2286" s="4">
        <v>46031</v>
      </c>
      <c r="M2286" s="1" t="s">
        <v>4524</v>
      </c>
      <c r="N2286" s="1" t="s">
        <v>7000</v>
      </c>
    </row>
    <row r="2287" spans="1:14" s="1" customFormat="1" x14ac:dyDescent="0.35">
      <c r="A2287" s="1" t="s">
        <v>4492</v>
      </c>
      <c r="B2287" s="1" t="s">
        <v>1293</v>
      </c>
      <c r="C2287" s="1" t="s">
        <v>1297</v>
      </c>
      <c r="D2287" s="1" t="s">
        <v>6999</v>
      </c>
      <c r="E2287" s="1" t="str">
        <f>"5855"</f>
        <v>5855</v>
      </c>
      <c r="F2287" s="1" t="str">
        <f>"015790062"</f>
        <v>015790062</v>
      </c>
      <c r="G2287" s="1" t="s">
        <v>742</v>
      </c>
      <c r="H2287" s="1" t="s">
        <v>15</v>
      </c>
      <c r="I2287" s="1" t="str">
        <f>"6"</f>
        <v>6</v>
      </c>
      <c r="J2287" s="3" t="str">
        <f>"900"</f>
        <v>900</v>
      </c>
      <c r="K2287" s="4">
        <v>46070</v>
      </c>
      <c r="L2287" s="4">
        <v>46094</v>
      </c>
      <c r="M2287" s="1" t="s">
        <v>6998</v>
      </c>
      <c r="N2287" s="1" t="s">
        <v>6997</v>
      </c>
    </row>
    <row r="2288" spans="1:14" s="1" customFormat="1" x14ac:dyDescent="0.35">
      <c r="A2288" s="1" t="s">
        <v>4492</v>
      </c>
      <c r="B2288" s="1" t="s">
        <v>1293</v>
      </c>
      <c r="C2288" s="1" t="s">
        <v>1297</v>
      </c>
      <c r="D2288" s="1" t="s">
        <v>6996</v>
      </c>
      <c r="E2288" s="1" t="str">
        <f>"5855"</f>
        <v>5855</v>
      </c>
      <c r="F2288" s="1" t="str">
        <f>"015315726"</f>
        <v>015315726</v>
      </c>
      <c r="G2288" s="1" t="s">
        <v>1188</v>
      </c>
      <c r="H2288" s="1" t="s">
        <v>15</v>
      </c>
      <c r="I2288" s="1" t="str">
        <f>"1"</f>
        <v>1</v>
      </c>
      <c r="J2288" s="3" t="str">
        <f>"10089"</f>
        <v>10089</v>
      </c>
      <c r="K2288" s="4">
        <v>46072</v>
      </c>
      <c r="L2288" s="4">
        <v>46106</v>
      </c>
      <c r="M2288" s="1" t="s">
        <v>6995</v>
      </c>
      <c r="N2288" s="1" t="s">
        <v>1302</v>
      </c>
    </row>
    <row r="2289" spans="1:14" s="1" customFormat="1" x14ac:dyDescent="0.35">
      <c r="A2289" s="1" t="s">
        <v>4492</v>
      </c>
      <c r="B2289" s="1" t="s">
        <v>1293</v>
      </c>
      <c r="C2289" s="1" t="s">
        <v>1297</v>
      </c>
      <c r="D2289" s="1" t="s">
        <v>6994</v>
      </c>
      <c r="E2289" s="1" t="str">
        <f>"7830"</f>
        <v>7830</v>
      </c>
      <c r="F2289" s="1" t="s">
        <v>2008</v>
      </c>
      <c r="G2289" s="1" t="s">
        <v>2009</v>
      </c>
      <c r="H2289" s="1" t="s">
        <v>15</v>
      </c>
      <c r="I2289" s="1" t="str">
        <f>"1"</f>
        <v>1</v>
      </c>
      <c r="J2289" s="3" t="str">
        <f>"500"</f>
        <v>500</v>
      </c>
      <c r="K2289" s="4">
        <v>46093</v>
      </c>
      <c r="L2289" s="4">
        <v>46099</v>
      </c>
      <c r="M2289" s="1" t="s">
        <v>4524</v>
      </c>
      <c r="N2289" s="1" t="s">
        <v>6993</v>
      </c>
    </row>
    <row r="2290" spans="1:14" s="1" customFormat="1" x14ac:dyDescent="0.35">
      <c r="A2290" s="1" t="s">
        <v>4492</v>
      </c>
      <c r="B2290" s="1" t="s">
        <v>2196</v>
      </c>
      <c r="C2290" s="1" t="s">
        <v>2197</v>
      </c>
      <c r="D2290" s="1" t="s">
        <v>6992</v>
      </c>
      <c r="E2290" s="1" t="str">
        <f>"5855"</f>
        <v>5855</v>
      </c>
      <c r="F2290" s="1" t="str">
        <f>"015485687"</f>
        <v>015485687</v>
      </c>
      <c r="G2290" s="1" t="s">
        <v>798</v>
      </c>
      <c r="H2290" s="1" t="s">
        <v>15</v>
      </c>
      <c r="I2290" s="1" t="str">
        <f>"20"</f>
        <v>20</v>
      </c>
      <c r="J2290" s="3" t="str">
        <f>"10402"</f>
        <v>10402</v>
      </c>
      <c r="K2290" s="4">
        <v>46017</v>
      </c>
      <c r="L2290" s="4">
        <v>46025</v>
      </c>
      <c r="M2290" s="1" t="s">
        <v>6991</v>
      </c>
      <c r="N2290" s="1" t="s">
        <v>2204</v>
      </c>
    </row>
    <row r="2291" spans="1:14" s="1" customFormat="1" x14ac:dyDescent="0.35">
      <c r="A2291" s="1" t="s">
        <v>4492</v>
      </c>
      <c r="B2291" s="1" t="s">
        <v>2196</v>
      </c>
      <c r="C2291" s="1" t="s">
        <v>2197</v>
      </c>
      <c r="D2291" s="1" t="s">
        <v>6990</v>
      </c>
      <c r="E2291" s="1" t="str">
        <f>"5855"</f>
        <v>5855</v>
      </c>
      <c r="F2291" s="1" t="str">
        <f>"015345931"</f>
        <v>015345931</v>
      </c>
      <c r="G2291" s="1" t="s">
        <v>742</v>
      </c>
      <c r="H2291" s="1" t="s">
        <v>15</v>
      </c>
      <c r="I2291" s="1" t="str">
        <f>"6"</f>
        <v>6</v>
      </c>
      <c r="J2291" s="3" t="str">
        <f>"970"</f>
        <v>970</v>
      </c>
      <c r="K2291" s="4">
        <v>46033</v>
      </c>
      <c r="L2291" s="4">
        <v>46066</v>
      </c>
      <c r="M2291" s="1" t="s">
        <v>6989</v>
      </c>
      <c r="N2291" s="1" t="s">
        <v>6988</v>
      </c>
    </row>
    <row r="2292" spans="1:14" s="1" customFormat="1" x14ac:dyDescent="0.35">
      <c r="A2292" s="1" t="s">
        <v>4492</v>
      </c>
      <c r="B2292" s="1" t="s">
        <v>2196</v>
      </c>
      <c r="C2292" s="1" t="s">
        <v>2197</v>
      </c>
      <c r="D2292" s="1" t="s">
        <v>6987</v>
      </c>
      <c r="E2292" s="1" t="str">
        <f>"5855"</f>
        <v>5855</v>
      </c>
      <c r="F2292" s="1" t="str">
        <f>"013637491"</f>
        <v>013637491</v>
      </c>
      <c r="G2292" s="1" t="s">
        <v>614</v>
      </c>
      <c r="H2292" s="1" t="s">
        <v>15</v>
      </c>
      <c r="I2292" s="1" t="str">
        <f>"4"</f>
        <v>4</v>
      </c>
      <c r="J2292" s="3" t="str">
        <f>"6124"</f>
        <v>6124</v>
      </c>
      <c r="K2292" s="4">
        <v>46037</v>
      </c>
      <c r="L2292" s="4">
        <v>46047</v>
      </c>
      <c r="M2292" s="1" t="s">
        <v>4524</v>
      </c>
      <c r="N2292" s="1" t="s">
        <v>2204</v>
      </c>
    </row>
    <row r="2293" spans="1:14" s="1" customFormat="1" x14ac:dyDescent="0.35">
      <c r="A2293" s="1" t="s">
        <v>4492</v>
      </c>
      <c r="B2293" s="1" t="s">
        <v>2196</v>
      </c>
      <c r="C2293" s="1" t="s">
        <v>2197</v>
      </c>
      <c r="D2293" s="1" t="s">
        <v>6986</v>
      </c>
      <c r="E2293" s="1" t="str">
        <f>"5855"</f>
        <v>5855</v>
      </c>
      <c r="F2293" s="1" t="str">
        <f>"015485687"</f>
        <v>015485687</v>
      </c>
      <c r="G2293" s="1" t="s">
        <v>798</v>
      </c>
      <c r="H2293" s="1" t="s">
        <v>15</v>
      </c>
      <c r="I2293" s="1" t="str">
        <f>"10"</f>
        <v>10</v>
      </c>
      <c r="J2293" s="3" t="str">
        <f>"10402"</f>
        <v>10402</v>
      </c>
      <c r="K2293" s="4">
        <v>46042</v>
      </c>
      <c r="L2293" s="4">
        <v>46059</v>
      </c>
      <c r="M2293" s="1" t="s">
        <v>6985</v>
      </c>
      <c r="N2293" s="1" t="s">
        <v>2208</v>
      </c>
    </row>
    <row r="2294" spans="1:14" s="1" customFormat="1" x14ac:dyDescent="0.35">
      <c r="A2294" s="1" t="s">
        <v>4492</v>
      </c>
      <c r="B2294" s="1" t="s">
        <v>2196</v>
      </c>
      <c r="C2294" s="1" t="s">
        <v>2197</v>
      </c>
      <c r="D2294" s="1" t="s">
        <v>6984</v>
      </c>
      <c r="E2294" s="1" t="str">
        <f>"5855"</f>
        <v>5855</v>
      </c>
      <c r="F2294" s="1" t="str">
        <f>"014778738"</f>
        <v>014778738</v>
      </c>
      <c r="G2294" s="1" t="s">
        <v>614</v>
      </c>
      <c r="H2294" s="1" t="s">
        <v>15</v>
      </c>
      <c r="I2294" s="1" t="str">
        <f>"1"</f>
        <v>1</v>
      </c>
      <c r="J2294" s="3" t="str">
        <f>"7481"</f>
        <v>7481</v>
      </c>
      <c r="K2294" s="4">
        <v>46047</v>
      </c>
      <c r="L2294" s="4">
        <v>46049</v>
      </c>
      <c r="M2294" s="1" t="s">
        <v>6983</v>
      </c>
      <c r="N2294" s="1" t="s">
        <v>6982</v>
      </c>
    </row>
    <row r="2295" spans="1:14" s="1" customFormat="1" x14ac:dyDescent="0.35">
      <c r="A2295" s="1" t="s">
        <v>4492</v>
      </c>
      <c r="B2295" s="1" t="s">
        <v>2196</v>
      </c>
      <c r="C2295" s="1" t="s">
        <v>2197</v>
      </c>
      <c r="D2295" s="1" t="s">
        <v>6984</v>
      </c>
      <c r="E2295" s="1" t="str">
        <f>"5855"</f>
        <v>5855</v>
      </c>
      <c r="F2295" s="1" t="str">
        <f>"014778738"</f>
        <v>014778738</v>
      </c>
      <c r="G2295" s="1" t="s">
        <v>614</v>
      </c>
      <c r="H2295" s="1" t="s">
        <v>15</v>
      </c>
      <c r="I2295" s="1" t="str">
        <f>"1"</f>
        <v>1</v>
      </c>
      <c r="J2295" s="3" t="str">
        <f>"7481"</f>
        <v>7481</v>
      </c>
      <c r="K2295" s="4">
        <v>46047</v>
      </c>
      <c r="L2295" s="4">
        <v>46049</v>
      </c>
      <c r="M2295" s="1" t="s">
        <v>6983</v>
      </c>
      <c r="N2295" s="1" t="s">
        <v>6982</v>
      </c>
    </row>
    <row r="2296" spans="1:14" s="1" customFormat="1" x14ac:dyDescent="0.35">
      <c r="A2296" s="1" t="s">
        <v>4492</v>
      </c>
      <c r="B2296" s="1" t="s">
        <v>2196</v>
      </c>
      <c r="C2296" s="1" t="s">
        <v>2197</v>
      </c>
      <c r="D2296" s="1" t="s">
        <v>6981</v>
      </c>
      <c r="E2296" s="1" t="str">
        <f>"6910"</f>
        <v>6910</v>
      </c>
      <c r="F2296" s="1" t="s">
        <v>647</v>
      </c>
      <c r="G2296" s="1" t="s">
        <v>648</v>
      </c>
      <c r="H2296" s="1" t="s">
        <v>15</v>
      </c>
      <c r="I2296" s="1" t="str">
        <f>"1"</f>
        <v>1</v>
      </c>
      <c r="J2296" s="3" t="str">
        <f>"899"</f>
        <v>899</v>
      </c>
      <c r="K2296" s="4">
        <v>46054</v>
      </c>
      <c r="L2296" s="4">
        <v>46060</v>
      </c>
      <c r="M2296" s="1" t="s">
        <v>6980</v>
      </c>
      <c r="N2296" s="1" t="s">
        <v>6979</v>
      </c>
    </row>
    <row r="2297" spans="1:14" s="1" customFormat="1" x14ac:dyDescent="0.35">
      <c r="A2297" s="1" t="s">
        <v>4492</v>
      </c>
      <c r="B2297" s="1" t="s">
        <v>2196</v>
      </c>
      <c r="C2297" s="1" t="s">
        <v>2197</v>
      </c>
      <c r="D2297" s="1" t="s">
        <v>6978</v>
      </c>
      <c r="E2297" s="1" t="str">
        <f>"5855"</f>
        <v>5855</v>
      </c>
      <c r="F2297" s="1" t="str">
        <f>"015937377"</f>
        <v>015937377</v>
      </c>
      <c r="G2297" s="1" t="s">
        <v>1357</v>
      </c>
      <c r="H2297" s="1" t="s">
        <v>15</v>
      </c>
      <c r="I2297" s="1" t="str">
        <f>"20"</f>
        <v>20</v>
      </c>
      <c r="J2297" s="3">
        <v>82.8</v>
      </c>
      <c r="K2297" s="4">
        <v>46057</v>
      </c>
      <c r="L2297" s="4">
        <v>46064</v>
      </c>
      <c r="M2297" s="1" t="s">
        <v>6977</v>
      </c>
      <c r="N2297" s="1" t="s">
        <v>2206</v>
      </c>
    </row>
    <row r="2298" spans="1:14" s="1" customFormat="1" x14ac:dyDescent="0.35">
      <c r="A2298" s="1" t="s">
        <v>4492</v>
      </c>
      <c r="B2298" s="1" t="s">
        <v>2196</v>
      </c>
      <c r="C2298" s="1" t="s">
        <v>2197</v>
      </c>
      <c r="D2298" s="1" t="s">
        <v>6976</v>
      </c>
      <c r="E2298" s="1" t="str">
        <f>"5855"</f>
        <v>5855</v>
      </c>
      <c r="F2298" s="1" t="str">
        <f>"015485687"</f>
        <v>015485687</v>
      </c>
      <c r="G2298" s="1" t="s">
        <v>798</v>
      </c>
      <c r="H2298" s="1" t="s">
        <v>15</v>
      </c>
      <c r="I2298" s="1" t="str">
        <f>"10"</f>
        <v>10</v>
      </c>
      <c r="J2298" s="3" t="str">
        <f>"10402"</f>
        <v>10402</v>
      </c>
      <c r="K2298" s="4">
        <v>46067</v>
      </c>
      <c r="L2298" s="4">
        <v>46071</v>
      </c>
      <c r="M2298" s="1" t="s">
        <v>6975</v>
      </c>
      <c r="N2298" s="1" t="s">
        <v>2208</v>
      </c>
    </row>
    <row r="2299" spans="1:14" s="1" customFormat="1" x14ac:dyDescent="0.35">
      <c r="A2299" s="1" t="s">
        <v>4492</v>
      </c>
      <c r="B2299" s="1" t="s">
        <v>2196</v>
      </c>
      <c r="C2299" s="1" t="s">
        <v>2197</v>
      </c>
      <c r="D2299" s="1" t="s">
        <v>6974</v>
      </c>
      <c r="E2299" s="1" t="str">
        <f>"2320"</f>
        <v>2320</v>
      </c>
      <c r="F2299" s="1" t="s">
        <v>1016</v>
      </c>
      <c r="G2299" s="1" t="s">
        <v>1017</v>
      </c>
      <c r="H2299" s="1" t="s">
        <v>15</v>
      </c>
      <c r="I2299" s="1" t="str">
        <f>"1"</f>
        <v>1</v>
      </c>
      <c r="J2299" s="3">
        <v>25718.639999999999</v>
      </c>
      <c r="K2299" s="4">
        <v>46093</v>
      </c>
      <c r="L2299" s="4">
        <v>46103</v>
      </c>
      <c r="M2299" s="1" t="s">
        <v>6973</v>
      </c>
      <c r="N2299" s="1" t="s">
        <v>6972</v>
      </c>
    </row>
    <row r="2300" spans="1:14" s="1" customFormat="1" x14ac:dyDescent="0.35">
      <c r="A2300" s="1" t="s">
        <v>4492</v>
      </c>
      <c r="B2300" s="1" t="s">
        <v>2196</v>
      </c>
      <c r="C2300" s="1" t="s">
        <v>2197</v>
      </c>
      <c r="D2300" s="1" t="s">
        <v>6971</v>
      </c>
      <c r="E2300" s="1" t="str">
        <f>"2310"</f>
        <v>2310</v>
      </c>
      <c r="F2300" s="1" t="s">
        <v>4332</v>
      </c>
      <c r="G2300" s="1" t="s">
        <v>4333</v>
      </c>
      <c r="H2300" s="1" t="s">
        <v>15</v>
      </c>
      <c r="I2300" s="1" t="str">
        <f>"1"</f>
        <v>1</v>
      </c>
      <c r="J2300" s="3" t="str">
        <f>"81369"</f>
        <v>81369</v>
      </c>
      <c r="K2300" s="4">
        <v>46096</v>
      </c>
      <c r="L2300" s="4">
        <v>46109</v>
      </c>
      <c r="M2300" s="1" t="s">
        <v>6970</v>
      </c>
      <c r="N2300" s="1" t="s">
        <v>6969</v>
      </c>
    </row>
    <row r="2301" spans="1:14" s="1" customFormat="1" x14ac:dyDescent="0.35">
      <c r="A2301" s="1" t="s">
        <v>4492</v>
      </c>
      <c r="B2301" s="1" t="s">
        <v>3356</v>
      </c>
      <c r="C2301" s="1" t="s">
        <v>3648</v>
      </c>
      <c r="D2301" s="1" t="s">
        <v>6968</v>
      </c>
      <c r="E2301" s="1" t="str">
        <f>"1940"</f>
        <v>1940</v>
      </c>
      <c r="F2301" s="1" t="s">
        <v>1898</v>
      </c>
      <c r="G2301" s="1" t="s">
        <v>1899</v>
      </c>
      <c r="H2301" s="1" t="s">
        <v>15</v>
      </c>
      <c r="I2301" s="1" t="str">
        <f>"1"</f>
        <v>1</v>
      </c>
      <c r="J2301" s="3" t="str">
        <f>"78000"</f>
        <v>78000</v>
      </c>
      <c r="K2301" s="4">
        <v>46030</v>
      </c>
      <c r="L2301" s="4">
        <v>46092</v>
      </c>
      <c r="M2301" s="1" t="s">
        <v>6967</v>
      </c>
      <c r="N2301" s="1" t="s">
        <v>6966</v>
      </c>
    </row>
    <row r="2302" spans="1:14" s="1" customFormat="1" x14ac:dyDescent="0.35">
      <c r="A2302" s="1" t="s">
        <v>4492</v>
      </c>
      <c r="B2302" s="1" t="s">
        <v>3356</v>
      </c>
      <c r="C2302" s="1" t="s">
        <v>3648</v>
      </c>
      <c r="D2302" s="1" t="s">
        <v>6965</v>
      </c>
      <c r="E2302" s="1" t="str">
        <f>"5855"</f>
        <v>5855</v>
      </c>
      <c r="F2302" s="1" t="str">
        <f>"015847217"</f>
        <v>015847217</v>
      </c>
      <c r="G2302" s="1" t="s">
        <v>614</v>
      </c>
      <c r="H2302" s="1" t="s">
        <v>15</v>
      </c>
      <c r="I2302" s="1" t="str">
        <f>"12"</f>
        <v>12</v>
      </c>
      <c r="J2302" s="3" t="str">
        <f>"34084"</f>
        <v>34084</v>
      </c>
      <c r="K2302" s="4">
        <v>46020</v>
      </c>
      <c r="L2302" s="4">
        <v>46035</v>
      </c>
      <c r="M2302" s="1" t="s">
        <v>6964</v>
      </c>
      <c r="N2302" s="1" t="s">
        <v>6963</v>
      </c>
    </row>
    <row r="2303" spans="1:14" s="1" customFormat="1" x14ac:dyDescent="0.35">
      <c r="A2303" s="1" t="s">
        <v>4492</v>
      </c>
      <c r="B2303" s="1" t="s">
        <v>3356</v>
      </c>
      <c r="C2303" s="1" t="s">
        <v>3648</v>
      </c>
      <c r="D2303" s="1" t="s">
        <v>6962</v>
      </c>
      <c r="E2303" s="1" t="str">
        <f>"2330"</f>
        <v>2330</v>
      </c>
      <c r="F2303" s="1" t="str">
        <f>"011087367"</f>
        <v>011087367</v>
      </c>
      <c r="G2303" s="1" t="s">
        <v>722</v>
      </c>
      <c r="H2303" s="1" t="s">
        <v>15</v>
      </c>
      <c r="I2303" s="1" t="str">
        <f>"1"</f>
        <v>1</v>
      </c>
      <c r="J2303" s="3" t="str">
        <f>"22000"</f>
        <v>22000</v>
      </c>
      <c r="K2303" s="4">
        <v>46052</v>
      </c>
      <c r="L2303" s="4">
        <v>46071</v>
      </c>
      <c r="M2303" s="1" t="s">
        <v>6961</v>
      </c>
      <c r="N2303" s="1" t="s">
        <v>6960</v>
      </c>
    </row>
    <row r="2304" spans="1:14" s="1" customFormat="1" x14ac:dyDescent="0.35">
      <c r="A2304" s="1" t="s">
        <v>4492</v>
      </c>
      <c r="B2304" s="1" t="s">
        <v>73</v>
      </c>
      <c r="C2304" s="1" t="s">
        <v>6944</v>
      </c>
      <c r="D2304" s="1" t="s">
        <v>6959</v>
      </c>
      <c r="E2304" s="1" t="str">
        <f>"2320"</f>
        <v>2320</v>
      </c>
      <c r="F2304" s="1" t="s">
        <v>100</v>
      </c>
      <c r="G2304" s="1" t="s">
        <v>101</v>
      </c>
      <c r="H2304" s="1" t="s">
        <v>15</v>
      </c>
      <c r="I2304" s="1" t="str">
        <f>"1"</f>
        <v>1</v>
      </c>
      <c r="J2304" s="3" t="str">
        <f>"33000"</f>
        <v>33000</v>
      </c>
      <c r="K2304" s="4">
        <v>46083</v>
      </c>
      <c r="L2304" s="4">
        <v>46095</v>
      </c>
      <c r="M2304" s="1" t="s">
        <v>6958</v>
      </c>
      <c r="N2304" s="1" t="s">
        <v>6957</v>
      </c>
    </row>
    <row r="2305" spans="1:14" s="1" customFormat="1" x14ac:dyDescent="0.35">
      <c r="A2305" s="1" t="s">
        <v>4492</v>
      </c>
      <c r="B2305" s="1" t="s">
        <v>73</v>
      </c>
      <c r="C2305" s="1" t="s">
        <v>6944</v>
      </c>
      <c r="D2305" s="1" t="s">
        <v>6956</v>
      </c>
      <c r="E2305" s="1" t="str">
        <f>"2330"</f>
        <v>2330</v>
      </c>
      <c r="F2305" s="1" t="s">
        <v>104</v>
      </c>
      <c r="G2305" s="1" t="s">
        <v>105</v>
      </c>
      <c r="H2305" s="1" t="s">
        <v>15</v>
      </c>
      <c r="I2305" s="1" t="str">
        <f>"1"</f>
        <v>1</v>
      </c>
      <c r="J2305" s="3">
        <v>2645.5</v>
      </c>
      <c r="K2305" s="4">
        <v>46083</v>
      </c>
      <c r="L2305" s="4">
        <v>46095</v>
      </c>
      <c r="M2305" s="1" t="s">
        <v>6955</v>
      </c>
      <c r="N2305" s="1" t="s">
        <v>6954</v>
      </c>
    </row>
    <row r="2306" spans="1:14" s="1" customFormat="1" x14ac:dyDescent="0.35">
      <c r="A2306" s="1" t="s">
        <v>4492</v>
      </c>
      <c r="B2306" s="1" t="s">
        <v>73</v>
      </c>
      <c r="C2306" s="1" t="s">
        <v>6944</v>
      </c>
      <c r="D2306" s="1" t="s">
        <v>6953</v>
      </c>
      <c r="E2306" s="1" t="str">
        <f>"2310"</f>
        <v>2310</v>
      </c>
      <c r="F2306" s="1" t="str">
        <f>"010907741"</f>
        <v>010907741</v>
      </c>
      <c r="G2306" s="1" t="s">
        <v>710</v>
      </c>
      <c r="H2306" s="1" t="s">
        <v>15</v>
      </c>
      <c r="I2306" s="1" t="str">
        <f>"1"</f>
        <v>1</v>
      </c>
      <c r="J2306" s="3" t="str">
        <f>"30027"</f>
        <v>30027</v>
      </c>
      <c r="K2306" s="4">
        <v>46091</v>
      </c>
      <c r="L2306" s="4">
        <v>46099</v>
      </c>
      <c r="M2306" s="1" t="s">
        <v>6952</v>
      </c>
      <c r="N2306" s="1" t="s">
        <v>6951</v>
      </c>
    </row>
    <row r="2307" spans="1:14" s="1" customFormat="1" x14ac:dyDescent="0.35">
      <c r="A2307" s="1" t="s">
        <v>4492</v>
      </c>
      <c r="B2307" s="1" t="s">
        <v>73</v>
      </c>
      <c r="C2307" s="1" t="s">
        <v>6944</v>
      </c>
      <c r="D2307" s="1" t="s">
        <v>6950</v>
      </c>
      <c r="E2307" s="1" t="str">
        <f>"2310"</f>
        <v>2310</v>
      </c>
      <c r="F2307" s="1" t="s">
        <v>4332</v>
      </c>
      <c r="G2307" s="1" t="s">
        <v>4333</v>
      </c>
      <c r="H2307" s="1" t="s">
        <v>15</v>
      </c>
      <c r="I2307" s="1" t="str">
        <f>"1"</f>
        <v>1</v>
      </c>
      <c r="J2307" s="3">
        <v>26812.5</v>
      </c>
      <c r="K2307" s="4">
        <v>46095</v>
      </c>
      <c r="L2307" s="4">
        <v>46109</v>
      </c>
      <c r="M2307" s="1" t="s">
        <v>6949</v>
      </c>
      <c r="N2307" s="1" t="s">
        <v>6948</v>
      </c>
    </row>
    <row r="2308" spans="1:14" s="1" customFormat="1" x14ac:dyDescent="0.35">
      <c r="A2308" s="1" t="s">
        <v>4492</v>
      </c>
      <c r="B2308" s="1" t="s">
        <v>73</v>
      </c>
      <c r="C2308" s="1" t="s">
        <v>6944</v>
      </c>
      <c r="D2308" s="1" t="s">
        <v>6947</v>
      </c>
      <c r="E2308" s="1" t="str">
        <f>"2310"</f>
        <v>2310</v>
      </c>
      <c r="F2308" s="1" t="s">
        <v>4332</v>
      </c>
      <c r="G2308" s="1" t="s">
        <v>4333</v>
      </c>
      <c r="H2308" s="1" t="s">
        <v>15</v>
      </c>
      <c r="I2308" s="1" t="str">
        <f>"1"</f>
        <v>1</v>
      </c>
      <c r="J2308" s="3" t="str">
        <f>"81369"</f>
        <v>81369</v>
      </c>
      <c r="K2308" s="4">
        <v>46095</v>
      </c>
      <c r="L2308" s="4">
        <v>46109</v>
      </c>
      <c r="M2308" s="1" t="s">
        <v>6946</v>
      </c>
      <c r="N2308" s="1" t="s">
        <v>6945</v>
      </c>
    </row>
    <row r="2309" spans="1:14" s="1" customFormat="1" x14ac:dyDescent="0.35">
      <c r="A2309" s="1" t="s">
        <v>4492</v>
      </c>
      <c r="B2309" s="1" t="s">
        <v>73</v>
      </c>
      <c r="C2309" s="1" t="s">
        <v>6944</v>
      </c>
      <c r="D2309" s="1" t="s">
        <v>6943</v>
      </c>
      <c r="E2309" s="1" t="str">
        <f>"2330"</f>
        <v>2330</v>
      </c>
      <c r="F2309" s="1" t="s">
        <v>104</v>
      </c>
      <c r="G2309" s="1" t="s">
        <v>105</v>
      </c>
      <c r="H2309" s="1" t="s">
        <v>15</v>
      </c>
      <c r="I2309" s="1" t="str">
        <f>"1"</f>
        <v>1</v>
      </c>
      <c r="J2309" s="3" t="str">
        <f>"14555"</f>
        <v>14555</v>
      </c>
      <c r="K2309" s="4">
        <v>46095</v>
      </c>
      <c r="L2309" s="4">
        <v>46109</v>
      </c>
      <c r="M2309" s="1" t="s">
        <v>6942</v>
      </c>
      <c r="N2309" s="1" t="s">
        <v>6941</v>
      </c>
    </row>
    <row r="2310" spans="1:14" s="1" customFormat="1" x14ac:dyDescent="0.35">
      <c r="A2310" s="1" t="s">
        <v>4492</v>
      </c>
      <c r="B2310" s="1" t="s">
        <v>1791</v>
      </c>
      <c r="C2310" s="1" t="s">
        <v>6940</v>
      </c>
      <c r="D2310" s="1" t="s">
        <v>6939</v>
      </c>
      <c r="E2310" s="1" t="str">
        <f>"5855"</f>
        <v>5855</v>
      </c>
      <c r="F2310" s="1" t="str">
        <f>"015847217"</f>
        <v>015847217</v>
      </c>
      <c r="G2310" s="1" t="s">
        <v>614</v>
      </c>
      <c r="H2310" s="1" t="s">
        <v>15</v>
      </c>
      <c r="I2310" s="1" t="str">
        <f>"5"</f>
        <v>5</v>
      </c>
      <c r="J2310" s="3" t="str">
        <f>"34084"</f>
        <v>34084</v>
      </c>
      <c r="K2310" s="4">
        <v>46105</v>
      </c>
      <c r="L2310" s="4">
        <v>46106</v>
      </c>
      <c r="M2310" s="1" t="s">
        <v>4524</v>
      </c>
      <c r="N2310" s="1" t="s">
        <v>6938</v>
      </c>
    </row>
    <row r="2311" spans="1:14" s="1" customFormat="1" x14ac:dyDescent="0.35">
      <c r="A2311" s="1" t="s">
        <v>4492</v>
      </c>
      <c r="B2311" s="1" t="s">
        <v>435</v>
      </c>
      <c r="C2311" s="1" t="s">
        <v>436</v>
      </c>
      <c r="D2311" s="1" t="s">
        <v>6937</v>
      </c>
      <c r="E2311" s="1" t="str">
        <f>"8415"</f>
        <v>8415</v>
      </c>
      <c r="F2311" s="1" t="str">
        <f>"015734950"</f>
        <v>015734950</v>
      </c>
      <c r="G2311" s="1" t="s">
        <v>2405</v>
      </c>
      <c r="H2311" s="1" t="s">
        <v>15</v>
      </c>
      <c r="I2311" s="1" t="str">
        <f>"29"</f>
        <v>29</v>
      </c>
      <c r="J2311" s="3">
        <v>215.4</v>
      </c>
      <c r="K2311" s="4">
        <v>45883</v>
      </c>
      <c r="L2311" s="4">
        <v>46036</v>
      </c>
      <c r="M2311" s="1" t="s">
        <v>6936</v>
      </c>
      <c r="N2311" s="1" t="s">
        <v>6935</v>
      </c>
    </row>
    <row r="2312" spans="1:14" s="1" customFormat="1" x14ac:dyDescent="0.35">
      <c r="A2312" s="1" t="s">
        <v>4492</v>
      </c>
      <c r="B2312" s="1" t="s">
        <v>435</v>
      </c>
      <c r="C2312" s="1" t="s">
        <v>436</v>
      </c>
      <c r="D2312" s="1" t="s">
        <v>6934</v>
      </c>
      <c r="E2312" s="1" t="str">
        <f>"5130"</f>
        <v>5130</v>
      </c>
      <c r="F2312" s="1" t="str">
        <f>"014454866"</f>
        <v>014454866</v>
      </c>
      <c r="G2312" s="1" t="s">
        <v>1697</v>
      </c>
      <c r="H2312" s="1" t="s">
        <v>15</v>
      </c>
      <c r="I2312" s="1" t="str">
        <f>"5"</f>
        <v>5</v>
      </c>
      <c r="J2312" s="3">
        <v>250.17</v>
      </c>
      <c r="K2312" s="4">
        <v>46048</v>
      </c>
      <c r="L2312" s="4">
        <v>46051</v>
      </c>
      <c r="M2312" s="1" t="s">
        <v>6933</v>
      </c>
      <c r="N2312" s="1" t="s">
        <v>6916</v>
      </c>
    </row>
    <row r="2313" spans="1:14" s="1" customFormat="1" x14ac:dyDescent="0.35">
      <c r="A2313" s="1" t="s">
        <v>4492</v>
      </c>
      <c r="B2313" s="1" t="s">
        <v>435</v>
      </c>
      <c r="C2313" s="1" t="s">
        <v>436</v>
      </c>
      <c r="D2313" s="1" t="s">
        <v>6932</v>
      </c>
      <c r="E2313" s="1" t="str">
        <f>"5140"</f>
        <v>5140</v>
      </c>
      <c r="F2313" s="1" t="s">
        <v>6931</v>
      </c>
      <c r="G2313" s="1" t="s">
        <v>6930</v>
      </c>
      <c r="H2313" s="1" t="s">
        <v>15</v>
      </c>
      <c r="I2313" s="1" t="str">
        <f>"18"</f>
        <v>18</v>
      </c>
      <c r="J2313" s="3">
        <v>12.75</v>
      </c>
      <c r="K2313" s="4">
        <v>46048</v>
      </c>
      <c r="L2313" s="4">
        <v>46051</v>
      </c>
      <c r="M2313" s="1" t="s">
        <v>6929</v>
      </c>
      <c r="N2313" s="1" t="s">
        <v>6916</v>
      </c>
    </row>
    <row r="2314" spans="1:14" s="1" customFormat="1" x14ac:dyDescent="0.35">
      <c r="A2314" s="1" t="s">
        <v>4492</v>
      </c>
      <c r="B2314" s="1" t="s">
        <v>435</v>
      </c>
      <c r="C2314" s="1" t="s">
        <v>436</v>
      </c>
      <c r="D2314" s="1" t="s">
        <v>6932</v>
      </c>
      <c r="E2314" s="1" t="str">
        <f>"5140"</f>
        <v>5140</v>
      </c>
      <c r="F2314" s="1" t="s">
        <v>6931</v>
      </c>
      <c r="G2314" s="1" t="s">
        <v>6930</v>
      </c>
      <c r="H2314" s="1" t="s">
        <v>15</v>
      </c>
      <c r="I2314" s="1" t="str">
        <f>"18"</f>
        <v>18</v>
      </c>
      <c r="J2314" s="3">
        <v>12.75</v>
      </c>
      <c r="K2314" s="4">
        <v>46048</v>
      </c>
      <c r="L2314" s="4">
        <v>46051</v>
      </c>
      <c r="M2314" s="1" t="s">
        <v>6929</v>
      </c>
      <c r="N2314" s="1" t="s">
        <v>6916</v>
      </c>
    </row>
    <row r="2315" spans="1:14" s="1" customFormat="1" x14ac:dyDescent="0.35">
      <c r="A2315" s="1" t="s">
        <v>4492</v>
      </c>
      <c r="B2315" s="1" t="s">
        <v>435</v>
      </c>
      <c r="C2315" s="1" t="s">
        <v>436</v>
      </c>
      <c r="D2315" s="1" t="s">
        <v>6928</v>
      </c>
      <c r="E2315" s="1" t="str">
        <f>"1005"</f>
        <v>1005</v>
      </c>
      <c r="F2315" s="1" t="str">
        <f>"016458136"</f>
        <v>016458136</v>
      </c>
      <c r="G2315" s="1" t="s">
        <v>6927</v>
      </c>
      <c r="H2315" s="1" t="s">
        <v>15</v>
      </c>
      <c r="I2315" s="1" t="str">
        <f>"6"</f>
        <v>6</v>
      </c>
      <c r="J2315" s="3">
        <v>1109.03</v>
      </c>
      <c r="K2315" s="4">
        <v>46048</v>
      </c>
      <c r="L2315" s="4">
        <v>46055</v>
      </c>
      <c r="M2315" s="1" t="s">
        <v>6926</v>
      </c>
      <c r="N2315" s="1" t="s">
        <v>6925</v>
      </c>
    </row>
    <row r="2316" spans="1:14" s="1" customFormat="1" x14ac:dyDescent="0.35">
      <c r="A2316" s="1" t="s">
        <v>4492</v>
      </c>
      <c r="B2316" s="1" t="s">
        <v>435</v>
      </c>
      <c r="C2316" s="1" t="s">
        <v>436</v>
      </c>
      <c r="D2316" s="1" t="s">
        <v>6924</v>
      </c>
      <c r="E2316" s="1" t="str">
        <f>"1240"</f>
        <v>1240</v>
      </c>
      <c r="F2316" s="1" t="str">
        <f>"015349198"</f>
        <v>015349198</v>
      </c>
      <c r="G2316" s="1" t="s">
        <v>6923</v>
      </c>
      <c r="H2316" s="1" t="s">
        <v>293</v>
      </c>
      <c r="I2316" s="1" t="str">
        <f>"222"</f>
        <v>222</v>
      </c>
      <c r="J2316" s="3">
        <v>78.790000000000006</v>
      </c>
      <c r="K2316" s="4">
        <v>46048</v>
      </c>
      <c r="L2316" s="4">
        <v>46051</v>
      </c>
      <c r="M2316" s="1" t="s">
        <v>6922</v>
      </c>
      <c r="N2316" s="1" t="s">
        <v>6921</v>
      </c>
    </row>
    <row r="2317" spans="1:14" s="1" customFormat="1" x14ac:dyDescent="0.35">
      <c r="A2317" s="1" t="s">
        <v>4492</v>
      </c>
      <c r="B2317" s="1" t="s">
        <v>435</v>
      </c>
      <c r="C2317" s="1" t="s">
        <v>436</v>
      </c>
      <c r="D2317" s="1" t="s">
        <v>6920</v>
      </c>
      <c r="E2317" s="1" t="str">
        <f>"5130"</f>
        <v>5130</v>
      </c>
      <c r="F2317" s="1" t="s">
        <v>6919</v>
      </c>
      <c r="G2317" s="1" t="s">
        <v>6918</v>
      </c>
      <c r="H2317" s="1" t="s">
        <v>15</v>
      </c>
      <c r="I2317" s="1" t="str">
        <f>"11"</f>
        <v>11</v>
      </c>
      <c r="J2317" s="3">
        <v>184.56</v>
      </c>
      <c r="K2317" s="4">
        <v>46048</v>
      </c>
      <c r="L2317" s="4">
        <v>46049</v>
      </c>
      <c r="M2317" s="1" t="s">
        <v>6917</v>
      </c>
      <c r="N2317" s="1" t="s">
        <v>6916</v>
      </c>
    </row>
    <row r="2318" spans="1:14" s="1" customFormat="1" x14ac:dyDescent="0.35">
      <c r="A2318" s="1" t="s">
        <v>4492</v>
      </c>
      <c r="B2318" s="1" t="s">
        <v>435</v>
      </c>
      <c r="C2318" s="1" t="s">
        <v>436</v>
      </c>
      <c r="D2318" s="1" t="s">
        <v>6915</v>
      </c>
      <c r="E2318" s="1" t="str">
        <f>"8465"</f>
        <v>8465</v>
      </c>
      <c r="F2318" s="1" t="str">
        <f>"015987693"</f>
        <v>015987693</v>
      </c>
      <c r="G2318" s="1" t="s">
        <v>856</v>
      </c>
      <c r="H2318" s="1" t="s">
        <v>15</v>
      </c>
      <c r="I2318" s="1" t="str">
        <f>"20"</f>
        <v>20</v>
      </c>
      <c r="J2318" s="3" t="str">
        <f>"664"</f>
        <v>664</v>
      </c>
      <c r="K2318" s="4">
        <v>46048</v>
      </c>
      <c r="L2318" s="4">
        <v>46051</v>
      </c>
      <c r="M2318" s="1" t="s">
        <v>6914</v>
      </c>
      <c r="N2318" s="1" t="s">
        <v>6913</v>
      </c>
    </row>
    <row r="2319" spans="1:14" s="1" customFormat="1" x14ac:dyDescent="0.35">
      <c r="A2319" s="1" t="s">
        <v>4492</v>
      </c>
      <c r="B2319" s="1" t="s">
        <v>435</v>
      </c>
      <c r="C2319" s="1" t="s">
        <v>436</v>
      </c>
      <c r="D2319" s="1" t="s">
        <v>6912</v>
      </c>
      <c r="E2319" s="1" t="str">
        <f>"2320"</f>
        <v>2320</v>
      </c>
      <c r="F2319" s="1" t="s">
        <v>4526</v>
      </c>
      <c r="G2319" s="1" t="s">
        <v>4525</v>
      </c>
      <c r="H2319" s="1" t="s">
        <v>15</v>
      </c>
      <c r="I2319" s="1" t="str">
        <f>"1"</f>
        <v>1</v>
      </c>
      <c r="J2319" s="3">
        <v>610434.26</v>
      </c>
      <c r="K2319" s="4">
        <v>46056</v>
      </c>
      <c r="L2319" s="4">
        <v>46056</v>
      </c>
      <c r="M2319" s="1" t="s">
        <v>4556</v>
      </c>
      <c r="N2319" s="1" t="s">
        <v>6911</v>
      </c>
    </row>
    <row r="2320" spans="1:14" s="1" customFormat="1" x14ac:dyDescent="0.35">
      <c r="A2320" s="1" t="s">
        <v>4492</v>
      </c>
      <c r="B2320" s="1" t="s">
        <v>435</v>
      </c>
      <c r="C2320" s="1" t="s">
        <v>436</v>
      </c>
      <c r="D2320" s="1" t="s">
        <v>6910</v>
      </c>
      <c r="E2320" s="1" t="str">
        <f>"6650"</f>
        <v>6650</v>
      </c>
      <c r="F2320" s="1" t="s">
        <v>1576</v>
      </c>
      <c r="G2320" s="1" t="s">
        <v>1577</v>
      </c>
      <c r="H2320" s="1" t="s">
        <v>15</v>
      </c>
      <c r="I2320" s="1" t="str">
        <f>"36"</f>
        <v>36</v>
      </c>
      <c r="J2320" s="3">
        <v>600.91999999999996</v>
      </c>
      <c r="K2320" s="4">
        <v>46076</v>
      </c>
      <c r="L2320" s="4">
        <v>46079</v>
      </c>
      <c r="M2320" s="1" t="s">
        <v>4556</v>
      </c>
      <c r="N2320" s="1" t="s">
        <v>6909</v>
      </c>
    </row>
    <row r="2321" spans="1:14" s="1" customFormat="1" x14ac:dyDescent="0.35">
      <c r="A2321" s="1" t="s">
        <v>4492</v>
      </c>
      <c r="B2321" s="1" t="s">
        <v>435</v>
      </c>
      <c r="C2321" s="1" t="s">
        <v>436</v>
      </c>
      <c r="D2321" s="1" t="s">
        <v>6908</v>
      </c>
      <c r="E2321" s="1" t="str">
        <f>"7125"</f>
        <v>7125</v>
      </c>
      <c r="F2321" s="1" t="s">
        <v>2182</v>
      </c>
      <c r="G2321" s="1" t="s">
        <v>2183</v>
      </c>
      <c r="H2321" s="1" t="s">
        <v>15</v>
      </c>
      <c r="I2321" s="1" t="str">
        <f>"4"</f>
        <v>4</v>
      </c>
      <c r="J2321" s="3" t="str">
        <f>"200"</f>
        <v>200</v>
      </c>
      <c r="K2321" s="4">
        <v>46076</v>
      </c>
      <c r="L2321" s="4">
        <v>46087</v>
      </c>
      <c r="M2321" s="1" t="s">
        <v>6907</v>
      </c>
      <c r="N2321" s="1" t="s">
        <v>6899</v>
      </c>
    </row>
    <row r="2322" spans="1:14" s="1" customFormat="1" x14ac:dyDescent="0.35">
      <c r="A2322" s="1" t="s">
        <v>4492</v>
      </c>
      <c r="B2322" s="1" t="s">
        <v>435</v>
      </c>
      <c r="C2322" s="1" t="s">
        <v>436</v>
      </c>
      <c r="D2322" s="1" t="s">
        <v>6906</v>
      </c>
      <c r="E2322" s="1" t="str">
        <f>"2090"</f>
        <v>2090</v>
      </c>
      <c r="F2322" s="1" t="str">
        <f>"005919719"</f>
        <v>005919719</v>
      </c>
      <c r="G2322" s="1" t="s">
        <v>6901</v>
      </c>
      <c r="H2322" s="1" t="s">
        <v>15</v>
      </c>
      <c r="I2322" s="1" t="str">
        <f>"4"</f>
        <v>4</v>
      </c>
      <c r="J2322" s="3">
        <v>1886.35</v>
      </c>
      <c r="K2322" s="4">
        <v>46076</v>
      </c>
      <c r="L2322" s="4">
        <v>46087</v>
      </c>
      <c r="M2322" s="1" t="s">
        <v>6905</v>
      </c>
      <c r="N2322" s="1" t="s">
        <v>6899</v>
      </c>
    </row>
    <row r="2323" spans="1:14" s="1" customFormat="1" x14ac:dyDescent="0.35">
      <c r="A2323" s="1" t="s">
        <v>4492</v>
      </c>
      <c r="B2323" s="1" t="s">
        <v>435</v>
      </c>
      <c r="C2323" s="1" t="s">
        <v>436</v>
      </c>
      <c r="D2323" s="1" t="s">
        <v>6904</v>
      </c>
      <c r="E2323" s="1" t="str">
        <f>"2090"</f>
        <v>2090</v>
      </c>
      <c r="F2323" s="1" t="str">
        <f>"005919719"</f>
        <v>005919719</v>
      </c>
      <c r="G2323" s="1" t="s">
        <v>6901</v>
      </c>
      <c r="H2323" s="1" t="s">
        <v>15</v>
      </c>
      <c r="I2323" s="1" t="str">
        <f>"4"</f>
        <v>4</v>
      </c>
      <c r="J2323" s="3">
        <v>1886.35</v>
      </c>
      <c r="K2323" s="4">
        <v>46076</v>
      </c>
      <c r="L2323" s="4">
        <v>46087</v>
      </c>
      <c r="M2323" s="1" t="s">
        <v>6903</v>
      </c>
      <c r="N2323" s="1" t="s">
        <v>6899</v>
      </c>
    </row>
    <row r="2324" spans="1:14" s="1" customFormat="1" x14ac:dyDescent="0.35">
      <c r="A2324" s="1" t="s">
        <v>4492</v>
      </c>
      <c r="B2324" s="1" t="s">
        <v>435</v>
      </c>
      <c r="C2324" s="1" t="s">
        <v>436</v>
      </c>
      <c r="D2324" s="1" t="s">
        <v>6902</v>
      </c>
      <c r="E2324" s="1" t="str">
        <f>"2090"</f>
        <v>2090</v>
      </c>
      <c r="F2324" s="1" t="str">
        <f>"005919719"</f>
        <v>005919719</v>
      </c>
      <c r="G2324" s="1" t="s">
        <v>6901</v>
      </c>
      <c r="H2324" s="1" t="s">
        <v>15</v>
      </c>
      <c r="I2324" s="1" t="str">
        <f>"2"</f>
        <v>2</v>
      </c>
      <c r="J2324" s="3">
        <v>1886.35</v>
      </c>
      <c r="K2324" s="4">
        <v>46076</v>
      </c>
      <c r="L2324" s="4">
        <v>46087</v>
      </c>
      <c r="M2324" s="1" t="s">
        <v>6900</v>
      </c>
      <c r="N2324" s="1" t="s">
        <v>6899</v>
      </c>
    </row>
    <row r="2325" spans="1:14" s="1" customFormat="1" x14ac:dyDescent="0.35">
      <c r="A2325" s="1" t="s">
        <v>4492</v>
      </c>
      <c r="B2325" s="1" t="s">
        <v>435</v>
      </c>
      <c r="C2325" s="1" t="s">
        <v>436</v>
      </c>
      <c r="D2325" s="1" t="s">
        <v>6898</v>
      </c>
      <c r="E2325" s="1" t="str">
        <f>"6230"</f>
        <v>6230</v>
      </c>
      <c r="F2325" s="1" t="str">
        <f>"016134312"</f>
        <v>016134312</v>
      </c>
      <c r="G2325" s="1" t="s">
        <v>4051</v>
      </c>
      <c r="H2325" s="1" t="s">
        <v>15</v>
      </c>
      <c r="I2325" s="1" t="str">
        <f>"46"</f>
        <v>46</v>
      </c>
      <c r="J2325" s="3">
        <v>92.96</v>
      </c>
      <c r="K2325" s="4">
        <v>46084</v>
      </c>
      <c r="L2325" s="4">
        <v>46087</v>
      </c>
      <c r="M2325" s="1" t="s">
        <v>6897</v>
      </c>
      <c r="N2325" s="1" t="s">
        <v>6896</v>
      </c>
    </row>
    <row r="2326" spans="1:14" s="1" customFormat="1" x14ac:dyDescent="0.35">
      <c r="A2326" s="1" t="s">
        <v>4492</v>
      </c>
      <c r="B2326" s="1" t="s">
        <v>435</v>
      </c>
      <c r="C2326" s="1" t="s">
        <v>436</v>
      </c>
      <c r="D2326" s="1" t="s">
        <v>6895</v>
      </c>
      <c r="E2326" s="1" t="str">
        <f>"8340"</f>
        <v>8340</v>
      </c>
      <c r="F2326" s="1" t="str">
        <f>"014525919"</f>
        <v>014525919</v>
      </c>
      <c r="G2326" s="1" t="s">
        <v>464</v>
      </c>
      <c r="H2326" s="1" t="s">
        <v>15</v>
      </c>
      <c r="I2326" s="1" t="str">
        <f>"50"</f>
        <v>50</v>
      </c>
      <c r="J2326" s="3">
        <v>520.42999999999995</v>
      </c>
      <c r="K2326" s="4">
        <v>46098</v>
      </c>
      <c r="L2326" s="4">
        <v>46106</v>
      </c>
      <c r="M2326" s="1" t="s">
        <v>6894</v>
      </c>
      <c r="N2326" s="1" t="s">
        <v>465</v>
      </c>
    </row>
    <row r="2327" spans="1:14" s="1" customFormat="1" x14ac:dyDescent="0.35">
      <c r="A2327" s="1" t="s">
        <v>4492</v>
      </c>
      <c r="B2327" s="1" t="s">
        <v>435</v>
      </c>
      <c r="C2327" s="1" t="s">
        <v>436</v>
      </c>
      <c r="D2327" s="1" t="s">
        <v>6893</v>
      </c>
      <c r="E2327" s="1" t="str">
        <f>"6115"</f>
        <v>6115</v>
      </c>
      <c r="F2327" s="1" t="s">
        <v>157</v>
      </c>
      <c r="G2327" s="1" t="s">
        <v>158</v>
      </c>
      <c r="H2327" s="1" t="s">
        <v>15</v>
      </c>
      <c r="I2327" s="1" t="str">
        <f>"1"</f>
        <v>1</v>
      </c>
      <c r="J2327" s="3">
        <v>449.99</v>
      </c>
      <c r="K2327" s="4">
        <v>46104</v>
      </c>
      <c r="L2327" s="4">
        <v>46105</v>
      </c>
      <c r="M2327" s="1" t="s">
        <v>4524</v>
      </c>
      <c r="N2327" s="1" t="s">
        <v>6892</v>
      </c>
    </row>
    <row r="2328" spans="1:14" s="1" customFormat="1" x14ac:dyDescent="0.35">
      <c r="A2328" s="1" t="s">
        <v>4492</v>
      </c>
      <c r="B2328" s="1" t="s">
        <v>1989</v>
      </c>
      <c r="C2328" s="1" t="s">
        <v>6852</v>
      </c>
      <c r="D2328" s="1" t="s">
        <v>6891</v>
      </c>
      <c r="E2328" s="1" t="str">
        <f>"2310"</f>
        <v>2310</v>
      </c>
      <c r="F2328" s="1" t="str">
        <f>"010907741"</f>
        <v>010907741</v>
      </c>
      <c r="G2328" s="1" t="s">
        <v>710</v>
      </c>
      <c r="H2328" s="1" t="s">
        <v>15</v>
      </c>
      <c r="I2328" s="1" t="str">
        <f>"1"</f>
        <v>1</v>
      </c>
      <c r="J2328" s="3" t="str">
        <f>"30027"</f>
        <v>30027</v>
      </c>
      <c r="K2328" s="4">
        <v>46039</v>
      </c>
      <c r="L2328" s="4">
        <v>46055</v>
      </c>
      <c r="M2328" s="1" t="s">
        <v>6890</v>
      </c>
      <c r="N2328" s="1" t="s">
        <v>6860</v>
      </c>
    </row>
    <row r="2329" spans="1:14" s="1" customFormat="1" x14ac:dyDescent="0.35">
      <c r="A2329" s="1" t="s">
        <v>4492</v>
      </c>
      <c r="B2329" s="1" t="s">
        <v>1989</v>
      </c>
      <c r="C2329" s="1" t="s">
        <v>6852</v>
      </c>
      <c r="D2329" s="1" t="s">
        <v>6889</v>
      </c>
      <c r="E2329" s="1" t="str">
        <f>"2310"</f>
        <v>2310</v>
      </c>
      <c r="F2329" s="1" t="str">
        <f>"010907741"</f>
        <v>010907741</v>
      </c>
      <c r="G2329" s="1" t="s">
        <v>710</v>
      </c>
      <c r="H2329" s="1" t="s">
        <v>15</v>
      </c>
      <c r="I2329" s="1" t="str">
        <f>"1"</f>
        <v>1</v>
      </c>
      <c r="J2329" s="3" t="str">
        <f>"30027"</f>
        <v>30027</v>
      </c>
      <c r="K2329" s="4">
        <v>46039</v>
      </c>
      <c r="L2329" s="4">
        <v>46055</v>
      </c>
      <c r="M2329" s="1" t="s">
        <v>6888</v>
      </c>
      <c r="N2329" s="1" t="s">
        <v>6860</v>
      </c>
    </row>
    <row r="2330" spans="1:14" s="1" customFormat="1" x14ac:dyDescent="0.35">
      <c r="A2330" s="1" t="s">
        <v>4492</v>
      </c>
      <c r="B2330" s="1" t="s">
        <v>1989</v>
      </c>
      <c r="C2330" s="1" t="s">
        <v>6852</v>
      </c>
      <c r="D2330" s="1" t="s">
        <v>6887</v>
      </c>
      <c r="E2330" s="1" t="str">
        <f>"2310"</f>
        <v>2310</v>
      </c>
      <c r="F2330" s="1" t="str">
        <f>"010907741"</f>
        <v>010907741</v>
      </c>
      <c r="G2330" s="1" t="s">
        <v>710</v>
      </c>
      <c r="H2330" s="1" t="s">
        <v>15</v>
      </c>
      <c r="I2330" s="1" t="str">
        <f>"1"</f>
        <v>1</v>
      </c>
      <c r="J2330" s="3" t="str">
        <f>"30027"</f>
        <v>30027</v>
      </c>
      <c r="K2330" s="4">
        <v>46039</v>
      </c>
      <c r="L2330" s="4">
        <v>46055</v>
      </c>
      <c r="M2330" s="1" t="s">
        <v>6886</v>
      </c>
      <c r="N2330" s="1" t="s">
        <v>6860</v>
      </c>
    </row>
    <row r="2331" spans="1:14" s="1" customFormat="1" x14ac:dyDescent="0.35">
      <c r="A2331" s="1" t="s">
        <v>4492</v>
      </c>
      <c r="B2331" s="1" t="s">
        <v>1989</v>
      </c>
      <c r="C2331" s="1" t="s">
        <v>6852</v>
      </c>
      <c r="D2331" s="1" t="s">
        <v>6885</v>
      </c>
      <c r="E2331" s="1" t="str">
        <f>"2310"</f>
        <v>2310</v>
      </c>
      <c r="F2331" s="1" t="str">
        <f>"010907741"</f>
        <v>010907741</v>
      </c>
      <c r="G2331" s="1" t="s">
        <v>710</v>
      </c>
      <c r="H2331" s="1" t="s">
        <v>15</v>
      </c>
      <c r="I2331" s="1" t="str">
        <f>"1"</f>
        <v>1</v>
      </c>
      <c r="J2331" s="3" t="str">
        <f>"30027"</f>
        <v>30027</v>
      </c>
      <c r="K2331" s="4">
        <v>46039</v>
      </c>
      <c r="L2331" s="4">
        <v>46055</v>
      </c>
      <c r="M2331" s="1" t="s">
        <v>6884</v>
      </c>
      <c r="N2331" s="1" t="s">
        <v>6860</v>
      </c>
    </row>
    <row r="2332" spans="1:14" s="1" customFormat="1" x14ac:dyDescent="0.35">
      <c r="A2332" s="1" t="s">
        <v>4492</v>
      </c>
      <c r="B2332" s="1" t="s">
        <v>1989</v>
      </c>
      <c r="C2332" s="1" t="s">
        <v>6852</v>
      </c>
      <c r="D2332" s="1" t="s">
        <v>6883</v>
      </c>
      <c r="E2332" s="1" t="str">
        <f>"2310"</f>
        <v>2310</v>
      </c>
      <c r="F2332" s="1" t="str">
        <f>"010907741"</f>
        <v>010907741</v>
      </c>
      <c r="G2332" s="1" t="s">
        <v>710</v>
      </c>
      <c r="H2332" s="1" t="s">
        <v>15</v>
      </c>
      <c r="I2332" s="1" t="str">
        <f>"1"</f>
        <v>1</v>
      </c>
      <c r="J2332" s="3" t="str">
        <f>"30027"</f>
        <v>30027</v>
      </c>
      <c r="K2332" s="4">
        <v>46071</v>
      </c>
      <c r="L2332" s="4">
        <v>46072</v>
      </c>
      <c r="M2332" s="1" t="s">
        <v>4524</v>
      </c>
      <c r="N2332" s="1" t="s">
        <v>6860</v>
      </c>
    </row>
    <row r="2333" spans="1:14" s="1" customFormat="1" x14ac:dyDescent="0.35">
      <c r="A2333" s="1" t="s">
        <v>4492</v>
      </c>
      <c r="B2333" s="1" t="s">
        <v>1989</v>
      </c>
      <c r="C2333" s="1" t="s">
        <v>6852</v>
      </c>
      <c r="D2333" s="1" t="s">
        <v>6882</v>
      </c>
      <c r="E2333" s="1" t="str">
        <f>"2310"</f>
        <v>2310</v>
      </c>
      <c r="F2333" s="1" t="str">
        <f>"010907741"</f>
        <v>010907741</v>
      </c>
      <c r="G2333" s="1" t="s">
        <v>710</v>
      </c>
      <c r="H2333" s="1" t="s">
        <v>15</v>
      </c>
      <c r="I2333" s="1" t="str">
        <f>"1"</f>
        <v>1</v>
      </c>
      <c r="J2333" s="3" t="str">
        <f>"30027"</f>
        <v>30027</v>
      </c>
      <c r="K2333" s="4">
        <v>46071</v>
      </c>
      <c r="L2333" s="4">
        <v>46072</v>
      </c>
      <c r="M2333" s="1" t="s">
        <v>4524</v>
      </c>
      <c r="N2333" s="1" t="s">
        <v>6860</v>
      </c>
    </row>
    <row r="2334" spans="1:14" s="1" customFormat="1" x14ac:dyDescent="0.35">
      <c r="A2334" s="1" t="s">
        <v>4492</v>
      </c>
      <c r="B2334" s="1" t="s">
        <v>1989</v>
      </c>
      <c r="C2334" s="1" t="s">
        <v>6852</v>
      </c>
      <c r="D2334" s="1" t="s">
        <v>6881</v>
      </c>
      <c r="E2334" s="1" t="str">
        <f>"2310"</f>
        <v>2310</v>
      </c>
      <c r="F2334" s="1" t="str">
        <f>"010907741"</f>
        <v>010907741</v>
      </c>
      <c r="G2334" s="1" t="s">
        <v>710</v>
      </c>
      <c r="H2334" s="1" t="s">
        <v>15</v>
      </c>
      <c r="I2334" s="1" t="str">
        <f>"1"</f>
        <v>1</v>
      </c>
      <c r="J2334" s="3" t="str">
        <f>"30027"</f>
        <v>30027</v>
      </c>
      <c r="K2334" s="4">
        <v>46071</v>
      </c>
      <c r="L2334" s="4">
        <v>46072</v>
      </c>
      <c r="M2334" s="1" t="s">
        <v>4524</v>
      </c>
      <c r="N2334" s="1" t="s">
        <v>6860</v>
      </c>
    </row>
    <row r="2335" spans="1:14" s="1" customFormat="1" x14ac:dyDescent="0.35">
      <c r="A2335" s="1" t="s">
        <v>4492</v>
      </c>
      <c r="B2335" s="1" t="s">
        <v>1989</v>
      </c>
      <c r="C2335" s="1" t="s">
        <v>6852</v>
      </c>
      <c r="D2335" s="1" t="s">
        <v>6880</v>
      </c>
      <c r="E2335" s="1" t="str">
        <f>"2330"</f>
        <v>2330</v>
      </c>
      <c r="F2335" s="1" t="s">
        <v>104</v>
      </c>
      <c r="G2335" s="1" t="s">
        <v>105</v>
      </c>
      <c r="H2335" s="1" t="s">
        <v>15</v>
      </c>
      <c r="I2335" s="1" t="str">
        <f>"1"</f>
        <v>1</v>
      </c>
      <c r="J2335" s="3" t="str">
        <f>"6111"</f>
        <v>6111</v>
      </c>
      <c r="K2335" s="4">
        <v>46046</v>
      </c>
      <c r="L2335" s="4">
        <v>46060</v>
      </c>
      <c r="M2335" s="1" t="s">
        <v>6879</v>
      </c>
      <c r="N2335" s="1" t="s">
        <v>6878</v>
      </c>
    </row>
    <row r="2336" spans="1:14" s="1" customFormat="1" x14ac:dyDescent="0.35">
      <c r="A2336" s="1" t="s">
        <v>4492</v>
      </c>
      <c r="B2336" s="1" t="s">
        <v>1989</v>
      </c>
      <c r="C2336" s="1" t="s">
        <v>6852</v>
      </c>
      <c r="D2336" s="1" t="s">
        <v>6877</v>
      </c>
      <c r="E2336" s="1" t="str">
        <f>"4240"</f>
        <v>4240</v>
      </c>
      <c r="F2336" s="1" t="str">
        <f>"016308327"</f>
        <v>016308327</v>
      </c>
      <c r="G2336" s="1" t="s">
        <v>1404</v>
      </c>
      <c r="H2336" s="1" t="s">
        <v>15</v>
      </c>
      <c r="I2336" s="1" t="str">
        <f>"120"</f>
        <v>120</v>
      </c>
      <c r="J2336" s="3">
        <v>48.01</v>
      </c>
      <c r="K2336" s="4">
        <v>46080</v>
      </c>
      <c r="L2336" s="4">
        <v>46087</v>
      </c>
      <c r="M2336" s="1" t="s">
        <v>6876</v>
      </c>
      <c r="N2336" s="1" t="s">
        <v>6875</v>
      </c>
    </row>
    <row r="2337" spans="1:14" s="1" customFormat="1" x14ac:dyDescent="0.35">
      <c r="A2337" s="1" t="s">
        <v>4492</v>
      </c>
      <c r="B2337" s="1" t="s">
        <v>1989</v>
      </c>
      <c r="C2337" s="1" t="s">
        <v>6852</v>
      </c>
      <c r="D2337" s="1" t="s">
        <v>6874</v>
      </c>
      <c r="E2337" s="1" t="str">
        <f>"2320"</f>
        <v>2320</v>
      </c>
      <c r="F2337" s="1" t="s">
        <v>1016</v>
      </c>
      <c r="G2337" s="1" t="s">
        <v>1017</v>
      </c>
      <c r="H2337" s="1" t="s">
        <v>15</v>
      </c>
      <c r="I2337" s="1" t="str">
        <f>"1"</f>
        <v>1</v>
      </c>
      <c r="J2337" s="3" t="str">
        <f>"165000"</f>
        <v>165000</v>
      </c>
      <c r="K2337" s="4">
        <v>46080</v>
      </c>
      <c r="L2337" s="4">
        <v>46088</v>
      </c>
      <c r="M2337" s="1" t="s">
        <v>6873</v>
      </c>
      <c r="N2337" s="1" t="s">
        <v>6872</v>
      </c>
    </row>
    <row r="2338" spans="1:14" s="1" customFormat="1" x14ac:dyDescent="0.35">
      <c r="A2338" s="1" t="s">
        <v>4492</v>
      </c>
      <c r="B2338" s="1" t="s">
        <v>1989</v>
      </c>
      <c r="C2338" s="1" t="s">
        <v>6852</v>
      </c>
      <c r="D2338" s="1" t="s">
        <v>6871</v>
      </c>
      <c r="E2338" s="1" t="str">
        <f>"6230"</f>
        <v>6230</v>
      </c>
      <c r="F2338" s="1" t="s">
        <v>5291</v>
      </c>
      <c r="G2338" s="1" t="s">
        <v>5290</v>
      </c>
      <c r="H2338" s="1" t="s">
        <v>15</v>
      </c>
      <c r="I2338" s="1" t="str">
        <f>"32"</f>
        <v>32</v>
      </c>
      <c r="J2338" s="3" t="str">
        <f>"195"</f>
        <v>195</v>
      </c>
      <c r="K2338" s="4">
        <v>46083</v>
      </c>
      <c r="L2338" s="4">
        <v>46087</v>
      </c>
      <c r="M2338" s="1" t="s">
        <v>6870</v>
      </c>
      <c r="N2338" s="1" t="s">
        <v>6869</v>
      </c>
    </row>
    <row r="2339" spans="1:14" s="1" customFormat="1" x14ac:dyDescent="0.35">
      <c r="A2339" s="1" t="s">
        <v>4492</v>
      </c>
      <c r="B2339" s="1" t="s">
        <v>1989</v>
      </c>
      <c r="C2339" s="1" t="s">
        <v>6852</v>
      </c>
      <c r="D2339" s="1" t="s">
        <v>6868</v>
      </c>
      <c r="E2339" s="1" t="str">
        <f>"2310"</f>
        <v>2310</v>
      </c>
      <c r="F2339" s="1" t="str">
        <f>"010907741"</f>
        <v>010907741</v>
      </c>
      <c r="G2339" s="1" t="s">
        <v>710</v>
      </c>
      <c r="H2339" s="1" t="s">
        <v>15</v>
      </c>
      <c r="I2339" s="1" t="str">
        <f>"1"</f>
        <v>1</v>
      </c>
      <c r="J2339" s="3" t="str">
        <f>"30027"</f>
        <v>30027</v>
      </c>
      <c r="K2339" s="4">
        <v>46091</v>
      </c>
      <c r="L2339" s="4">
        <v>46099</v>
      </c>
      <c r="M2339" s="1" t="s">
        <v>6867</v>
      </c>
      <c r="N2339" s="1" t="s">
        <v>6860</v>
      </c>
    </row>
    <row r="2340" spans="1:14" s="1" customFormat="1" x14ac:dyDescent="0.35">
      <c r="A2340" s="1" t="s">
        <v>4492</v>
      </c>
      <c r="B2340" s="1" t="s">
        <v>1989</v>
      </c>
      <c r="C2340" s="1" t="s">
        <v>6852</v>
      </c>
      <c r="D2340" s="1" t="s">
        <v>6866</v>
      </c>
      <c r="E2340" s="1" t="str">
        <f>"2310"</f>
        <v>2310</v>
      </c>
      <c r="F2340" s="1" t="str">
        <f>"010907741"</f>
        <v>010907741</v>
      </c>
      <c r="G2340" s="1" t="s">
        <v>710</v>
      </c>
      <c r="H2340" s="1" t="s">
        <v>15</v>
      </c>
      <c r="I2340" s="1" t="str">
        <f>"1"</f>
        <v>1</v>
      </c>
      <c r="J2340" s="3" t="str">
        <f>"30027"</f>
        <v>30027</v>
      </c>
      <c r="K2340" s="4">
        <v>46091</v>
      </c>
      <c r="L2340" s="4">
        <v>46099</v>
      </c>
      <c r="M2340" s="1" t="s">
        <v>6865</v>
      </c>
      <c r="N2340" s="1" t="s">
        <v>6860</v>
      </c>
    </row>
    <row r="2341" spans="1:14" s="1" customFormat="1" x14ac:dyDescent="0.35">
      <c r="A2341" s="1" t="s">
        <v>4492</v>
      </c>
      <c r="B2341" s="1" t="s">
        <v>1989</v>
      </c>
      <c r="C2341" s="1" t="s">
        <v>6852</v>
      </c>
      <c r="D2341" s="1" t="s">
        <v>6864</v>
      </c>
      <c r="E2341" s="1" t="str">
        <f>"2310"</f>
        <v>2310</v>
      </c>
      <c r="F2341" s="1" t="str">
        <f>"010907741"</f>
        <v>010907741</v>
      </c>
      <c r="G2341" s="1" t="s">
        <v>710</v>
      </c>
      <c r="H2341" s="1" t="s">
        <v>15</v>
      </c>
      <c r="I2341" s="1" t="str">
        <f>"1"</f>
        <v>1</v>
      </c>
      <c r="J2341" s="3" t="str">
        <f>"30027"</f>
        <v>30027</v>
      </c>
      <c r="K2341" s="4">
        <v>46091</v>
      </c>
      <c r="L2341" s="4">
        <v>46099</v>
      </c>
      <c r="M2341" s="1" t="s">
        <v>6863</v>
      </c>
      <c r="N2341" s="1" t="s">
        <v>6860</v>
      </c>
    </row>
    <row r="2342" spans="1:14" s="1" customFormat="1" x14ac:dyDescent="0.35">
      <c r="A2342" s="1" t="s">
        <v>4492</v>
      </c>
      <c r="B2342" s="1" t="s">
        <v>1989</v>
      </c>
      <c r="C2342" s="1" t="s">
        <v>6852</v>
      </c>
      <c r="D2342" s="1" t="s">
        <v>6862</v>
      </c>
      <c r="E2342" s="1" t="str">
        <f>"2310"</f>
        <v>2310</v>
      </c>
      <c r="F2342" s="1" t="str">
        <f>"010907741"</f>
        <v>010907741</v>
      </c>
      <c r="G2342" s="1" t="s">
        <v>710</v>
      </c>
      <c r="H2342" s="1" t="s">
        <v>15</v>
      </c>
      <c r="I2342" s="1" t="str">
        <f>"1"</f>
        <v>1</v>
      </c>
      <c r="J2342" s="3" t="str">
        <f>"30027"</f>
        <v>30027</v>
      </c>
      <c r="K2342" s="4">
        <v>46091</v>
      </c>
      <c r="L2342" s="4">
        <v>46099</v>
      </c>
      <c r="M2342" s="1" t="s">
        <v>6861</v>
      </c>
      <c r="N2342" s="1" t="s">
        <v>6860</v>
      </c>
    </row>
    <row r="2343" spans="1:14" s="1" customFormat="1" x14ac:dyDescent="0.35">
      <c r="A2343" s="1" t="s">
        <v>4492</v>
      </c>
      <c r="B2343" s="1" t="s">
        <v>1989</v>
      </c>
      <c r="C2343" s="1" t="s">
        <v>6852</v>
      </c>
      <c r="D2343" s="1" t="s">
        <v>6859</v>
      </c>
      <c r="E2343" s="1" t="str">
        <f>"2320"</f>
        <v>2320</v>
      </c>
      <c r="F2343" s="1" t="s">
        <v>100</v>
      </c>
      <c r="G2343" s="1" t="s">
        <v>101</v>
      </c>
      <c r="H2343" s="1" t="s">
        <v>15</v>
      </c>
      <c r="I2343" s="1" t="str">
        <f>"1"</f>
        <v>1</v>
      </c>
      <c r="J2343" s="3" t="str">
        <f>"61735"</f>
        <v>61735</v>
      </c>
      <c r="K2343" s="4">
        <v>46095</v>
      </c>
      <c r="L2343" s="4">
        <v>46109</v>
      </c>
      <c r="M2343" s="1" t="s">
        <v>6858</v>
      </c>
      <c r="N2343" s="1" t="s">
        <v>6857</v>
      </c>
    </row>
    <row r="2344" spans="1:14" s="1" customFormat="1" x14ac:dyDescent="0.35">
      <c r="A2344" s="1" t="s">
        <v>4492</v>
      </c>
      <c r="B2344" s="1" t="s">
        <v>1989</v>
      </c>
      <c r="C2344" s="1" t="s">
        <v>6852</v>
      </c>
      <c r="D2344" s="1" t="s">
        <v>6856</v>
      </c>
      <c r="E2344" s="1" t="str">
        <f>"2320"</f>
        <v>2320</v>
      </c>
      <c r="F2344" s="1" t="str">
        <f>"010907892"</f>
        <v>010907892</v>
      </c>
      <c r="G2344" s="1" t="s">
        <v>930</v>
      </c>
      <c r="H2344" s="1" t="s">
        <v>15</v>
      </c>
      <c r="I2344" s="1" t="str">
        <f>"1"</f>
        <v>1</v>
      </c>
      <c r="J2344" s="3" t="str">
        <f>"23000"</f>
        <v>23000</v>
      </c>
      <c r="K2344" s="4">
        <v>46095</v>
      </c>
      <c r="L2344" s="4">
        <v>46100</v>
      </c>
      <c r="M2344" s="1" t="s">
        <v>6855</v>
      </c>
      <c r="N2344" s="1" t="s">
        <v>6854</v>
      </c>
    </row>
    <row r="2345" spans="1:14" s="1" customFormat="1" x14ac:dyDescent="0.35">
      <c r="A2345" s="1" t="s">
        <v>4492</v>
      </c>
      <c r="B2345" s="1" t="s">
        <v>1989</v>
      </c>
      <c r="C2345" s="1" t="s">
        <v>6852</v>
      </c>
      <c r="D2345" s="1" t="s">
        <v>6853</v>
      </c>
      <c r="E2345" s="1" t="str">
        <f>"5855"</f>
        <v>5855</v>
      </c>
      <c r="F2345" s="1" t="str">
        <f>"015356166"</f>
        <v>015356166</v>
      </c>
      <c r="G2345" s="1" t="s">
        <v>742</v>
      </c>
      <c r="H2345" s="1" t="s">
        <v>15</v>
      </c>
      <c r="I2345" s="1" t="str">
        <f>"10"</f>
        <v>10</v>
      </c>
      <c r="J2345" s="3" t="str">
        <f>"898"</f>
        <v>898</v>
      </c>
      <c r="K2345" s="4">
        <v>46095</v>
      </c>
      <c r="L2345" s="4">
        <v>46096</v>
      </c>
      <c r="M2345" s="1" t="s">
        <v>4524</v>
      </c>
      <c r="N2345" s="1" t="s">
        <v>6849</v>
      </c>
    </row>
    <row r="2346" spans="1:14" s="1" customFormat="1" x14ac:dyDescent="0.35">
      <c r="A2346" s="1" t="s">
        <v>4492</v>
      </c>
      <c r="B2346" s="1" t="s">
        <v>1989</v>
      </c>
      <c r="C2346" s="1" t="s">
        <v>6852</v>
      </c>
      <c r="D2346" s="1" t="s">
        <v>6851</v>
      </c>
      <c r="E2346" s="1" t="str">
        <f>"5855"</f>
        <v>5855</v>
      </c>
      <c r="F2346" s="1" t="str">
        <f>"015777174"</f>
        <v>015777174</v>
      </c>
      <c r="G2346" s="1" t="s">
        <v>952</v>
      </c>
      <c r="H2346" s="1" t="s">
        <v>15</v>
      </c>
      <c r="I2346" s="1" t="str">
        <f>"10"</f>
        <v>10</v>
      </c>
      <c r="J2346" s="3" t="str">
        <f>"1791"</f>
        <v>1791</v>
      </c>
      <c r="K2346" s="4">
        <v>46095</v>
      </c>
      <c r="L2346" s="4">
        <v>46099</v>
      </c>
      <c r="M2346" s="1" t="s">
        <v>6850</v>
      </c>
      <c r="N2346" s="1" t="s">
        <v>6849</v>
      </c>
    </row>
    <row r="2347" spans="1:14" s="1" customFormat="1" x14ac:dyDescent="0.35">
      <c r="A2347" s="1" t="s">
        <v>4492</v>
      </c>
      <c r="B2347" s="1" t="s">
        <v>3268</v>
      </c>
      <c r="C2347" s="1" t="s">
        <v>3337</v>
      </c>
      <c r="D2347" s="1" t="s">
        <v>6848</v>
      </c>
      <c r="E2347" s="1" t="str">
        <f>"5855"</f>
        <v>5855</v>
      </c>
      <c r="F2347" s="1" t="str">
        <f>"014408978"</f>
        <v>014408978</v>
      </c>
      <c r="G2347" s="1" t="s">
        <v>614</v>
      </c>
      <c r="H2347" s="1" t="s">
        <v>15</v>
      </c>
      <c r="I2347" s="1" t="str">
        <f>"1"</f>
        <v>1</v>
      </c>
      <c r="J2347" s="3" t="str">
        <f>"10375"</f>
        <v>10375</v>
      </c>
      <c r="K2347" s="4">
        <v>46002</v>
      </c>
      <c r="L2347" s="4">
        <v>46036</v>
      </c>
      <c r="M2347" s="1" t="s">
        <v>6847</v>
      </c>
      <c r="N2347" s="1" t="s">
        <v>6846</v>
      </c>
    </row>
    <row r="2348" spans="1:14" s="1" customFormat="1" x14ac:dyDescent="0.35">
      <c r="A2348" s="1" t="s">
        <v>4492</v>
      </c>
      <c r="B2348" s="1" t="s">
        <v>1516</v>
      </c>
      <c r="C2348" s="1" t="s">
        <v>1755</v>
      </c>
      <c r="D2348" s="1" t="s">
        <v>6845</v>
      </c>
      <c r="E2348" s="1" t="str">
        <f>"3770"</f>
        <v>3770</v>
      </c>
      <c r="F2348" s="1" t="str">
        <f>"016140683"</f>
        <v>016140683</v>
      </c>
      <c r="G2348" s="1" t="s">
        <v>14</v>
      </c>
      <c r="H2348" s="1" t="s">
        <v>15</v>
      </c>
      <c r="I2348" s="1" t="str">
        <f>"8"</f>
        <v>8</v>
      </c>
      <c r="J2348" s="3">
        <v>1878.96</v>
      </c>
      <c r="K2348" s="4">
        <v>46064</v>
      </c>
      <c r="L2348" s="4">
        <v>46086</v>
      </c>
      <c r="M2348" s="1" t="s">
        <v>6844</v>
      </c>
      <c r="N2348" s="1" t="s">
        <v>6843</v>
      </c>
    </row>
    <row r="2349" spans="1:14" s="1" customFormat="1" x14ac:dyDescent="0.35">
      <c r="A2349" s="1" t="s">
        <v>4492</v>
      </c>
      <c r="B2349" s="1" t="s">
        <v>1516</v>
      </c>
      <c r="C2349" s="1" t="s">
        <v>1755</v>
      </c>
      <c r="D2349" s="1" t="s">
        <v>6842</v>
      </c>
      <c r="E2349" s="1" t="str">
        <f>"2310"</f>
        <v>2310</v>
      </c>
      <c r="F2349" s="1" t="str">
        <f>"010907741"</f>
        <v>010907741</v>
      </c>
      <c r="G2349" s="1" t="s">
        <v>710</v>
      </c>
      <c r="H2349" s="1" t="s">
        <v>15</v>
      </c>
      <c r="I2349" s="1" t="str">
        <f>"1"</f>
        <v>1</v>
      </c>
      <c r="J2349" s="3" t="str">
        <f>"30027"</f>
        <v>30027</v>
      </c>
      <c r="K2349" s="4">
        <v>46080</v>
      </c>
      <c r="L2349" s="4">
        <v>46088</v>
      </c>
      <c r="M2349" s="1" t="s">
        <v>6841</v>
      </c>
      <c r="N2349" s="1" t="s">
        <v>6836</v>
      </c>
    </row>
    <row r="2350" spans="1:14" s="1" customFormat="1" x14ac:dyDescent="0.35">
      <c r="A2350" s="1" t="s">
        <v>4492</v>
      </c>
      <c r="B2350" s="1" t="s">
        <v>1516</v>
      </c>
      <c r="C2350" s="1" t="s">
        <v>1755</v>
      </c>
      <c r="D2350" s="1" t="s">
        <v>6840</v>
      </c>
      <c r="E2350" s="1" t="str">
        <f>"2310"</f>
        <v>2310</v>
      </c>
      <c r="F2350" s="1" t="str">
        <f>"010907741"</f>
        <v>010907741</v>
      </c>
      <c r="G2350" s="1" t="s">
        <v>710</v>
      </c>
      <c r="H2350" s="1" t="s">
        <v>15</v>
      </c>
      <c r="I2350" s="1" t="str">
        <f>"1"</f>
        <v>1</v>
      </c>
      <c r="J2350" s="3" t="str">
        <f>"30027"</f>
        <v>30027</v>
      </c>
      <c r="K2350" s="4">
        <v>46080</v>
      </c>
      <c r="L2350" s="4">
        <v>46088</v>
      </c>
      <c r="M2350" s="1" t="s">
        <v>6839</v>
      </c>
      <c r="N2350" s="1" t="s">
        <v>6836</v>
      </c>
    </row>
    <row r="2351" spans="1:14" s="1" customFormat="1" x14ac:dyDescent="0.35">
      <c r="A2351" s="1" t="s">
        <v>4492</v>
      </c>
      <c r="B2351" s="1" t="s">
        <v>1516</v>
      </c>
      <c r="C2351" s="1" t="s">
        <v>1755</v>
      </c>
      <c r="D2351" s="1" t="s">
        <v>6838</v>
      </c>
      <c r="E2351" s="1" t="str">
        <f>"2310"</f>
        <v>2310</v>
      </c>
      <c r="F2351" s="1" t="str">
        <f>"010907741"</f>
        <v>010907741</v>
      </c>
      <c r="G2351" s="1" t="s">
        <v>710</v>
      </c>
      <c r="H2351" s="1" t="s">
        <v>15</v>
      </c>
      <c r="I2351" s="1" t="str">
        <f>"1"</f>
        <v>1</v>
      </c>
      <c r="J2351" s="3" t="str">
        <f>"30027"</f>
        <v>30027</v>
      </c>
      <c r="K2351" s="4">
        <v>46080</v>
      </c>
      <c r="L2351" s="4">
        <v>46088</v>
      </c>
      <c r="M2351" s="1" t="s">
        <v>6837</v>
      </c>
      <c r="N2351" s="1" t="s">
        <v>6836</v>
      </c>
    </row>
    <row r="2352" spans="1:14" s="1" customFormat="1" x14ac:dyDescent="0.35">
      <c r="A2352" s="1" t="s">
        <v>4492</v>
      </c>
      <c r="B2352" s="1" t="s">
        <v>1516</v>
      </c>
      <c r="C2352" s="1" t="s">
        <v>1755</v>
      </c>
      <c r="D2352" s="1" t="s">
        <v>6835</v>
      </c>
      <c r="E2352" s="1" t="str">
        <f>"5855"</f>
        <v>5855</v>
      </c>
      <c r="F2352" s="1" t="str">
        <f>"015847217"</f>
        <v>015847217</v>
      </c>
      <c r="G2352" s="1" t="s">
        <v>614</v>
      </c>
      <c r="H2352" s="1" t="s">
        <v>15</v>
      </c>
      <c r="I2352" s="1" t="str">
        <f>"5"</f>
        <v>5</v>
      </c>
      <c r="J2352" s="3" t="str">
        <f>"34084"</f>
        <v>34084</v>
      </c>
      <c r="K2352" s="4">
        <v>46086</v>
      </c>
      <c r="L2352" s="4">
        <v>46087</v>
      </c>
      <c r="M2352" s="1" t="s">
        <v>4524</v>
      </c>
      <c r="N2352" s="1" t="s">
        <v>6834</v>
      </c>
    </row>
    <row r="2353" spans="1:14" s="1" customFormat="1" x14ac:dyDescent="0.35">
      <c r="A2353" s="1" t="s">
        <v>4492</v>
      </c>
      <c r="B2353" s="1" t="s">
        <v>1516</v>
      </c>
      <c r="C2353" s="1" t="s">
        <v>1755</v>
      </c>
      <c r="D2353" s="1" t="s">
        <v>6833</v>
      </c>
      <c r="E2353" s="1" t="str">
        <f>"5855"</f>
        <v>5855</v>
      </c>
      <c r="F2353" s="1" t="str">
        <f>"015485687"</f>
        <v>015485687</v>
      </c>
      <c r="G2353" s="1" t="s">
        <v>798</v>
      </c>
      <c r="H2353" s="1" t="s">
        <v>15</v>
      </c>
      <c r="I2353" s="1" t="str">
        <f>"20"</f>
        <v>20</v>
      </c>
      <c r="J2353" s="3" t="str">
        <f>"10402"</f>
        <v>10402</v>
      </c>
      <c r="K2353" s="4">
        <v>46083</v>
      </c>
      <c r="L2353" s="4">
        <v>46088</v>
      </c>
      <c r="M2353" s="1" t="s">
        <v>6832</v>
      </c>
      <c r="N2353" s="1" t="s">
        <v>6831</v>
      </c>
    </row>
    <row r="2354" spans="1:14" s="1" customFormat="1" x14ac:dyDescent="0.35">
      <c r="A2354" s="1" t="s">
        <v>4492</v>
      </c>
      <c r="B2354" s="1" t="s">
        <v>1516</v>
      </c>
      <c r="C2354" s="1" t="s">
        <v>1755</v>
      </c>
      <c r="D2354" s="1" t="s">
        <v>6830</v>
      </c>
      <c r="E2354" s="1" t="str">
        <f>"2320"</f>
        <v>2320</v>
      </c>
      <c r="F2354" s="1" t="s">
        <v>100</v>
      </c>
      <c r="G2354" s="1" t="s">
        <v>101</v>
      </c>
      <c r="H2354" s="1" t="s">
        <v>15</v>
      </c>
      <c r="I2354" s="1" t="str">
        <f>"1"</f>
        <v>1</v>
      </c>
      <c r="J2354" s="3" t="str">
        <f>"33000"</f>
        <v>33000</v>
      </c>
      <c r="K2354" s="4">
        <v>46083</v>
      </c>
      <c r="L2354" s="4">
        <v>46095</v>
      </c>
      <c r="M2354" s="1" t="s">
        <v>6829</v>
      </c>
      <c r="N2354" s="1" t="s">
        <v>6828</v>
      </c>
    </row>
    <row r="2355" spans="1:14" s="1" customFormat="1" x14ac:dyDescent="0.35">
      <c r="A2355" s="1" t="s">
        <v>4492</v>
      </c>
      <c r="B2355" s="1" t="s">
        <v>1516</v>
      </c>
      <c r="C2355" s="1" t="s">
        <v>1755</v>
      </c>
      <c r="D2355" s="1" t="s">
        <v>6827</v>
      </c>
      <c r="E2355" s="1" t="str">
        <f>"4940"</f>
        <v>4940</v>
      </c>
      <c r="F2355" s="1" t="str">
        <f>"010259856"</f>
        <v>010259856</v>
      </c>
      <c r="G2355" s="1" t="s">
        <v>6826</v>
      </c>
      <c r="H2355" s="1" t="s">
        <v>15</v>
      </c>
      <c r="I2355" s="1" t="str">
        <f>"1"</f>
        <v>1</v>
      </c>
      <c r="J2355" s="3" t="str">
        <f>"18528"</f>
        <v>18528</v>
      </c>
      <c r="K2355" s="4">
        <v>46101</v>
      </c>
      <c r="L2355" s="4">
        <v>46102</v>
      </c>
      <c r="M2355" s="1" t="s">
        <v>4524</v>
      </c>
      <c r="N2355" s="1" t="s">
        <v>6825</v>
      </c>
    </row>
    <row r="2356" spans="1:14" s="1" customFormat="1" x14ac:dyDescent="0.35">
      <c r="A2356" s="1" t="s">
        <v>4492</v>
      </c>
      <c r="B2356" s="1" t="s">
        <v>1516</v>
      </c>
      <c r="C2356" s="1" t="s">
        <v>1755</v>
      </c>
      <c r="D2356" s="1" t="s">
        <v>6824</v>
      </c>
      <c r="E2356" s="1" t="str">
        <f>"2310"</f>
        <v>2310</v>
      </c>
      <c r="F2356" s="1" t="str">
        <f>"010907741"</f>
        <v>010907741</v>
      </c>
      <c r="G2356" s="1" t="s">
        <v>710</v>
      </c>
      <c r="H2356" s="1" t="s">
        <v>15</v>
      </c>
      <c r="I2356" s="1" t="str">
        <f>"1"</f>
        <v>1</v>
      </c>
      <c r="J2356" s="3" t="str">
        <f>"30027"</f>
        <v>30027</v>
      </c>
      <c r="K2356" s="4">
        <v>46101</v>
      </c>
      <c r="L2356" s="4">
        <v>46105</v>
      </c>
      <c r="M2356" s="1" t="s">
        <v>4524</v>
      </c>
      <c r="N2356" s="1" t="s">
        <v>6823</v>
      </c>
    </row>
    <row r="2357" spans="1:14" s="1" customFormat="1" x14ac:dyDescent="0.35">
      <c r="A2357" s="1" t="s">
        <v>4492</v>
      </c>
      <c r="B2357" s="1" t="s">
        <v>1516</v>
      </c>
      <c r="C2357" s="1" t="s">
        <v>1755</v>
      </c>
      <c r="D2357" s="1" t="s">
        <v>6822</v>
      </c>
      <c r="E2357" s="1" t="str">
        <f>"2310"</f>
        <v>2310</v>
      </c>
      <c r="F2357" s="1" t="s">
        <v>4332</v>
      </c>
      <c r="G2357" s="1" t="s">
        <v>4333</v>
      </c>
      <c r="H2357" s="1" t="s">
        <v>15</v>
      </c>
      <c r="I2357" s="1" t="str">
        <f>"1"</f>
        <v>1</v>
      </c>
      <c r="J2357" s="3" t="str">
        <f>"81369"</f>
        <v>81369</v>
      </c>
      <c r="K2357" s="4">
        <v>46096</v>
      </c>
      <c r="L2357" s="4">
        <v>46109</v>
      </c>
      <c r="M2357" s="1" t="s">
        <v>6821</v>
      </c>
      <c r="N2357" s="1" t="s">
        <v>6820</v>
      </c>
    </row>
    <row r="2358" spans="1:14" s="1" customFormat="1" x14ac:dyDescent="0.35">
      <c r="A2358" s="1" t="s">
        <v>4492</v>
      </c>
      <c r="B2358" s="1" t="s">
        <v>1516</v>
      </c>
      <c r="C2358" s="1" t="s">
        <v>1755</v>
      </c>
      <c r="D2358" s="1" t="s">
        <v>6819</v>
      </c>
      <c r="E2358" s="1" t="str">
        <f>"5180"</f>
        <v>5180</v>
      </c>
      <c r="F2358" s="1" t="str">
        <f>"015637474"</f>
        <v>015637474</v>
      </c>
      <c r="G2358" s="1" t="s">
        <v>6818</v>
      </c>
      <c r="H2358" s="1" t="s">
        <v>15</v>
      </c>
      <c r="I2358" s="1" t="str">
        <f>"2"</f>
        <v>2</v>
      </c>
      <c r="J2358" s="3" t="str">
        <f>"133488"</f>
        <v>133488</v>
      </c>
      <c r="K2358" s="4">
        <v>46090</v>
      </c>
      <c r="L2358" s="4">
        <v>46093</v>
      </c>
      <c r="M2358" s="1" t="s">
        <v>6817</v>
      </c>
      <c r="N2358" s="1" t="s">
        <v>6816</v>
      </c>
    </row>
    <row r="2359" spans="1:14" s="1" customFormat="1" x14ac:dyDescent="0.35">
      <c r="A2359" s="1" t="s">
        <v>4492</v>
      </c>
      <c r="B2359" s="1" t="s">
        <v>1516</v>
      </c>
      <c r="C2359" s="1" t="s">
        <v>1777</v>
      </c>
      <c r="D2359" s="1" t="s">
        <v>6815</v>
      </c>
      <c r="E2359" s="1" t="str">
        <f>"2320"</f>
        <v>2320</v>
      </c>
      <c r="F2359" s="1" t="s">
        <v>100</v>
      </c>
      <c r="G2359" s="1" t="s">
        <v>101</v>
      </c>
      <c r="H2359" s="1" t="s">
        <v>15</v>
      </c>
      <c r="I2359" s="1" t="str">
        <f>"1"</f>
        <v>1</v>
      </c>
      <c r="J2359" s="3" t="str">
        <f>"68287"</f>
        <v>68287</v>
      </c>
      <c r="K2359" s="4">
        <v>46006</v>
      </c>
      <c r="L2359" s="4">
        <v>46027</v>
      </c>
      <c r="M2359" s="1" t="s">
        <v>6814</v>
      </c>
      <c r="N2359" s="1" t="s">
        <v>6813</v>
      </c>
    </row>
    <row r="2360" spans="1:14" s="1" customFormat="1" x14ac:dyDescent="0.35">
      <c r="A2360" s="1" t="s">
        <v>4492</v>
      </c>
      <c r="B2360" s="1" t="s">
        <v>1516</v>
      </c>
      <c r="C2360" s="1" t="s">
        <v>1777</v>
      </c>
      <c r="D2360" s="1" t="s">
        <v>6812</v>
      </c>
      <c r="E2360" s="1" t="str">
        <f>"2320"</f>
        <v>2320</v>
      </c>
      <c r="F2360" s="1" t="s">
        <v>100</v>
      </c>
      <c r="G2360" s="1" t="s">
        <v>101</v>
      </c>
      <c r="H2360" s="1" t="s">
        <v>15</v>
      </c>
      <c r="I2360" s="1" t="str">
        <f>"1"</f>
        <v>1</v>
      </c>
      <c r="J2360" s="3" t="str">
        <f>"40000"</f>
        <v>40000</v>
      </c>
      <c r="K2360" s="4">
        <v>46027</v>
      </c>
      <c r="L2360" s="4">
        <v>46027</v>
      </c>
      <c r="M2360" s="1" t="s">
        <v>6811</v>
      </c>
      <c r="N2360" s="1" t="s">
        <v>6810</v>
      </c>
    </row>
    <row r="2361" spans="1:14" s="1" customFormat="1" x14ac:dyDescent="0.35">
      <c r="A2361" s="1" t="s">
        <v>4492</v>
      </c>
      <c r="B2361" s="1" t="s">
        <v>1303</v>
      </c>
      <c r="C2361" s="1" t="s">
        <v>6809</v>
      </c>
      <c r="D2361" s="1" t="s">
        <v>6808</v>
      </c>
      <c r="E2361" s="1" t="str">
        <f>"7125"</f>
        <v>7125</v>
      </c>
      <c r="F2361" s="1" t="s">
        <v>6807</v>
      </c>
      <c r="G2361" s="1" t="s">
        <v>6806</v>
      </c>
      <c r="H2361" s="1" t="s">
        <v>15</v>
      </c>
      <c r="I2361" s="1" t="str">
        <f>"2"</f>
        <v>2</v>
      </c>
      <c r="J2361" s="3" t="str">
        <f>"150"</f>
        <v>150</v>
      </c>
      <c r="K2361" s="4">
        <v>46056</v>
      </c>
      <c r="L2361" s="4">
        <v>46056</v>
      </c>
      <c r="M2361" s="1" t="s">
        <v>4524</v>
      </c>
      <c r="N2361" s="1" t="s">
        <v>6805</v>
      </c>
    </row>
    <row r="2362" spans="1:14" s="1" customFormat="1" x14ac:dyDescent="0.35">
      <c r="A2362" s="1" t="s">
        <v>4492</v>
      </c>
      <c r="B2362" s="1" t="s">
        <v>3356</v>
      </c>
      <c r="C2362" s="1" t="s">
        <v>3651</v>
      </c>
      <c r="D2362" s="1" t="s">
        <v>6804</v>
      </c>
      <c r="E2362" s="1" t="str">
        <f>"2320"</f>
        <v>2320</v>
      </c>
      <c r="F2362" s="1" t="s">
        <v>100</v>
      </c>
      <c r="G2362" s="1" t="s">
        <v>101</v>
      </c>
      <c r="H2362" s="1" t="s">
        <v>15</v>
      </c>
      <c r="I2362" s="1" t="str">
        <f>"1"</f>
        <v>1</v>
      </c>
      <c r="J2362" s="3" t="str">
        <f>"52500"</f>
        <v>52500</v>
      </c>
      <c r="K2362" s="4">
        <v>46013</v>
      </c>
      <c r="L2362" s="4">
        <v>46092</v>
      </c>
      <c r="M2362" s="1" t="s">
        <v>6803</v>
      </c>
      <c r="N2362" s="1" t="s">
        <v>6802</v>
      </c>
    </row>
    <row r="2363" spans="1:14" s="1" customFormat="1" x14ac:dyDescent="0.35">
      <c r="A2363" s="1" t="s">
        <v>4492</v>
      </c>
      <c r="B2363" s="1" t="s">
        <v>3356</v>
      </c>
      <c r="C2363" s="1" t="s">
        <v>3651</v>
      </c>
      <c r="D2363" s="1" t="s">
        <v>6801</v>
      </c>
      <c r="E2363" s="1" t="str">
        <f>"2340"</f>
        <v>2340</v>
      </c>
      <c r="F2363" s="1" t="str">
        <f>"016495368"</f>
        <v>016495368</v>
      </c>
      <c r="G2363" s="1" t="s">
        <v>1926</v>
      </c>
      <c r="H2363" s="1" t="s">
        <v>15</v>
      </c>
      <c r="I2363" s="1" t="str">
        <f>"2"</f>
        <v>2</v>
      </c>
      <c r="J2363" s="3" t="str">
        <f>"34900"</f>
        <v>34900</v>
      </c>
      <c r="K2363" s="4">
        <v>46033</v>
      </c>
      <c r="L2363" s="4">
        <v>46039</v>
      </c>
      <c r="M2363" s="1" t="s">
        <v>6800</v>
      </c>
      <c r="N2363" s="1" t="s">
        <v>6799</v>
      </c>
    </row>
    <row r="2364" spans="1:14" s="1" customFormat="1" x14ac:dyDescent="0.35">
      <c r="A2364" s="1" t="s">
        <v>4492</v>
      </c>
      <c r="B2364" s="1" t="s">
        <v>2196</v>
      </c>
      <c r="C2364" s="1" t="s">
        <v>2211</v>
      </c>
      <c r="D2364" s="1" t="s">
        <v>6798</v>
      </c>
      <c r="E2364" s="1" t="str">
        <f>"1095"</f>
        <v>1095</v>
      </c>
      <c r="F2364" s="1" t="s">
        <v>2217</v>
      </c>
      <c r="G2364" s="1" t="s">
        <v>2218</v>
      </c>
      <c r="H2364" s="1" t="s">
        <v>15</v>
      </c>
      <c r="I2364" s="1" t="str">
        <f>"20"</f>
        <v>20</v>
      </c>
      <c r="J2364" s="3" t="str">
        <f>"10"</f>
        <v>10</v>
      </c>
      <c r="K2364" s="4">
        <v>46028</v>
      </c>
      <c r="L2364" s="4">
        <v>46039</v>
      </c>
      <c r="M2364" s="1" t="s">
        <v>6797</v>
      </c>
      <c r="N2364" s="1" t="s">
        <v>6796</v>
      </c>
    </row>
    <row r="2365" spans="1:14" s="1" customFormat="1" x14ac:dyDescent="0.35">
      <c r="A2365" s="1" t="s">
        <v>4492</v>
      </c>
      <c r="B2365" s="1" t="s">
        <v>2196</v>
      </c>
      <c r="C2365" s="1" t="s">
        <v>2211</v>
      </c>
      <c r="D2365" s="1" t="s">
        <v>6795</v>
      </c>
      <c r="E2365" s="1" t="str">
        <f>"2530"</f>
        <v>2530</v>
      </c>
      <c r="F2365" s="1" t="str">
        <f>"014812638"</f>
        <v>014812638</v>
      </c>
      <c r="G2365" s="1" t="s">
        <v>6794</v>
      </c>
      <c r="H2365" s="1" t="s">
        <v>15</v>
      </c>
      <c r="I2365" s="1" t="str">
        <f>"2"</f>
        <v>2</v>
      </c>
      <c r="J2365" s="3">
        <v>196.92</v>
      </c>
      <c r="K2365" s="4">
        <v>46040</v>
      </c>
      <c r="L2365" s="4">
        <v>46064</v>
      </c>
      <c r="M2365" s="1" t="s">
        <v>6793</v>
      </c>
      <c r="N2365" s="1" t="s">
        <v>6792</v>
      </c>
    </row>
    <row r="2366" spans="1:14" s="1" customFormat="1" x14ac:dyDescent="0.35">
      <c r="A2366" s="1" t="s">
        <v>4492</v>
      </c>
      <c r="B2366" s="1" t="s">
        <v>2196</v>
      </c>
      <c r="C2366" s="1" t="s">
        <v>2211</v>
      </c>
      <c r="D2366" s="1" t="s">
        <v>6791</v>
      </c>
      <c r="E2366" s="1" t="str">
        <f>"2530"</f>
        <v>2530</v>
      </c>
      <c r="F2366" s="1" t="str">
        <f>"011841156"</f>
        <v>011841156</v>
      </c>
      <c r="G2366" s="1" t="s">
        <v>6790</v>
      </c>
      <c r="H2366" s="1" t="s">
        <v>726</v>
      </c>
      <c r="I2366" s="1" t="str">
        <f>"1"</f>
        <v>1</v>
      </c>
      <c r="J2366" s="3">
        <v>3581.73</v>
      </c>
      <c r="K2366" s="4">
        <v>46040</v>
      </c>
      <c r="L2366" s="4">
        <v>46071</v>
      </c>
      <c r="M2366" s="1" t="s">
        <v>6789</v>
      </c>
      <c r="N2366" s="1" t="s">
        <v>6788</v>
      </c>
    </row>
    <row r="2367" spans="1:14" s="1" customFormat="1" x14ac:dyDescent="0.35">
      <c r="A2367" s="1" t="s">
        <v>4492</v>
      </c>
      <c r="B2367" s="1" t="s">
        <v>2196</v>
      </c>
      <c r="C2367" s="1" t="s">
        <v>2211</v>
      </c>
      <c r="D2367" s="1" t="s">
        <v>6787</v>
      </c>
      <c r="E2367" s="1" t="str">
        <f>"8415"</f>
        <v>8415</v>
      </c>
      <c r="F2367" s="1" t="str">
        <f>"015030766"</f>
        <v>015030766</v>
      </c>
      <c r="G2367" s="1" t="s">
        <v>822</v>
      </c>
      <c r="H2367" s="1" t="s">
        <v>15</v>
      </c>
      <c r="I2367" s="1" t="str">
        <f>"10"</f>
        <v>10</v>
      </c>
      <c r="J2367" s="3">
        <v>33.47</v>
      </c>
      <c r="K2367" s="4">
        <v>46057</v>
      </c>
      <c r="L2367" s="4">
        <v>46058</v>
      </c>
      <c r="M2367" s="1" t="s">
        <v>4524</v>
      </c>
      <c r="N2367" s="1" t="s">
        <v>6786</v>
      </c>
    </row>
    <row r="2368" spans="1:14" s="1" customFormat="1" x14ac:dyDescent="0.35">
      <c r="A2368" s="1" t="s">
        <v>4492</v>
      </c>
      <c r="B2368" s="1" t="s">
        <v>2196</v>
      </c>
      <c r="C2368" s="1" t="s">
        <v>2211</v>
      </c>
      <c r="D2368" s="1" t="s">
        <v>6785</v>
      </c>
      <c r="E2368" s="1" t="str">
        <f>"8465"</f>
        <v>8465</v>
      </c>
      <c r="F2368" s="1" t="str">
        <f>"014456274"</f>
        <v>014456274</v>
      </c>
      <c r="G2368" s="1" t="s">
        <v>3536</v>
      </c>
      <c r="H2368" s="1" t="s">
        <v>15</v>
      </c>
      <c r="I2368" s="1" t="str">
        <f>"8"</f>
        <v>8</v>
      </c>
      <c r="J2368" s="3">
        <v>255.6</v>
      </c>
      <c r="K2368" s="4">
        <v>46057</v>
      </c>
      <c r="L2368" s="4">
        <v>46066</v>
      </c>
      <c r="M2368" s="1" t="s">
        <v>6784</v>
      </c>
      <c r="N2368" s="1" t="s">
        <v>6783</v>
      </c>
    </row>
    <row r="2369" spans="1:14" s="1" customFormat="1" x14ac:dyDescent="0.35">
      <c r="A2369" s="1" t="s">
        <v>4492</v>
      </c>
      <c r="B2369" s="1" t="s">
        <v>2196</v>
      </c>
      <c r="C2369" s="1" t="s">
        <v>2211</v>
      </c>
      <c r="D2369" s="1" t="s">
        <v>6782</v>
      </c>
      <c r="E2369" s="1" t="str">
        <f>"8415"</f>
        <v>8415</v>
      </c>
      <c r="F2369" s="1" t="str">
        <f>"015386300"</f>
        <v>015386300</v>
      </c>
      <c r="G2369" s="1" t="s">
        <v>2097</v>
      </c>
      <c r="H2369" s="1" t="s">
        <v>15</v>
      </c>
      <c r="I2369" s="1" t="str">
        <f>"4"</f>
        <v>4</v>
      </c>
      <c r="J2369" s="3">
        <v>137.97999999999999</v>
      </c>
      <c r="K2369" s="4">
        <v>46057</v>
      </c>
      <c r="L2369" s="4">
        <v>46059</v>
      </c>
      <c r="M2369" s="1" t="s">
        <v>6781</v>
      </c>
      <c r="N2369" s="1" t="s">
        <v>6780</v>
      </c>
    </row>
    <row r="2370" spans="1:14" s="1" customFormat="1" x14ac:dyDescent="0.35">
      <c r="A2370" s="1" t="s">
        <v>4492</v>
      </c>
      <c r="B2370" s="1" t="s">
        <v>73</v>
      </c>
      <c r="C2370" s="1" t="s">
        <v>213</v>
      </c>
      <c r="D2370" s="1" t="s">
        <v>6779</v>
      </c>
      <c r="E2370" s="1" t="str">
        <f>"4320"</f>
        <v>4320</v>
      </c>
      <c r="F2370" s="1" t="str">
        <f>"012221571"</f>
        <v>012221571</v>
      </c>
      <c r="G2370" s="1" t="s">
        <v>1558</v>
      </c>
      <c r="H2370" s="1" t="s">
        <v>15</v>
      </c>
      <c r="I2370" s="1" t="str">
        <f>"1"</f>
        <v>1</v>
      </c>
      <c r="J2370" s="3" t="str">
        <f>"63768"</f>
        <v>63768</v>
      </c>
      <c r="K2370" s="4">
        <v>46042</v>
      </c>
      <c r="L2370" s="4">
        <v>46071</v>
      </c>
      <c r="M2370" s="1" t="s">
        <v>6778</v>
      </c>
      <c r="N2370" s="1" t="s">
        <v>6777</v>
      </c>
    </row>
    <row r="2371" spans="1:14" s="1" customFormat="1" x14ac:dyDescent="0.35">
      <c r="A2371" s="1" t="s">
        <v>4492</v>
      </c>
      <c r="B2371" s="1" t="s">
        <v>73</v>
      </c>
      <c r="C2371" s="1" t="s">
        <v>213</v>
      </c>
      <c r="D2371" s="1" t="s">
        <v>6776</v>
      </c>
      <c r="E2371" s="1" t="str">
        <f>"4010"</f>
        <v>4010</v>
      </c>
      <c r="F2371" s="1" t="str">
        <f>"014607224"</f>
        <v>014607224</v>
      </c>
      <c r="G2371" s="1" t="s">
        <v>6775</v>
      </c>
      <c r="H2371" s="1" t="s">
        <v>15</v>
      </c>
      <c r="I2371" s="1" t="str">
        <f>"12"</f>
        <v>12</v>
      </c>
      <c r="J2371" s="3">
        <v>765.9</v>
      </c>
      <c r="K2371" s="4">
        <v>46042</v>
      </c>
      <c r="L2371" s="4">
        <v>46071</v>
      </c>
      <c r="M2371" s="1" t="s">
        <v>6774</v>
      </c>
      <c r="N2371" s="1" t="s">
        <v>6773</v>
      </c>
    </row>
    <row r="2372" spans="1:14" s="1" customFormat="1" x14ac:dyDescent="0.35">
      <c r="A2372" s="1" t="s">
        <v>4492</v>
      </c>
      <c r="B2372" s="1" t="s">
        <v>73</v>
      </c>
      <c r="C2372" s="1" t="s">
        <v>213</v>
      </c>
      <c r="D2372" s="1" t="s">
        <v>6772</v>
      </c>
      <c r="E2372" s="1" t="str">
        <f>"6117"</f>
        <v>6117</v>
      </c>
      <c r="F2372" s="1" t="s">
        <v>745</v>
      </c>
      <c r="G2372" s="1" t="s">
        <v>746</v>
      </c>
      <c r="H2372" s="1" t="s">
        <v>15</v>
      </c>
      <c r="I2372" s="1" t="str">
        <f>"1"</f>
        <v>1</v>
      </c>
      <c r="J2372" s="3" t="str">
        <f>"90000"</f>
        <v>90000</v>
      </c>
      <c r="K2372" s="4">
        <v>46042</v>
      </c>
      <c r="L2372" s="4">
        <v>46065</v>
      </c>
      <c r="M2372" s="1" t="s">
        <v>6771</v>
      </c>
      <c r="N2372" s="1" t="s">
        <v>6770</v>
      </c>
    </row>
    <row r="2373" spans="1:14" s="1" customFormat="1" x14ac:dyDescent="0.35">
      <c r="A2373" s="1" t="s">
        <v>4492</v>
      </c>
      <c r="B2373" s="1" t="s">
        <v>1516</v>
      </c>
      <c r="C2373" s="1" t="s">
        <v>1781</v>
      </c>
      <c r="D2373" s="1" t="s">
        <v>6769</v>
      </c>
      <c r="E2373" s="1" t="str">
        <f>"2320"</f>
        <v>2320</v>
      </c>
      <c r="F2373" s="1" t="s">
        <v>100</v>
      </c>
      <c r="G2373" s="1" t="s">
        <v>101</v>
      </c>
      <c r="H2373" s="1" t="s">
        <v>15</v>
      </c>
      <c r="I2373" s="1" t="str">
        <f>"1"</f>
        <v>1</v>
      </c>
      <c r="J2373" s="3" t="str">
        <f>"40000"</f>
        <v>40000</v>
      </c>
      <c r="K2373" s="4">
        <v>45927</v>
      </c>
      <c r="L2373" s="4">
        <v>46026</v>
      </c>
      <c r="M2373" s="1" t="s">
        <v>6768</v>
      </c>
      <c r="N2373" s="1" t="s">
        <v>6767</v>
      </c>
    </row>
    <row r="2374" spans="1:14" s="1" customFormat="1" x14ac:dyDescent="0.35">
      <c r="A2374" s="1" t="s">
        <v>4492</v>
      </c>
      <c r="B2374" s="1" t="s">
        <v>1516</v>
      </c>
      <c r="C2374" s="1" t="s">
        <v>1781</v>
      </c>
      <c r="D2374" s="1" t="s">
        <v>6766</v>
      </c>
      <c r="E2374" s="1" t="str">
        <f>"3805"</f>
        <v>3805</v>
      </c>
      <c r="F2374" s="1" t="s">
        <v>1020</v>
      </c>
      <c r="G2374" s="1" t="s">
        <v>1021</v>
      </c>
      <c r="H2374" s="1" t="s">
        <v>15</v>
      </c>
      <c r="I2374" s="1" t="str">
        <f>"1"</f>
        <v>1</v>
      </c>
      <c r="J2374" s="3">
        <v>133019.62</v>
      </c>
      <c r="K2374" s="4">
        <v>45991</v>
      </c>
      <c r="L2374" s="4">
        <v>46031</v>
      </c>
      <c r="M2374" s="1" t="s">
        <v>6765</v>
      </c>
      <c r="N2374" s="1" t="s">
        <v>6764</v>
      </c>
    </row>
    <row r="2375" spans="1:14" s="1" customFormat="1" x14ac:dyDescent="0.35">
      <c r="A2375" s="1" t="s">
        <v>4492</v>
      </c>
      <c r="B2375" s="1" t="s">
        <v>1516</v>
      </c>
      <c r="C2375" s="1" t="s">
        <v>1781</v>
      </c>
      <c r="D2375" s="1" t="s">
        <v>6763</v>
      </c>
      <c r="E2375" s="1" t="str">
        <f>"2330"</f>
        <v>2330</v>
      </c>
      <c r="F2375" s="1" t="str">
        <f>"017224504"</f>
        <v>017224504</v>
      </c>
      <c r="G2375" s="1" t="s">
        <v>3514</v>
      </c>
      <c r="H2375" s="1" t="s">
        <v>15</v>
      </c>
      <c r="I2375" s="1" t="str">
        <f>"1"</f>
        <v>1</v>
      </c>
      <c r="J2375" s="3" t="str">
        <f>"270049"</f>
        <v>270049</v>
      </c>
      <c r="K2375" s="4">
        <v>46027</v>
      </c>
      <c r="L2375" s="4">
        <v>46032</v>
      </c>
      <c r="M2375" s="1" t="s">
        <v>6762</v>
      </c>
      <c r="N2375" s="1" t="s">
        <v>6761</v>
      </c>
    </row>
    <row r="2376" spans="1:14" s="1" customFormat="1" x14ac:dyDescent="0.35">
      <c r="A2376" s="1" t="s">
        <v>4492</v>
      </c>
      <c r="B2376" s="1" t="s">
        <v>1516</v>
      </c>
      <c r="C2376" s="1" t="s">
        <v>1781</v>
      </c>
      <c r="D2376" s="1" t="s">
        <v>6760</v>
      </c>
      <c r="E2376" s="1" t="str">
        <f>"3820"</f>
        <v>3820</v>
      </c>
      <c r="F2376" s="1" t="str">
        <f>"002963132"</f>
        <v>002963132</v>
      </c>
      <c r="G2376" s="1" t="s">
        <v>6759</v>
      </c>
      <c r="H2376" s="1" t="s">
        <v>15</v>
      </c>
      <c r="I2376" s="1" t="str">
        <f>"1"</f>
        <v>1</v>
      </c>
      <c r="J2376" s="3">
        <v>86.22</v>
      </c>
      <c r="K2376" s="4">
        <v>46025</v>
      </c>
      <c r="L2376" s="4">
        <v>46025</v>
      </c>
      <c r="N2376" s="1" t="s">
        <v>6758</v>
      </c>
    </row>
    <row r="2377" spans="1:14" s="1" customFormat="1" x14ac:dyDescent="0.35">
      <c r="A2377" s="1" t="s">
        <v>4492</v>
      </c>
      <c r="B2377" s="1" t="s">
        <v>1516</v>
      </c>
      <c r="C2377" s="1" t="s">
        <v>1781</v>
      </c>
      <c r="D2377" s="1" t="s">
        <v>6757</v>
      </c>
      <c r="E2377" s="1" t="str">
        <f>"3805"</f>
        <v>3805</v>
      </c>
      <c r="F2377" s="1" t="s">
        <v>1020</v>
      </c>
      <c r="G2377" s="1" t="s">
        <v>1021</v>
      </c>
      <c r="H2377" s="1" t="s">
        <v>15</v>
      </c>
      <c r="I2377" s="1" t="str">
        <f>"1"</f>
        <v>1</v>
      </c>
      <c r="J2377" s="3" t="str">
        <f>"37206"</f>
        <v>37206</v>
      </c>
      <c r="K2377" s="4">
        <v>46027</v>
      </c>
      <c r="L2377" s="4">
        <v>46029</v>
      </c>
      <c r="M2377" s="1" t="s">
        <v>6756</v>
      </c>
      <c r="N2377" s="1" t="s">
        <v>6755</v>
      </c>
    </row>
    <row r="2378" spans="1:14" s="1" customFormat="1" x14ac:dyDescent="0.35">
      <c r="A2378" s="1" t="s">
        <v>4492</v>
      </c>
      <c r="B2378" s="1" t="s">
        <v>1516</v>
      </c>
      <c r="C2378" s="1" t="s">
        <v>1781</v>
      </c>
      <c r="D2378" s="1" t="s">
        <v>6754</v>
      </c>
      <c r="E2378" s="1" t="str">
        <f>"3805"</f>
        <v>3805</v>
      </c>
      <c r="F2378" s="1" t="s">
        <v>1020</v>
      </c>
      <c r="G2378" s="1" t="s">
        <v>1021</v>
      </c>
      <c r="H2378" s="1" t="s">
        <v>15</v>
      </c>
      <c r="I2378" s="1" t="str">
        <f>"1"</f>
        <v>1</v>
      </c>
      <c r="J2378" s="3" t="str">
        <f>"52105"</f>
        <v>52105</v>
      </c>
      <c r="K2378" s="4">
        <v>46027</v>
      </c>
      <c r="L2378" s="4">
        <v>46029</v>
      </c>
      <c r="M2378" s="1" t="s">
        <v>6753</v>
      </c>
      <c r="N2378" s="1" t="s">
        <v>6752</v>
      </c>
    </row>
    <row r="2379" spans="1:14" s="1" customFormat="1" x14ac:dyDescent="0.35">
      <c r="A2379" s="1" t="s">
        <v>4492</v>
      </c>
      <c r="B2379" s="1" t="s">
        <v>1516</v>
      </c>
      <c r="C2379" s="1" t="s">
        <v>1781</v>
      </c>
      <c r="D2379" s="1" t="s">
        <v>6751</v>
      </c>
      <c r="E2379" s="1" t="str">
        <f>"2310"</f>
        <v>2310</v>
      </c>
      <c r="F2379" s="1" t="str">
        <f>"010907741"</f>
        <v>010907741</v>
      </c>
      <c r="G2379" s="1" t="s">
        <v>710</v>
      </c>
      <c r="H2379" s="1" t="s">
        <v>15</v>
      </c>
      <c r="I2379" s="1" t="str">
        <f>"1"</f>
        <v>1</v>
      </c>
      <c r="J2379" s="3" t="str">
        <f>"30027"</f>
        <v>30027</v>
      </c>
      <c r="K2379" s="4">
        <v>46039</v>
      </c>
      <c r="L2379" s="4">
        <v>46055</v>
      </c>
      <c r="M2379" s="1" t="s">
        <v>6750</v>
      </c>
      <c r="N2379" s="1" t="s">
        <v>6739</v>
      </c>
    </row>
    <row r="2380" spans="1:14" s="1" customFormat="1" x14ac:dyDescent="0.35">
      <c r="A2380" s="1" t="s">
        <v>4492</v>
      </c>
      <c r="B2380" s="1" t="s">
        <v>1516</v>
      </c>
      <c r="C2380" s="1" t="s">
        <v>1781</v>
      </c>
      <c r="D2380" s="1" t="s">
        <v>6749</v>
      </c>
      <c r="E2380" s="1" t="str">
        <f>"2310"</f>
        <v>2310</v>
      </c>
      <c r="F2380" s="1" t="str">
        <f>"010907741"</f>
        <v>010907741</v>
      </c>
      <c r="G2380" s="1" t="s">
        <v>710</v>
      </c>
      <c r="H2380" s="1" t="s">
        <v>15</v>
      </c>
      <c r="I2380" s="1" t="str">
        <f>"1"</f>
        <v>1</v>
      </c>
      <c r="J2380" s="3" t="str">
        <f>"30027"</f>
        <v>30027</v>
      </c>
      <c r="K2380" s="4">
        <v>46039</v>
      </c>
      <c r="L2380" s="4">
        <v>46071</v>
      </c>
      <c r="M2380" s="1" t="s">
        <v>6748</v>
      </c>
      <c r="N2380" s="1" t="s">
        <v>6739</v>
      </c>
    </row>
    <row r="2381" spans="1:14" s="1" customFormat="1" x14ac:dyDescent="0.35">
      <c r="A2381" s="1" t="s">
        <v>4492</v>
      </c>
      <c r="B2381" s="1" t="s">
        <v>1516</v>
      </c>
      <c r="C2381" s="1" t="s">
        <v>1781</v>
      </c>
      <c r="D2381" s="1" t="s">
        <v>6747</v>
      </c>
      <c r="E2381" s="1" t="str">
        <f>"2310"</f>
        <v>2310</v>
      </c>
      <c r="F2381" s="1" t="str">
        <f>"010907741"</f>
        <v>010907741</v>
      </c>
      <c r="G2381" s="1" t="s">
        <v>710</v>
      </c>
      <c r="H2381" s="1" t="s">
        <v>15</v>
      </c>
      <c r="I2381" s="1" t="str">
        <f>"1"</f>
        <v>1</v>
      </c>
      <c r="J2381" s="3" t="str">
        <f>"30027"</f>
        <v>30027</v>
      </c>
      <c r="K2381" s="4">
        <v>46039</v>
      </c>
      <c r="L2381" s="4">
        <v>46055</v>
      </c>
      <c r="M2381" s="1" t="s">
        <v>6746</v>
      </c>
      <c r="N2381" s="1" t="s">
        <v>6739</v>
      </c>
    </row>
    <row r="2382" spans="1:14" s="1" customFormat="1" x14ac:dyDescent="0.35">
      <c r="A2382" s="1" t="s">
        <v>4492</v>
      </c>
      <c r="B2382" s="1" t="s">
        <v>1516</v>
      </c>
      <c r="C2382" s="1" t="s">
        <v>1781</v>
      </c>
      <c r="D2382" s="1" t="s">
        <v>6745</v>
      </c>
      <c r="E2382" s="1" t="str">
        <f>"2310"</f>
        <v>2310</v>
      </c>
      <c r="F2382" s="1" t="str">
        <f>"010907741"</f>
        <v>010907741</v>
      </c>
      <c r="G2382" s="1" t="s">
        <v>710</v>
      </c>
      <c r="H2382" s="1" t="s">
        <v>15</v>
      </c>
      <c r="I2382" s="1" t="str">
        <f>"1"</f>
        <v>1</v>
      </c>
      <c r="J2382" s="3" t="str">
        <f>"30027"</f>
        <v>30027</v>
      </c>
      <c r="K2382" s="4">
        <v>46039</v>
      </c>
      <c r="L2382" s="4">
        <v>46055</v>
      </c>
      <c r="M2382" s="1" t="s">
        <v>6744</v>
      </c>
      <c r="N2382" s="1" t="s">
        <v>6739</v>
      </c>
    </row>
    <row r="2383" spans="1:14" s="1" customFormat="1" x14ac:dyDescent="0.35">
      <c r="A2383" s="1" t="s">
        <v>4492</v>
      </c>
      <c r="B2383" s="1" t="s">
        <v>1516</v>
      </c>
      <c r="C2383" s="1" t="s">
        <v>1781</v>
      </c>
      <c r="D2383" s="1" t="s">
        <v>6743</v>
      </c>
      <c r="E2383" s="1" t="str">
        <f>"2310"</f>
        <v>2310</v>
      </c>
      <c r="F2383" s="1" t="str">
        <f>"010907741"</f>
        <v>010907741</v>
      </c>
      <c r="G2383" s="1" t="s">
        <v>710</v>
      </c>
      <c r="H2383" s="1" t="s">
        <v>15</v>
      </c>
      <c r="I2383" s="1" t="str">
        <f>"1"</f>
        <v>1</v>
      </c>
      <c r="J2383" s="3" t="str">
        <f>"30027"</f>
        <v>30027</v>
      </c>
      <c r="K2383" s="4">
        <v>46039</v>
      </c>
      <c r="L2383" s="4">
        <v>46055</v>
      </c>
      <c r="M2383" s="1" t="s">
        <v>6742</v>
      </c>
      <c r="N2383" s="1" t="s">
        <v>6739</v>
      </c>
    </row>
    <row r="2384" spans="1:14" s="1" customFormat="1" x14ac:dyDescent="0.35">
      <c r="A2384" s="1" t="s">
        <v>4492</v>
      </c>
      <c r="B2384" s="1" t="s">
        <v>1516</v>
      </c>
      <c r="C2384" s="1" t="s">
        <v>1781</v>
      </c>
      <c r="D2384" s="1" t="s">
        <v>6741</v>
      </c>
      <c r="E2384" s="1" t="str">
        <f>"2310"</f>
        <v>2310</v>
      </c>
      <c r="F2384" s="1" t="str">
        <f>"010907741"</f>
        <v>010907741</v>
      </c>
      <c r="G2384" s="1" t="s">
        <v>710</v>
      </c>
      <c r="H2384" s="1" t="s">
        <v>15</v>
      </c>
      <c r="I2384" s="1" t="str">
        <f>"1"</f>
        <v>1</v>
      </c>
      <c r="J2384" s="3" t="str">
        <f>"30027"</f>
        <v>30027</v>
      </c>
      <c r="K2384" s="4">
        <v>46039</v>
      </c>
      <c r="L2384" s="4">
        <v>46071</v>
      </c>
      <c r="M2384" s="1" t="s">
        <v>6740</v>
      </c>
      <c r="N2384" s="1" t="s">
        <v>6739</v>
      </c>
    </row>
    <row r="2385" spans="1:14" s="1" customFormat="1" x14ac:dyDescent="0.35">
      <c r="A2385" s="1" t="s">
        <v>4492</v>
      </c>
      <c r="B2385" s="1" t="s">
        <v>1516</v>
      </c>
      <c r="C2385" s="1" t="s">
        <v>1781</v>
      </c>
      <c r="D2385" s="1" t="s">
        <v>6738</v>
      </c>
      <c r="E2385" s="1" t="str">
        <f>"5180"</f>
        <v>5180</v>
      </c>
      <c r="F2385" s="1" t="str">
        <f>"014830249"</f>
        <v>014830249</v>
      </c>
      <c r="G2385" s="1" t="s">
        <v>2821</v>
      </c>
      <c r="H2385" s="1" t="s">
        <v>257</v>
      </c>
      <c r="I2385" s="1" t="str">
        <f>"2"</f>
        <v>2</v>
      </c>
      <c r="J2385" s="3" t="str">
        <f>"1780"</f>
        <v>1780</v>
      </c>
      <c r="K2385" s="4">
        <v>46046</v>
      </c>
      <c r="L2385" s="4">
        <v>46058</v>
      </c>
      <c r="M2385" s="1" t="s">
        <v>6737</v>
      </c>
      <c r="N2385" s="1" t="s">
        <v>6736</v>
      </c>
    </row>
    <row r="2386" spans="1:14" s="1" customFormat="1" x14ac:dyDescent="0.35">
      <c r="A2386" s="1" t="s">
        <v>4492</v>
      </c>
      <c r="B2386" s="1" t="s">
        <v>1516</v>
      </c>
      <c r="C2386" s="1" t="s">
        <v>1781</v>
      </c>
      <c r="D2386" s="1" t="s">
        <v>6735</v>
      </c>
      <c r="E2386" s="1" t="str">
        <f>"3770"</f>
        <v>3770</v>
      </c>
      <c r="F2386" s="1" t="s">
        <v>6734</v>
      </c>
      <c r="G2386" s="1" t="s">
        <v>6733</v>
      </c>
      <c r="H2386" s="1" t="s">
        <v>15</v>
      </c>
      <c r="I2386" s="1" t="str">
        <f>"4"</f>
        <v>4</v>
      </c>
      <c r="J2386" s="3" t="str">
        <f>"600"</f>
        <v>600</v>
      </c>
      <c r="K2386" s="4">
        <v>46063</v>
      </c>
      <c r="L2386" s="4">
        <v>46107</v>
      </c>
      <c r="M2386" s="1" t="s">
        <v>6732</v>
      </c>
      <c r="N2386" s="1" t="s">
        <v>6731</v>
      </c>
    </row>
    <row r="2387" spans="1:14" s="1" customFormat="1" x14ac:dyDescent="0.35">
      <c r="A2387" s="1" t="s">
        <v>4492</v>
      </c>
      <c r="B2387" s="1" t="s">
        <v>1516</v>
      </c>
      <c r="C2387" s="1" t="s">
        <v>1781</v>
      </c>
      <c r="D2387" s="1" t="s">
        <v>6730</v>
      </c>
      <c r="E2387" s="1" t="str">
        <f>"3805"</f>
        <v>3805</v>
      </c>
      <c r="F2387" s="1" t="str">
        <f>"010632012"</f>
        <v>010632012</v>
      </c>
      <c r="G2387" s="1" t="s">
        <v>4235</v>
      </c>
      <c r="H2387" s="1" t="s">
        <v>15</v>
      </c>
      <c r="I2387" s="1" t="str">
        <f>"1"</f>
        <v>1</v>
      </c>
      <c r="J2387" s="3" t="str">
        <f>"157800"</f>
        <v>157800</v>
      </c>
      <c r="K2387" s="4">
        <v>46064</v>
      </c>
      <c r="L2387" s="4">
        <v>46090</v>
      </c>
      <c r="M2387" s="1" t="s">
        <v>6729</v>
      </c>
      <c r="N2387" s="1" t="s">
        <v>6728</v>
      </c>
    </row>
    <row r="2388" spans="1:14" s="1" customFormat="1" x14ac:dyDescent="0.35">
      <c r="A2388" s="1" t="s">
        <v>4492</v>
      </c>
      <c r="B2388" s="1" t="s">
        <v>1516</v>
      </c>
      <c r="C2388" s="1" t="s">
        <v>1781</v>
      </c>
      <c r="D2388" s="1" t="s">
        <v>6727</v>
      </c>
      <c r="E2388" s="1" t="str">
        <f>"2420"</f>
        <v>2420</v>
      </c>
      <c r="F2388" s="1" t="str">
        <f>"010630254"</f>
        <v>010630254</v>
      </c>
      <c r="G2388" s="1" t="s">
        <v>183</v>
      </c>
      <c r="H2388" s="1" t="s">
        <v>15</v>
      </c>
      <c r="I2388" s="1" t="str">
        <f>"1"</f>
        <v>1</v>
      </c>
      <c r="J2388" s="3" t="str">
        <f>"140000"</f>
        <v>140000</v>
      </c>
      <c r="K2388" s="4">
        <v>46077</v>
      </c>
      <c r="L2388" s="4">
        <v>46087</v>
      </c>
      <c r="M2388" s="1" t="s">
        <v>6726</v>
      </c>
      <c r="N2388" s="1" t="s">
        <v>6723</v>
      </c>
    </row>
    <row r="2389" spans="1:14" s="1" customFormat="1" x14ac:dyDescent="0.35">
      <c r="A2389" s="1" t="s">
        <v>4492</v>
      </c>
      <c r="B2389" s="1" t="s">
        <v>1516</v>
      </c>
      <c r="C2389" s="1" t="s">
        <v>1781</v>
      </c>
      <c r="D2389" s="1" t="s">
        <v>6725</v>
      </c>
      <c r="E2389" s="1" t="str">
        <f>"2420"</f>
        <v>2420</v>
      </c>
      <c r="F2389" s="1" t="str">
        <f>"010630254"</f>
        <v>010630254</v>
      </c>
      <c r="G2389" s="1" t="s">
        <v>183</v>
      </c>
      <c r="H2389" s="1" t="s">
        <v>15</v>
      </c>
      <c r="I2389" s="1" t="str">
        <f>"1"</f>
        <v>1</v>
      </c>
      <c r="J2389" s="3" t="str">
        <f>"140000"</f>
        <v>140000</v>
      </c>
      <c r="K2389" s="4">
        <v>46077</v>
      </c>
      <c r="L2389" s="4">
        <v>46087</v>
      </c>
      <c r="M2389" s="1" t="s">
        <v>6724</v>
      </c>
      <c r="N2389" s="1" t="s">
        <v>6723</v>
      </c>
    </row>
    <row r="2390" spans="1:14" s="1" customFormat="1" x14ac:dyDescent="0.35">
      <c r="A2390" s="1" t="s">
        <v>4492</v>
      </c>
      <c r="B2390" s="1" t="s">
        <v>1516</v>
      </c>
      <c r="C2390" s="1" t="s">
        <v>1781</v>
      </c>
      <c r="D2390" s="1" t="s">
        <v>6722</v>
      </c>
      <c r="E2390" s="1" t="str">
        <f>"3805"</f>
        <v>3805</v>
      </c>
      <c r="F2390" s="1" t="s">
        <v>1020</v>
      </c>
      <c r="G2390" s="1" t="s">
        <v>1021</v>
      </c>
      <c r="H2390" s="1" t="s">
        <v>15</v>
      </c>
      <c r="I2390" s="1" t="str">
        <f>"1"</f>
        <v>1</v>
      </c>
      <c r="J2390" s="3" t="str">
        <f>"51602"</f>
        <v>51602</v>
      </c>
      <c r="K2390" s="4">
        <v>46085</v>
      </c>
      <c r="L2390" s="4">
        <v>46088</v>
      </c>
      <c r="M2390" s="1" t="s">
        <v>6721</v>
      </c>
      <c r="N2390" s="1" t="s">
        <v>6720</v>
      </c>
    </row>
    <row r="2391" spans="1:14" s="1" customFormat="1" x14ac:dyDescent="0.35">
      <c r="A2391" s="1" t="s">
        <v>4492</v>
      </c>
      <c r="B2391" s="1" t="s">
        <v>1516</v>
      </c>
      <c r="C2391" s="1" t="s">
        <v>1781</v>
      </c>
      <c r="D2391" s="1" t="s">
        <v>6719</v>
      </c>
      <c r="E2391" s="1" t="str">
        <f>"2310"</f>
        <v>2310</v>
      </c>
      <c r="F2391" s="1" t="str">
        <f>"010907741"</f>
        <v>010907741</v>
      </c>
      <c r="G2391" s="1" t="s">
        <v>710</v>
      </c>
      <c r="H2391" s="1" t="s">
        <v>15</v>
      </c>
      <c r="I2391" s="1" t="str">
        <f>"1"</f>
        <v>1</v>
      </c>
      <c r="J2391" s="3" t="str">
        <f>"30027"</f>
        <v>30027</v>
      </c>
      <c r="K2391" s="4">
        <v>46101</v>
      </c>
      <c r="L2391" s="4">
        <v>46105</v>
      </c>
      <c r="M2391" s="1" t="s">
        <v>4524</v>
      </c>
      <c r="N2391" s="1" t="s">
        <v>6718</v>
      </c>
    </row>
    <row r="2392" spans="1:14" s="1" customFormat="1" x14ac:dyDescent="0.35">
      <c r="A2392" s="1" t="s">
        <v>4492</v>
      </c>
      <c r="B2392" s="1" t="s">
        <v>11</v>
      </c>
      <c r="C2392" s="1" t="s">
        <v>69</v>
      </c>
      <c r="D2392" s="1" t="s">
        <v>6717</v>
      </c>
      <c r="E2392" s="1" t="str">
        <f>"5855"</f>
        <v>5855</v>
      </c>
      <c r="F2392" s="1" t="str">
        <f>"015711258"</f>
        <v>015711258</v>
      </c>
      <c r="G2392" s="1" t="s">
        <v>742</v>
      </c>
      <c r="H2392" s="1" t="s">
        <v>15</v>
      </c>
      <c r="I2392" s="1" t="str">
        <f>"20"</f>
        <v>20</v>
      </c>
      <c r="J2392" s="3" t="str">
        <f>"1073"</f>
        <v>1073</v>
      </c>
      <c r="K2392" s="4">
        <v>46030</v>
      </c>
      <c r="L2392" s="4">
        <v>46033</v>
      </c>
      <c r="M2392" s="1" t="s">
        <v>4524</v>
      </c>
      <c r="N2392" s="1" t="s">
        <v>6716</v>
      </c>
    </row>
    <row r="2393" spans="1:14" s="1" customFormat="1" x14ac:dyDescent="0.35">
      <c r="A2393" s="1" t="s">
        <v>4492</v>
      </c>
      <c r="B2393" s="1" t="s">
        <v>11</v>
      </c>
      <c r="C2393" s="1" t="s">
        <v>69</v>
      </c>
      <c r="D2393" s="1" t="s">
        <v>6715</v>
      </c>
      <c r="E2393" s="1" t="str">
        <f>"5855"</f>
        <v>5855</v>
      </c>
      <c r="F2393" s="1" t="str">
        <f>"016794066"</f>
        <v>016794066</v>
      </c>
      <c r="G2393" s="1" t="s">
        <v>6714</v>
      </c>
      <c r="H2393" s="1" t="s">
        <v>15</v>
      </c>
      <c r="I2393" s="1" t="str">
        <f>"19"</f>
        <v>19</v>
      </c>
      <c r="J2393" s="3">
        <v>560.70000000000005</v>
      </c>
      <c r="K2393" s="4">
        <v>46027</v>
      </c>
      <c r="L2393" s="4">
        <v>46090</v>
      </c>
      <c r="M2393" s="1" t="s">
        <v>6713</v>
      </c>
      <c r="N2393" s="1" t="s">
        <v>6712</v>
      </c>
    </row>
    <row r="2394" spans="1:14" s="1" customFormat="1" x14ac:dyDescent="0.35">
      <c r="A2394" s="1" t="s">
        <v>4492</v>
      </c>
      <c r="B2394" s="1" t="s">
        <v>11</v>
      </c>
      <c r="C2394" s="1" t="s">
        <v>69</v>
      </c>
      <c r="D2394" s="1" t="s">
        <v>6711</v>
      </c>
      <c r="E2394" s="1" t="str">
        <f>"5855"</f>
        <v>5855</v>
      </c>
      <c r="F2394" s="1" t="str">
        <f>"014502333"</f>
        <v>014502333</v>
      </c>
      <c r="G2394" s="1" t="s">
        <v>6614</v>
      </c>
      <c r="H2394" s="1" t="s">
        <v>15</v>
      </c>
      <c r="I2394" s="1" t="str">
        <f>"1"</f>
        <v>1</v>
      </c>
      <c r="J2394" s="3">
        <v>10295.540000000001</v>
      </c>
      <c r="K2394" s="4">
        <v>46035</v>
      </c>
      <c r="L2394" s="4">
        <v>46043</v>
      </c>
      <c r="M2394" s="1" t="s">
        <v>6710</v>
      </c>
      <c r="N2394" s="1" t="s">
        <v>6705</v>
      </c>
    </row>
    <row r="2395" spans="1:14" s="1" customFormat="1" x14ac:dyDescent="0.35">
      <c r="A2395" s="1" t="s">
        <v>4492</v>
      </c>
      <c r="B2395" s="1" t="s">
        <v>11</v>
      </c>
      <c r="C2395" s="1" t="s">
        <v>69</v>
      </c>
      <c r="D2395" s="1" t="s">
        <v>6709</v>
      </c>
      <c r="E2395" s="1" t="str">
        <f>"5855"</f>
        <v>5855</v>
      </c>
      <c r="F2395" s="1" t="str">
        <f>"014502333"</f>
        <v>014502333</v>
      </c>
      <c r="G2395" s="1" t="s">
        <v>6614</v>
      </c>
      <c r="H2395" s="1" t="s">
        <v>15</v>
      </c>
      <c r="I2395" s="1" t="str">
        <f>"1"</f>
        <v>1</v>
      </c>
      <c r="J2395" s="3">
        <v>10295.540000000001</v>
      </c>
      <c r="K2395" s="4">
        <v>46035</v>
      </c>
      <c r="L2395" s="4">
        <v>46043</v>
      </c>
      <c r="M2395" s="1" t="s">
        <v>6708</v>
      </c>
      <c r="N2395" s="1" t="s">
        <v>6705</v>
      </c>
    </row>
    <row r="2396" spans="1:14" s="1" customFormat="1" x14ac:dyDescent="0.35">
      <c r="A2396" s="1" t="s">
        <v>4492</v>
      </c>
      <c r="B2396" s="1" t="s">
        <v>11</v>
      </c>
      <c r="C2396" s="1" t="s">
        <v>69</v>
      </c>
      <c r="D2396" s="1" t="s">
        <v>6707</v>
      </c>
      <c r="E2396" s="1" t="str">
        <f>"5855"</f>
        <v>5855</v>
      </c>
      <c r="F2396" s="1" t="str">
        <f>"014502333"</f>
        <v>014502333</v>
      </c>
      <c r="G2396" s="1" t="s">
        <v>6614</v>
      </c>
      <c r="H2396" s="1" t="s">
        <v>15</v>
      </c>
      <c r="I2396" s="1" t="str">
        <f>"1"</f>
        <v>1</v>
      </c>
      <c r="J2396" s="3">
        <v>10295.540000000001</v>
      </c>
      <c r="K2396" s="4">
        <v>46035</v>
      </c>
      <c r="L2396" s="4">
        <v>46043</v>
      </c>
      <c r="M2396" s="1" t="s">
        <v>6706</v>
      </c>
      <c r="N2396" s="1" t="s">
        <v>6705</v>
      </c>
    </row>
    <row r="2397" spans="1:14" s="1" customFormat="1" x14ac:dyDescent="0.35">
      <c r="A2397" s="1" t="s">
        <v>4492</v>
      </c>
      <c r="B2397" s="1" t="s">
        <v>11</v>
      </c>
      <c r="C2397" s="1" t="s">
        <v>69</v>
      </c>
      <c r="D2397" s="1" t="s">
        <v>6704</v>
      </c>
      <c r="E2397" s="1" t="str">
        <f>"5855"</f>
        <v>5855</v>
      </c>
      <c r="F2397" s="1" t="str">
        <f>"015330555"</f>
        <v>015330555</v>
      </c>
      <c r="G2397" s="1" t="s">
        <v>476</v>
      </c>
      <c r="H2397" s="1" t="s">
        <v>15</v>
      </c>
      <c r="I2397" s="1" t="str">
        <f>"9"</f>
        <v>9</v>
      </c>
      <c r="J2397" s="3" t="str">
        <f>"1800"</f>
        <v>1800</v>
      </c>
      <c r="K2397" s="4">
        <v>46034</v>
      </c>
      <c r="L2397" s="4">
        <v>46038</v>
      </c>
      <c r="M2397" s="1" t="s">
        <v>6703</v>
      </c>
      <c r="N2397" s="1" t="s">
        <v>6702</v>
      </c>
    </row>
    <row r="2398" spans="1:14" s="1" customFormat="1" x14ac:dyDescent="0.35">
      <c r="A2398" s="1" t="s">
        <v>4492</v>
      </c>
      <c r="B2398" s="1" t="s">
        <v>11</v>
      </c>
      <c r="C2398" s="1" t="s">
        <v>69</v>
      </c>
      <c r="D2398" s="1" t="s">
        <v>6701</v>
      </c>
      <c r="E2398" s="1" t="str">
        <f>"1240"</f>
        <v>1240</v>
      </c>
      <c r="F2398" s="1" t="str">
        <f>"015766134"</f>
        <v>015766134</v>
      </c>
      <c r="G2398" s="1" t="s">
        <v>71</v>
      </c>
      <c r="H2398" s="1" t="s">
        <v>15</v>
      </c>
      <c r="I2398" s="1" t="str">
        <f>"15"</f>
        <v>15</v>
      </c>
      <c r="J2398" s="3" t="str">
        <f>"589"</f>
        <v>589</v>
      </c>
      <c r="K2398" s="4">
        <v>46037</v>
      </c>
      <c r="L2398" s="4">
        <v>46092</v>
      </c>
      <c r="M2398" s="1" t="s">
        <v>6700</v>
      </c>
      <c r="N2398" s="1" t="s">
        <v>6699</v>
      </c>
    </row>
    <row r="2399" spans="1:14" s="1" customFormat="1" x14ac:dyDescent="0.35">
      <c r="A2399" s="1" t="s">
        <v>4492</v>
      </c>
      <c r="B2399" s="1" t="s">
        <v>3822</v>
      </c>
      <c r="C2399" s="1" t="s">
        <v>4154</v>
      </c>
      <c r="D2399" s="1" t="s">
        <v>6698</v>
      </c>
      <c r="E2399" s="1" t="str">
        <f>"8145"</f>
        <v>8145</v>
      </c>
      <c r="F2399" s="1" t="s">
        <v>2635</v>
      </c>
      <c r="G2399" s="1" t="s">
        <v>2636</v>
      </c>
      <c r="H2399" s="1" t="s">
        <v>15</v>
      </c>
      <c r="I2399" s="1" t="str">
        <f>"1"</f>
        <v>1</v>
      </c>
      <c r="J2399" s="3" t="str">
        <f>"7500"</f>
        <v>7500</v>
      </c>
      <c r="K2399" s="4">
        <v>46039</v>
      </c>
      <c r="L2399" s="4">
        <v>46055</v>
      </c>
      <c r="M2399" s="1" t="s">
        <v>6697</v>
      </c>
      <c r="N2399" s="1" t="s">
        <v>6696</v>
      </c>
    </row>
    <row r="2400" spans="1:14" s="1" customFormat="1" x14ac:dyDescent="0.35">
      <c r="A2400" s="1" t="s">
        <v>4492</v>
      </c>
      <c r="B2400" s="1" t="s">
        <v>3822</v>
      </c>
      <c r="C2400" s="1" t="s">
        <v>4154</v>
      </c>
      <c r="D2400" s="1" t="s">
        <v>6695</v>
      </c>
      <c r="E2400" s="1" t="str">
        <f>"2805"</f>
        <v>2805</v>
      </c>
      <c r="F2400" s="1" t="str">
        <f>"016279670"</f>
        <v>016279670</v>
      </c>
      <c r="G2400" s="1" t="s">
        <v>4158</v>
      </c>
      <c r="H2400" s="1" t="s">
        <v>15</v>
      </c>
      <c r="I2400" s="1" t="str">
        <f>"1"</f>
        <v>1</v>
      </c>
      <c r="J2400" s="3" t="str">
        <f>"14944"</f>
        <v>14944</v>
      </c>
      <c r="K2400" s="4">
        <v>46046</v>
      </c>
      <c r="L2400" s="4">
        <v>46060</v>
      </c>
      <c r="M2400" s="1" t="s">
        <v>6694</v>
      </c>
      <c r="N2400" s="1" t="s">
        <v>4159</v>
      </c>
    </row>
    <row r="2401" spans="1:14" s="1" customFormat="1" x14ac:dyDescent="0.35">
      <c r="A2401" s="1" t="s">
        <v>4492</v>
      </c>
      <c r="B2401" s="1" t="s">
        <v>3822</v>
      </c>
      <c r="C2401" s="1" t="s">
        <v>4154</v>
      </c>
      <c r="D2401" s="1" t="s">
        <v>6693</v>
      </c>
      <c r="E2401" s="1" t="str">
        <f>"7125"</f>
        <v>7125</v>
      </c>
      <c r="F2401" s="1" t="s">
        <v>6692</v>
      </c>
      <c r="G2401" s="1" t="s">
        <v>6691</v>
      </c>
      <c r="H2401" s="1" t="s">
        <v>15</v>
      </c>
      <c r="I2401" s="1" t="str">
        <f>"1"</f>
        <v>1</v>
      </c>
      <c r="J2401" s="3" t="str">
        <f>"150"</f>
        <v>150</v>
      </c>
      <c r="K2401" s="4">
        <v>46085</v>
      </c>
      <c r="L2401" s="4">
        <v>46091</v>
      </c>
      <c r="M2401" s="1" t="s">
        <v>6690</v>
      </c>
      <c r="N2401" s="1" t="s">
        <v>6689</v>
      </c>
    </row>
    <row r="2402" spans="1:14" s="1" customFormat="1" x14ac:dyDescent="0.35">
      <c r="A2402" s="1" t="s">
        <v>4492</v>
      </c>
      <c r="B2402" s="1" t="s">
        <v>3822</v>
      </c>
      <c r="C2402" s="1" t="s">
        <v>4154</v>
      </c>
      <c r="D2402" s="1" t="s">
        <v>6688</v>
      </c>
      <c r="E2402" s="1" t="str">
        <f>"3470"</f>
        <v>3470</v>
      </c>
      <c r="F2402" s="1" t="str">
        <f>"014549877"</f>
        <v>014549877</v>
      </c>
      <c r="G2402" s="1" t="s">
        <v>4212</v>
      </c>
      <c r="H2402" s="1" t="s">
        <v>15</v>
      </c>
      <c r="I2402" s="1" t="str">
        <f>"2"</f>
        <v>2</v>
      </c>
      <c r="J2402" s="3" t="str">
        <f>"35000"</f>
        <v>35000</v>
      </c>
      <c r="K2402" s="4">
        <v>46075</v>
      </c>
      <c r="L2402" s="4">
        <v>46087</v>
      </c>
      <c r="M2402" s="1" t="s">
        <v>6687</v>
      </c>
      <c r="N2402" s="1" t="s">
        <v>6686</v>
      </c>
    </row>
    <row r="2403" spans="1:14" s="1" customFormat="1" x14ac:dyDescent="0.35">
      <c r="A2403" s="1" t="s">
        <v>4492</v>
      </c>
      <c r="B2403" s="1" t="s">
        <v>3822</v>
      </c>
      <c r="C2403" s="1" t="s">
        <v>4154</v>
      </c>
      <c r="D2403" s="1" t="s">
        <v>6685</v>
      </c>
      <c r="E2403" s="1" t="str">
        <f>"5180"</f>
        <v>5180</v>
      </c>
      <c r="F2403" s="1" t="str">
        <f>"016282372"</f>
        <v>016282372</v>
      </c>
      <c r="G2403" s="1" t="s">
        <v>322</v>
      </c>
      <c r="H2403" s="1" t="s">
        <v>168</v>
      </c>
      <c r="I2403" s="1" t="str">
        <f>"1"</f>
        <v>1</v>
      </c>
      <c r="J2403" s="3" t="str">
        <f>"2523"</f>
        <v>2523</v>
      </c>
      <c r="K2403" s="4">
        <v>46082</v>
      </c>
      <c r="L2403" s="4">
        <v>46104</v>
      </c>
      <c r="M2403" s="1" t="s">
        <v>6684</v>
      </c>
      <c r="N2403" s="1" t="s">
        <v>6683</v>
      </c>
    </row>
    <row r="2404" spans="1:14" s="1" customFormat="1" x14ac:dyDescent="0.35">
      <c r="A2404" s="1" t="s">
        <v>4492</v>
      </c>
      <c r="B2404" s="1" t="s">
        <v>3822</v>
      </c>
      <c r="C2404" s="1" t="s">
        <v>4154</v>
      </c>
      <c r="D2404" s="1" t="s">
        <v>6682</v>
      </c>
      <c r="E2404" s="1" t="str">
        <f>"5675"</f>
        <v>5675</v>
      </c>
      <c r="F2404" s="1" t="str">
        <f>"014220654"</f>
        <v>014220654</v>
      </c>
      <c r="G2404" s="1" t="s">
        <v>6681</v>
      </c>
      <c r="H2404" s="1" t="s">
        <v>15</v>
      </c>
      <c r="I2404" s="1" t="str">
        <f>"134"</f>
        <v>134</v>
      </c>
      <c r="J2404" s="3">
        <v>38.119999999999997</v>
      </c>
      <c r="K2404" s="4">
        <v>46085</v>
      </c>
      <c r="L2404" s="4">
        <v>46091</v>
      </c>
      <c r="M2404" s="1" t="s">
        <v>6680</v>
      </c>
      <c r="N2404" s="1" t="s">
        <v>6679</v>
      </c>
    </row>
    <row r="2405" spans="1:14" s="1" customFormat="1" x14ac:dyDescent="0.35">
      <c r="A2405" s="1" t="s">
        <v>4492</v>
      </c>
      <c r="B2405" s="1" t="s">
        <v>3822</v>
      </c>
      <c r="C2405" s="1" t="s">
        <v>4154</v>
      </c>
      <c r="D2405" s="1" t="s">
        <v>6678</v>
      </c>
      <c r="E2405" s="1" t="str">
        <f>"2320"</f>
        <v>2320</v>
      </c>
      <c r="F2405" s="1" t="str">
        <f>"013553063"</f>
        <v>013553063</v>
      </c>
      <c r="G2405" s="1" t="s">
        <v>930</v>
      </c>
      <c r="H2405" s="1" t="s">
        <v>15</v>
      </c>
      <c r="I2405" s="1" t="str">
        <f>"1"</f>
        <v>1</v>
      </c>
      <c r="J2405" s="3" t="str">
        <f>"118579"</f>
        <v>118579</v>
      </c>
      <c r="K2405" s="4">
        <v>46091</v>
      </c>
      <c r="L2405" s="4">
        <v>46104</v>
      </c>
      <c r="M2405" s="1" t="s">
        <v>6677</v>
      </c>
      <c r="N2405" s="1" t="s">
        <v>6676</v>
      </c>
    </row>
    <row r="2406" spans="1:14" s="1" customFormat="1" x14ac:dyDescent="0.35">
      <c r="A2406" s="1" t="s">
        <v>4492</v>
      </c>
      <c r="B2406" s="1" t="s">
        <v>3822</v>
      </c>
      <c r="C2406" s="1" t="s">
        <v>4154</v>
      </c>
      <c r="D2406" s="1" t="s">
        <v>6675</v>
      </c>
      <c r="E2406" s="1" t="str">
        <f>"4110"</f>
        <v>4110</v>
      </c>
      <c r="F2406" s="1" t="str">
        <f>"015060895"</f>
        <v>015060895</v>
      </c>
      <c r="G2406" s="1" t="s">
        <v>6674</v>
      </c>
      <c r="H2406" s="1" t="s">
        <v>15</v>
      </c>
      <c r="I2406" s="1" t="str">
        <f>"1"</f>
        <v>1</v>
      </c>
      <c r="J2406" s="3">
        <v>13565.89</v>
      </c>
      <c r="K2406" s="4">
        <v>46091</v>
      </c>
      <c r="L2406" s="4">
        <v>46104</v>
      </c>
      <c r="M2406" s="1" t="s">
        <v>6673</v>
      </c>
      <c r="N2406" s="1" t="s">
        <v>6672</v>
      </c>
    </row>
    <row r="2407" spans="1:14" s="1" customFormat="1" x14ac:dyDescent="0.35">
      <c r="A2407" s="1" t="s">
        <v>4492</v>
      </c>
      <c r="B2407" s="1" t="s">
        <v>3822</v>
      </c>
      <c r="C2407" s="1" t="s">
        <v>4154</v>
      </c>
      <c r="D2407" s="1" t="s">
        <v>6671</v>
      </c>
      <c r="E2407" s="1" t="str">
        <f>"4110"</f>
        <v>4110</v>
      </c>
      <c r="F2407" s="1" t="str">
        <f>"016296841"</f>
        <v>016296841</v>
      </c>
      <c r="G2407" s="1" t="s">
        <v>4099</v>
      </c>
      <c r="H2407" s="1" t="s">
        <v>15</v>
      </c>
      <c r="I2407" s="1" t="str">
        <f>"1"</f>
        <v>1</v>
      </c>
      <c r="J2407" s="3" t="str">
        <f>"5082"</f>
        <v>5082</v>
      </c>
      <c r="K2407" s="4">
        <v>46091</v>
      </c>
      <c r="L2407" s="4">
        <v>46104</v>
      </c>
      <c r="M2407" s="1" t="s">
        <v>6670</v>
      </c>
      <c r="N2407" s="1" t="s">
        <v>6669</v>
      </c>
    </row>
    <row r="2408" spans="1:14" s="1" customFormat="1" x14ac:dyDescent="0.35">
      <c r="A2408" s="1" t="s">
        <v>4492</v>
      </c>
      <c r="B2408" s="1" t="s">
        <v>3822</v>
      </c>
      <c r="C2408" s="1" t="s">
        <v>4154</v>
      </c>
      <c r="D2408" s="1" t="s">
        <v>6668</v>
      </c>
      <c r="E2408" s="1" t="str">
        <f>"8465"</f>
        <v>8465</v>
      </c>
      <c r="F2408" s="1" t="str">
        <f>"009734807"</f>
        <v>009734807</v>
      </c>
      <c r="G2408" s="1" t="s">
        <v>3069</v>
      </c>
      <c r="H2408" s="1" t="s">
        <v>15</v>
      </c>
      <c r="I2408" s="1" t="str">
        <f>"38"</f>
        <v>38</v>
      </c>
      <c r="J2408" s="3">
        <v>91.05</v>
      </c>
      <c r="K2408" s="4">
        <v>46097</v>
      </c>
      <c r="L2408" s="4">
        <v>46100</v>
      </c>
      <c r="M2408" s="1" t="s">
        <v>6667</v>
      </c>
      <c r="N2408" s="1" t="s">
        <v>6666</v>
      </c>
    </row>
    <row r="2409" spans="1:14" s="1" customFormat="1" x14ac:dyDescent="0.35">
      <c r="A2409" s="1" t="s">
        <v>4492</v>
      </c>
      <c r="B2409" s="1" t="s">
        <v>3356</v>
      </c>
      <c r="C2409" s="1" t="s">
        <v>6661</v>
      </c>
      <c r="D2409" s="1" t="s">
        <v>6665</v>
      </c>
      <c r="E2409" s="1" t="str">
        <f>"2310"</f>
        <v>2310</v>
      </c>
      <c r="F2409" s="1" t="str">
        <f>"010907741"</f>
        <v>010907741</v>
      </c>
      <c r="G2409" s="1" t="s">
        <v>710</v>
      </c>
      <c r="H2409" s="1" t="s">
        <v>15</v>
      </c>
      <c r="I2409" s="1" t="str">
        <f>"1"</f>
        <v>1</v>
      </c>
      <c r="J2409" s="3" t="str">
        <f>"30027"</f>
        <v>30027</v>
      </c>
      <c r="K2409" s="4">
        <v>46071</v>
      </c>
      <c r="L2409" s="4">
        <v>46072</v>
      </c>
      <c r="M2409" s="1" t="s">
        <v>4524</v>
      </c>
      <c r="N2409" s="1" t="s">
        <v>6662</v>
      </c>
    </row>
    <row r="2410" spans="1:14" s="1" customFormat="1" x14ac:dyDescent="0.35">
      <c r="A2410" s="1" t="s">
        <v>4492</v>
      </c>
      <c r="B2410" s="1" t="s">
        <v>3356</v>
      </c>
      <c r="C2410" s="1" t="s">
        <v>6661</v>
      </c>
      <c r="D2410" s="1" t="s">
        <v>6664</v>
      </c>
      <c r="E2410" s="1" t="str">
        <f>"2310"</f>
        <v>2310</v>
      </c>
      <c r="F2410" s="1" t="str">
        <f>"010907741"</f>
        <v>010907741</v>
      </c>
      <c r="G2410" s="1" t="s">
        <v>710</v>
      </c>
      <c r="H2410" s="1" t="s">
        <v>15</v>
      </c>
      <c r="I2410" s="1" t="str">
        <f>"1"</f>
        <v>1</v>
      </c>
      <c r="J2410" s="3" t="str">
        <f>"30027"</f>
        <v>30027</v>
      </c>
      <c r="K2410" s="4">
        <v>46071</v>
      </c>
      <c r="L2410" s="4">
        <v>46072</v>
      </c>
      <c r="M2410" s="1" t="s">
        <v>4524</v>
      </c>
      <c r="N2410" s="1" t="s">
        <v>6662</v>
      </c>
    </row>
    <row r="2411" spans="1:14" s="1" customFormat="1" x14ac:dyDescent="0.35">
      <c r="A2411" s="1" t="s">
        <v>4492</v>
      </c>
      <c r="B2411" s="1" t="s">
        <v>3356</v>
      </c>
      <c r="C2411" s="1" t="s">
        <v>6661</v>
      </c>
      <c r="D2411" s="1" t="s">
        <v>6663</v>
      </c>
      <c r="E2411" s="1" t="str">
        <f>"2310"</f>
        <v>2310</v>
      </c>
      <c r="F2411" s="1" t="str">
        <f>"010907741"</f>
        <v>010907741</v>
      </c>
      <c r="G2411" s="1" t="s">
        <v>710</v>
      </c>
      <c r="H2411" s="1" t="s">
        <v>15</v>
      </c>
      <c r="I2411" s="1" t="str">
        <f>"1"</f>
        <v>1</v>
      </c>
      <c r="J2411" s="3" t="str">
        <f>"30027"</f>
        <v>30027</v>
      </c>
      <c r="K2411" s="4">
        <v>46071</v>
      </c>
      <c r="L2411" s="4">
        <v>46072</v>
      </c>
      <c r="M2411" s="1" t="s">
        <v>4524</v>
      </c>
      <c r="N2411" s="1" t="s">
        <v>6662</v>
      </c>
    </row>
    <row r="2412" spans="1:14" s="1" customFormat="1" x14ac:dyDescent="0.35">
      <c r="A2412" s="1" t="s">
        <v>4492</v>
      </c>
      <c r="B2412" s="1" t="s">
        <v>3356</v>
      </c>
      <c r="C2412" s="1" t="s">
        <v>6661</v>
      </c>
      <c r="D2412" s="1" t="s">
        <v>6660</v>
      </c>
      <c r="E2412" s="1" t="str">
        <f>"2310"</f>
        <v>2310</v>
      </c>
      <c r="F2412" s="1" t="str">
        <f>"014998019"</f>
        <v>014998019</v>
      </c>
      <c r="G2412" s="1" t="s">
        <v>4671</v>
      </c>
      <c r="H2412" s="1" t="s">
        <v>15</v>
      </c>
      <c r="I2412" s="1" t="str">
        <f>"1"</f>
        <v>1</v>
      </c>
      <c r="J2412" s="3" t="str">
        <f>"165000"</f>
        <v>165000</v>
      </c>
      <c r="K2412" s="4">
        <v>46071</v>
      </c>
      <c r="L2412" s="4">
        <v>46072</v>
      </c>
      <c r="M2412" s="1" t="s">
        <v>4524</v>
      </c>
      <c r="N2412" s="1" t="s">
        <v>6659</v>
      </c>
    </row>
    <row r="2413" spans="1:14" s="1" customFormat="1" x14ac:dyDescent="0.35">
      <c r="A2413" s="1" t="s">
        <v>4492</v>
      </c>
      <c r="B2413" s="1" t="s">
        <v>1989</v>
      </c>
      <c r="C2413" s="1" t="s">
        <v>6658</v>
      </c>
      <c r="D2413" s="1" t="s">
        <v>6657</v>
      </c>
      <c r="E2413" s="1" t="str">
        <f>"7125"</f>
        <v>7125</v>
      </c>
      <c r="F2413" s="1" t="s">
        <v>2091</v>
      </c>
      <c r="G2413" s="1" t="s">
        <v>2092</v>
      </c>
      <c r="H2413" s="1" t="s">
        <v>15</v>
      </c>
      <c r="I2413" s="1" t="str">
        <f>"3"</f>
        <v>3</v>
      </c>
      <c r="J2413" s="3" t="str">
        <f>"200"</f>
        <v>200</v>
      </c>
      <c r="K2413" s="4">
        <v>46078</v>
      </c>
      <c r="L2413" s="4">
        <v>46078</v>
      </c>
      <c r="N2413" s="1" t="s">
        <v>6656</v>
      </c>
    </row>
    <row r="2414" spans="1:14" s="1" customFormat="1" x14ac:dyDescent="0.35">
      <c r="A2414" s="1" t="s">
        <v>4492</v>
      </c>
      <c r="B2414" s="1" t="s">
        <v>319</v>
      </c>
      <c r="C2414" s="1" t="s">
        <v>352</v>
      </c>
      <c r="D2414" s="1" t="s">
        <v>6655</v>
      </c>
      <c r="E2414" s="1" t="str">
        <f>"2340"</f>
        <v>2340</v>
      </c>
      <c r="F2414" s="1" t="s">
        <v>354</v>
      </c>
      <c r="G2414" s="1" t="s">
        <v>355</v>
      </c>
      <c r="H2414" s="1" t="s">
        <v>15</v>
      </c>
      <c r="I2414" s="1" t="str">
        <f>"1"</f>
        <v>1</v>
      </c>
      <c r="J2414" s="3" t="str">
        <f>"2000"</f>
        <v>2000</v>
      </c>
      <c r="K2414" s="4">
        <v>46008</v>
      </c>
      <c r="L2414" s="4">
        <v>46042</v>
      </c>
      <c r="M2414" s="1" t="s">
        <v>6654</v>
      </c>
      <c r="N2414" s="1" t="s">
        <v>356</v>
      </c>
    </row>
    <row r="2415" spans="1:14" s="1" customFormat="1" x14ac:dyDescent="0.35">
      <c r="A2415" s="1" t="s">
        <v>4492</v>
      </c>
      <c r="B2415" s="1" t="s">
        <v>319</v>
      </c>
      <c r="C2415" s="1" t="s">
        <v>352</v>
      </c>
      <c r="D2415" s="1" t="s">
        <v>6653</v>
      </c>
      <c r="E2415" s="1" t="str">
        <f>"2320"</f>
        <v>2320</v>
      </c>
      <c r="F2415" s="1" t="str">
        <f>"010366569"</f>
        <v>010366569</v>
      </c>
      <c r="G2415" s="1" t="s">
        <v>2570</v>
      </c>
      <c r="H2415" s="1" t="s">
        <v>15</v>
      </c>
      <c r="I2415" s="1" t="str">
        <f>"1"</f>
        <v>1</v>
      </c>
      <c r="J2415" s="3" t="str">
        <f>"25447"</f>
        <v>25447</v>
      </c>
      <c r="K2415" s="4">
        <v>46027</v>
      </c>
      <c r="L2415" s="4">
        <v>46045</v>
      </c>
      <c r="M2415" s="1" t="s">
        <v>6652</v>
      </c>
      <c r="N2415" s="1" t="s">
        <v>6649</v>
      </c>
    </row>
    <row r="2416" spans="1:14" s="1" customFormat="1" x14ac:dyDescent="0.35">
      <c r="A2416" s="1" t="s">
        <v>4492</v>
      </c>
      <c r="B2416" s="1" t="s">
        <v>319</v>
      </c>
      <c r="C2416" s="1" t="s">
        <v>352</v>
      </c>
      <c r="D2416" s="1" t="s">
        <v>6651</v>
      </c>
      <c r="E2416" s="1" t="str">
        <f>"2320"</f>
        <v>2320</v>
      </c>
      <c r="F2416" s="1" t="s">
        <v>1016</v>
      </c>
      <c r="G2416" s="1" t="s">
        <v>1017</v>
      </c>
      <c r="H2416" s="1" t="s">
        <v>15</v>
      </c>
      <c r="I2416" s="1" t="str">
        <f>"1"</f>
        <v>1</v>
      </c>
      <c r="J2416" s="3">
        <v>25765.1</v>
      </c>
      <c r="K2416" s="4">
        <v>46027</v>
      </c>
      <c r="L2416" s="4">
        <v>46039</v>
      </c>
      <c r="M2416" s="1" t="s">
        <v>6650</v>
      </c>
      <c r="N2416" s="1" t="s">
        <v>6649</v>
      </c>
    </row>
    <row r="2417" spans="1:14" s="1" customFormat="1" x14ac:dyDescent="0.35">
      <c r="A2417" s="1" t="s">
        <v>4492</v>
      </c>
      <c r="B2417" s="1" t="s">
        <v>319</v>
      </c>
      <c r="C2417" s="1" t="s">
        <v>352</v>
      </c>
      <c r="D2417" s="1" t="s">
        <v>6648</v>
      </c>
      <c r="E2417" s="1" t="str">
        <f>"2320"</f>
        <v>2320</v>
      </c>
      <c r="F2417" s="1" t="s">
        <v>100</v>
      </c>
      <c r="G2417" s="1" t="s">
        <v>101</v>
      </c>
      <c r="H2417" s="1" t="s">
        <v>15</v>
      </c>
      <c r="I2417" s="1" t="str">
        <f>"1"</f>
        <v>1</v>
      </c>
      <c r="J2417" s="3" t="str">
        <f>"40000"</f>
        <v>40000</v>
      </c>
      <c r="K2417" s="4">
        <v>46027</v>
      </c>
      <c r="L2417" s="4">
        <v>46028</v>
      </c>
      <c r="M2417" s="1" t="s">
        <v>6647</v>
      </c>
      <c r="N2417" s="1" t="s">
        <v>6646</v>
      </c>
    </row>
    <row r="2418" spans="1:14" s="1" customFormat="1" x14ac:dyDescent="0.35">
      <c r="A2418" s="1" t="s">
        <v>4492</v>
      </c>
      <c r="B2418" s="1" t="s">
        <v>319</v>
      </c>
      <c r="C2418" s="1" t="s">
        <v>352</v>
      </c>
      <c r="D2418" s="1" t="s">
        <v>6645</v>
      </c>
      <c r="E2418" s="1" t="str">
        <f>"2340"</f>
        <v>2340</v>
      </c>
      <c r="F2418" s="1" t="s">
        <v>1071</v>
      </c>
      <c r="G2418" s="1" t="s">
        <v>1072</v>
      </c>
      <c r="H2418" s="1" t="s">
        <v>15</v>
      </c>
      <c r="I2418" s="1" t="str">
        <f>"1"</f>
        <v>1</v>
      </c>
      <c r="J2418" s="3">
        <v>11964.82</v>
      </c>
      <c r="K2418" s="4">
        <v>46027</v>
      </c>
      <c r="L2418" s="4">
        <v>46029</v>
      </c>
      <c r="M2418" s="1" t="s">
        <v>6644</v>
      </c>
      <c r="N2418" s="1" t="s">
        <v>6643</v>
      </c>
    </row>
    <row r="2419" spans="1:14" s="1" customFormat="1" x14ac:dyDescent="0.35">
      <c r="A2419" s="1" t="s">
        <v>4492</v>
      </c>
      <c r="B2419" s="1" t="s">
        <v>319</v>
      </c>
      <c r="C2419" s="1" t="s">
        <v>352</v>
      </c>
      <c r="D2419" s="1" t="s">
        <v>6642</v>
      </c>
      <c r="E2419" s="1" t="str">
        <f>"2330"</f>
        <v>2330</v>
      </c>
      <c r="F2419" s="1" t="s">
        <v>104</v>
      </c>
      <c r="G2419" s="1" t="s">
        <v>105</v>
      </c>
      <c r="H2419" s="1" t="s">
        <v>15</v>
      </c>
      <c r="I2419" s="1" t="str">
        <f>"1"</f>
        <v>1</v>
      </c>
      <c r="J2419" s="3">
        <v>8550.84</v>
      </c>
      <c r="K2419" s="4">
        <v>46031</v>
      </c>
      <c r="L2419" s="4">
        <v>46032</v>
      </c>
      <c r="M2419" s="1" t="s">
        <v>4524</v>
      </c>
      <c r="N2419" s="1" t="s">
        <v>6641</v>
      </c>
    </row>
    <row r="2420" spans="1:14" s="1" customFormat="1" x14ac:dyDescent="0.35">
      <c r="A2420" s="1" t="s">
        <v>4492</v>
      </c>
      <c r="B2420" s="1" t="s">
        <v>319</v>
      </c>
      <c r="C2420" s="1" t="s">
        <v>352</v>
      </c>
      <c r="D2420" s="1" t="s">
        <v>6640</v>
      </c>
      <c r="E2420" s="1" t="str">
        <f>"2320"</f>
        <v>2320</v>
      </c>
      <c r="F2420" s="1" t="s">
        <v>1016</v>
      </c>
      <c r="G2420" s="1" t="s">
        <v>1017</v>
      </c>
      <c r="H2420" s="1" t="s">
        <v>15</v>
      </c>
      <c r="I2420" s="1" t="str">
        <f>"1"</f>
        <v>1</v>
      </c>
      <c r="J2420" s="3">
        <v>25718.639999999999</v>
      </c>
      <c r="K2420" s="4">
        <v>46038</v>
      </c>
      <c r="L2420" s="4">
        <v>46046</v>
      </c>
      <c r="M2420" s="1" t="s">
        <v>6639</v>
      </c>
      <c r="N2420" s="1" t="s">
        <v>6638</v>
      </c>
    </row>
    <row r="2421" spans="1:14" s="1" customFormat="1" x14ac:dyDescent="0.35">
      <c r="A2421" s="1" t="s">
        <v>4492</v>
      </c>
      <c r="B2421" s="1" t="s">
        <v>319</v>
      </c>
      <c r="C2421" s="1" t="s">
        <v>352</v>
      </c>
      <c r="D2421" s="1" t="s">
        <v>6637</v>
      </c>
      <c r="E2421" s="1" t="str">
        <f>"2320"</f>
        <v>2320</v>
      </c>
      <c r="F2421" s="1" t="str">
        <f>"010983466"</f>
        <v>010983466</v>
      </c>
      <c r="G2421" s="1" t="s">
        <v>2570</v>
      </c>
      <c r="H2421" s="1" t="s">
        <v>15</v>
      </c>
      <c r="I2421" s="1" t="str">
        <f>"1"</f>
        <v>1</v>
      </c>
      <c r="J2421" s="3" t="str">
        <f>"25447"</f>
        <v>25447</v>
      </c>
      <c r="K2421" s="4">
        <v>46076</v>
      </c>
      <c r="L2421" s="4">
        <v>46105</v>
      </c>
      <c r="M2421" s="1" t="s">
        <v>6636</v>
      </c>
      <c r="N2421" s="1" t="s">
        <v>6635</v>
      </c>
    </row>
    <row r="2422" spans="1:14" s="1" customFormat="1" x14ac:dyDescent="0.35">
      <c r="A2422" s="1" t="s">
        <v>4492</v>
      </c>
      <c r="B2422" s="1" t="s">
        <v>319</v>
      </c>
      <c r="C2422" s="1" t="s">
        <v>352</v>
      </c>
      <c r="D2422" s="1" t="s">
        <v>6634</v>
      </c>
      <c r="E2422" s="1" t="str">
        <f>"2340"</f>
        <v>2340</v>
      </c>
      <c r="F2422" s="1" t="str">
        <f>"015746673"</f>
        <v>015746673</v>
      </c>
      <c r="G2422" s="1" t="s">
        <v>1926</v>
      </c>
      <c r="H2422" s="1" t="s">
        <v>15</v>
      </c>
      <c r="I2422" s="1" t="str">
        <f>"1"</f>
        <v>1</v>
      </c>
      <c r="J2422" s="3" t="str">
        <f>"11365"</f>
        <v>11365</v>
      </c>
      <c r="K2422" s="4">
        <v>46076</v>
      </c>
      <c r="L2422" s="4">
        <v>46088</v>
      </c>
      <c r="M2422" s="1" t="s">
        <v>6633</v>
      </c>
      <c r="N2422" s="1" t="s">
        <v>6632</v>
      </c>
    </row>
    <row r="2423" spans="1:14" s="1" customFormat="1" x14ac:dyDescent="0.35">
      <c r="A2423" s="1" t="s">
        <v>4492</v>
      </c>
      <c r="B2423" s="1" t="s">
        <v>1791</v>
      </c>
      <c r="C2423" s="1" t="s">
        <v>1853</v>
      </c>
      <c r="D2423" s="1" t="s">
        <v>6631</v>
      </c>
      <c r="E2423" s="1" t="str">
        <f>"2340"</f>
        <v>2340</v>
      </c>
      <c r="F2423" s="1" t="s">
        <v>1071</v>
      </c>
      <c r="G2423" s="1" t="s">
        <v>1072</v>
      </c>
      <c r="H2423" s="1" t="s">
        <v>15</v>
      </c>
      <c r="I2423" s="1" t="str">
        <f>"4"</f>
        <v>4</v>
      </c>
      <c r="J2423" s="3">
        <v>14227.95</v>
      </c>
      <c r="K2423" s="4">
        <v>46062</v>
      </c>
      <c r="L2423" s="4">
        <v>46063</v>
      </c>
      <c r="M2423" s="1" t="s">
        <v>6630</v>
      </c>
      <c r="N2423" s="1" t="s">
        <v>6629</v>
      </c>
    </row>
    <row r="2424" spans="1:14" s="1" customFormat="1" x14ac:dyDescent="0.35">
      <c r="A2424" s="1" t="s">
        <v>4492</v>
      </c>
      <c r="B2424" s="1" t="s">
        <v>1791</v>
      </c>
      <c r="C2424" s="1" t="s">
        <v>6625</v>
      </c>
      <c r="D2424" s="1" t="s">
        <v>6628</v>
      </c>
      <c r="E2424" s="1" t="str">
        <f>"6230"</f>
        <v>6230</v>
      </c>
      <c r="F2424" s="1" t="s">
        <v>3594</v>
      </c>
      <c r="G2424" s="1" t="s">
        <v>3595</v>
      </c>
      <c r="H2424" s="1" t="s">
        <v>15</v>
      </c>
      <c r="I2424" s="1" t="str">
        <f>"25"</f>
        <v>25</v>
      </c>
      <c r="J2424" s="3" t="str">
        <f>"60"</f>
        <v>60</v>
      </c>
      <c r="K2424" s="4">
        <v>45995</v>
      </c>
      <c r="L2424" s="4">
        <v>46034</v>
      </c>
      <c r="M2424" s="1" t="s">
        <v>6627</v>
      </c>
      <c r="N2424" s="1" t="s">
        <v>6626</v>
      </c>
    </row>
    <row r="2425" spans="1:14" s="1" customFormat="1" x14ac:dyDescent="0.35">
      <c r="A2425" s="1" t="s">
        <v>4492</v>
      </c>
      <c r="B2425" s="1" t="s">
        <v>1791</v>
      </c>
      <c r="C2425" s="1" t="s">
        <v>6625</v>
      </c>
      <c r="D2425" s="1" t="s">
        <v>6624</v>
      </c>
      <c r="E2425" s="1" t="str">
        <f>"5830"</f>
        <v>5830</v>
      </c>
      <c r="F2425" s="1" t="str">
        <f>"016822934"</f>
        <v>016822934</v>
      </c>
      <c r="G2425" s="1" t="s">
        <v>4136</v>
      </c>
      <c r="H2425" s="1" t="s">
        <v>15</v>
      </c>
      <c r="I2425" s="1" t="str">
        <f>"1"</f>
        <v>1</v>
      </c>
      <c r="J2425" s="3">
        <v>35736.33</v>
      </c>
      <c r="K2425" s="4">
        <v>46013</v>
      </c>
      <c r="L2425" s="4">
        <v>46066</v>
      </c>
      <c r="M2425" s="1" t="s">
        <v>6623</v>
      </c>
      <c r="N2425" s="1" t="s">
        <v>6622</v>
      </c>
    </row>
    <row r="2426" spans="1:14" s="1" customFormat="1" x14ac:dyDescent="0.35">
      <c r="A2426" s="1" t="s">
        <v>4492</v>
      </c>
      <c r="B2426" s="1" t="s">
        <v>3268</v>
      </c>
      <c r="C2426" s="1" t="s">
        <v>3341</v>
      </c>
      <c r="D2426" s="1" t="s">
        <v>6621</v>
      </c>
      <c r="E2426" s="1" t="str">
        <f>"5855"</f>
        <v>5855</v>
      </c>
      <c r="F2426" s="1" t="str">
        <f>"015345931"</f>
        <v>015345931</v>
      </c>
      <c r="G2426" s="1" t="s">
        <v>742</v>
      </c>
      <c r="H2426" s="1" t="s">
        <v>15</v>
      </c>
      <c r="I2426" s="1" t="str">
        <f>"2"</f>
        <v>2</v>
      </c>
      <c r="J2426" s="3" t="str">
        <f>"970"</f>
        <v>970</v>
      </c>
      <c r="K2426" s="4">
        <v>46010</v>
      </c>
      <c r="L2426" s="4">
        <v>46034</v>
      </c>
      <c r="M2426" s="1" t="s">
        <v>6620</v>
      </c>
      <c r="N2426" s="1" t="s">
        <v>6619</v>
      </c>
    </row>
    <row r="2427" spans="1:14" s="1" customFormat="1" x14ac:dyDescent="0.35">
      <c r="A2427" s="1" t="s">
        <v>4492</v>
      </c>
      <c r="B2427" s="1" t="s">
        <v>3268</v>
      </c>
      <c r="C2427" s="1" t="s">
        <v>3341</v>
      </c>
      <c r="D2427" s="1" t="s">
        <v>6618</v>
      </c>
      <c r="E2427" s="1" t="str">
        <f>"5855"</f>
        <v>5855</v>
      </c>
      <c r="F2427" s="1" t="str">
        <f>"014502333"</f>
        <v>014502333</v>
      </c>
      <c r="G2427" s="1" t="s">
        <v>6614</v>
      </c>
      <c r="H2427" s="1" t="s">
        <v>15</v>
      </c>
      <c r="I2427" s="1" t="str">
        <f>"1"</f>
        <v>1</v>
      </c>
      <c r="J2427" s="3">
        <v>10295.540000000001</v>
      </c>
      <c r="K2427" s="4">
        <v>46035</v>
      </c>
      <c r="L2427" s="4">
        <v>46039</v>
      </c>
      <c r="M2427" s="1" t="s">
        <v>4524</v>
      </c>
      <c r="N2427" s="1" t="s">
        <v>6616</v>
      </c>
    </row>
    <row r="2428" spans="1:14" s="1" customFormat="1" x14ac:dyDescent="0.35">
      <c r="A2428" s="1" t="s">
        <v>4492</v>
      </c>
      <c r="B2428" s="1" t="s">
        <v>3268</v>
      </c>
      <c r="C2428" s="1" t="s">
        <v>3341</v>
      </c>
      <c r="D2428" s="1" t="s">
        <v>6617</v>
      </c>
      <c r="E2428" s="1" t="str">
        <f>"5855"</f>
        <v>5855</v>
      </c>
      <c r="F2428" s="1" t="str">
        <f>"014502333"</f>
        <v>014502333</v>
      </c>
      <c r="G2428" s="1" t="s">
        <v>6614</v>
      </c>
      <c r="H2428" s="1" t="s">
        <v>15</v>
      </c>
      <c r="I2428" s="1" t="str">
        <f>"1"</f>
        <v>1</v>
      </c>
      <c r="J2428" s="3">
        <v>10295.540000000001</v>
      </c>
      <c r="K2428" s="4">
        <v>46035</v>
      </c>
      <c r="L2428" s="4">
        <v>46039</v>
      </c>
      <c r="M2428" s="1" t="s">
        <v>4524</v>
      </c>
      <c r="N2428" s="1" t="s">
        <v>6616</v>
      </c>
    </row>
    <row r="2429" spans="1:14" s="1" customFormat="1" x14ac:dyDescent="0.35">
      <c r="A2429" s="1" t="s">
        <v>4492</v>
      </c>
      <c r="B2429" s="1" t="s">
        <v>3268</v>
      </c>
      <c r="C2429" s="1" t="s">
        <v>3341</v>
      </c>
      <c r="D2429" s="1" t="s">
        <v>6615</v>
      </c>
      <c r="E2429" s="1" t="str">
        <f>"5855"</f>
        <v>5855</v>
      </c>
      <c r="F2429" s="1" t="str">
        <f>"014502333"</f>
        <v>014502333</v>
      </c>
      <c r="G2429" s="1" t="s">
        <v>6614</v>
      </c>
      <c r="H2429" s="1" t="s">
        <v>15</v>
      </c>
      <c r="I2429" s="1" t="str">
        <f>"1"</f>
        <v>1</v>
      </c>
      <c r="J2429" s="3">
        <v>10295.540000000001</v>
      </c>
      <c r="K2429" s="4">
        <v>46035</v>
      </c>
      <c r="L2429" s="4">
        <v>46039</v>
      </c>
      <c r="M2429" s="1" t="s">
        <v>4524</v>
      </c>
      <c r="N2429" s="1" t="s">
        <v>6613</v>
      </c>
    </row>
    <row r="2430" spans="1:14" s="1" customFormat="1" x14ac:dyDescent="0.35">
      <c r="A2430" s="1" t="s">
        <v>4492</v>
      </c>
      <c r="B2430" s="1" t="s">
        <v>3268</v>
      </c>
      <c r="C2430" s="1" t="s">
        <v>3341</v>
      </c>
      <c r="D2430" s="1" t="s">
        <v>6612</v>
      </c>
      <c r="E2430" s="1" t="str">
        <f>"1240"</f>
        <v>1240</v>
      </c>
      <c r="F2430" s="1" t="str">
        <f>"014111265"</f>
        <v>014111265</v>
      </c>
      <c r="G2430" s="1" t="s">
        <v>71</v>
      </c>
      <c r="H2430" s="1" t="s">
        <v>15</v>
      </c>
      <c r="I2430" s="1" t="str">
        <f>"8"</f>
        <v>8</v>
      </c>
      <c r="J2430" s="3" t="str">
        <f>"339"</f>
        <v>339</v>
      </c>
      <c r="K2430" s="4">
        <v>46038</v>
      </c>
      <c r="L2430" s="4">
        <v>46105</v>
      </c>
      <c r="M2430" s="1" t="s">
        <v>6611</v>
      </c>
      <c r="N2430" s="1" t="s">
        <v>6610</v>
      </c>
    </row>
    <row r="2431" spans="1:14" s="1" customFormat="1" x14ac:dyDescent="0.35">
      <c r="A2431" s="1" t="s">
        <v>4492</v>
      </c>
      <c r="B2431" s="1" t="s">
        <v>3268</v>
      </c>
      <c r="C2431" s="1" t="s">
        <v>3341</v>
      </c>
      <c r="D2431" s="1" t="s">
        <v>6609</v>
      </c>
      <c r="E2431" s="1" t="str">
        <f>"1240"</f>
        <v>1240</v>
      </c>
      <c r="F2431" s="1" t="str">
        <f>"016785336"</f>
        <v>016785336</v>
      </c>
      <c r="G2431" s="1" t="s">
        <v>71</v>
      </c>
      <c r="H2431" s="1" t="s">
        <v>15</v>
      </c>
      <c r="I2431" s="1" t="str">
        <f>"14"</f>
        <v>14</v>
      </c>
      <c r="J2431" s="3" t="str">
        <f>"352"</f>
        <v>352</v>
      </c>
      <c r="K2431" s="4">
        <v>46034</v>
      </c>
      <c r="L2431" s="4">
        <v>46035</v>
      </c>
      <c r="N2431" s="1" t="s">
        <v>6608</v>
      </c>
    </row>
    <row r="2432" spans="1:14" s="1" customFormat="1" x14ac:dyDescent="0.35">
      <c r="A2432" s="1" t="s">
        <v>4492</v>
      </c>
      <c r="B2432" s="1" t="s">
        <v>3268</v>
      </c>
      <c r="C2432" s="1" t="s">
        <v>3341</v>
      </c>
      <c r="D2432" s="1" t="s">
        <v>6607</v>
      </c>
      <c r="E2432" s="1" t="str">
        <f>"1240"</f>
        <v>1240</v>
      </c>
      <c r="F2432" s="1" t="str">
        <f>"016785336"</f>
        <v>016785336</v>
      </c>
      <c r="G2432" s="1" t="s">
        <v>71</v>
      </c>
      <c r="H2432" s="1" t="s">
        <v>15</v>
      </c>
      <c r="I2432" s="1" t="str">
        <f>"14"</f>
        <v>14</v>
      </c>
      <c r="J2432" s="3" t="str">
        <f>"352"</f>
        <v>352</v>
      </c>
      <c r="K2432" s="4">
        <v>46035</v>
      </c>
      <c r="L2432" s="4">
        <v>46044</v>
      </c>
      <c r="M2432" s="1" t="s">
        <v>6606</v>
      </c>
      <c r="N2432" s="1" t="s">
        <v>6605</v>
      </c>
    </row>
    <row r="2433" spans="1:14" s="1" customFormat="1" x14ac:dyDescent="0.35">
      <c r="A2433" s="1" t="s">
        <v>4492</v>
      </c>
      <c r="B2433" s="1" t="s">
        <v>3268</v>
      </c>
      <c r="C2433" s="1" t="s">
        <v>3341</v>
      </c>
      <c r="D2433" s="1" t="s">
        <v>6604</v>
      </c>
      <c r="E2433" s="1" t="str">
        <f>"5855"</f>
        <v>5855</v>
      </c>
      <c r="F2433" s="1" t="str">
        <f>"015330555"</f>
        <v>015330555</v>
      </c>
      <c r="G2433" s="1" t="s">
        <v>476</v>
      </c>
      <c r="H2433" s="1" t="s">
        <v>15</v>
      </c>
      <c r="I2433" s="1" t="str">
        <f>"12"</f>
        <v>12</v>
      </c>
      <c r="J2433" s="3" t="str">
        <f>"1800"</f>
        <v>1800</v>
      </c>
      <c r="K2433" s="4">
        <v>46035</v>
      </c>
      <c r="L2433" s="4">
        <v>46050</v>
      </c>
      <c r="M2433" s="1" t="s">
        <v>6603</v>
      </c>
      <c r="N2433" s="1" t="s">
        <v>6600</v>
      </c>
    </row>
    <row r="2434" spans="1:14" s="1" customFormat="1" x14ac:dyDescent="0.35">
      <c r="A2434" s="1" t="s">
        <v>4492</v>
      </c>
      <c r="B2434" s="1" t="s">
        <v>3268</v>
      </c>
      <c r="C2434" s="1" t="s">
        <v>3341</v>
      </c>
      <c r="D2434" s="1" t="s">
        <v>6602</v>
      </c>
      <c r="E2434" s="1" t="str">
        <f>"5855"</f>
        <v>5855</v>
      </c>
      <c r="F2434" s="1" t="str">
        <f>"015330555"</f>
        <v>015330555</v>
      </c>
      <c r="G2434" s="1" t="s">
        <v>476</v>
      </c>
      <c r="H2434" s="1" t="s">
        <v>15</v>
      </c>
      <c r="I2434" s="1" t="str">
        <f>"8"</f>
        <v>8</v>
      </c>
      <c r="J2434" s="3" t="str">
        <f>"1800"</f>
        <v>1800</v>
      </c>
      <c r="K2434" s="4">
        <v>46035</v>
      </c>
      <c r="L2434" s="4">
        <v>46038</v>
      </c>
      <c r="M2434" s="1" t="s">
        <v>6601</v>
      </c>
      <c r="N2434" s="1" t="s">
        <v>6600</v>
      </c>
    </row>
    <row r="2435" spans="1:14" s="1" customFormat="1" x14ac:dyDescent="0.35">
      <c r="A2435" s="1" t="s">
        <v>4492</v>
      </c>
      <c r="B2435" s="1" t="s">
        <v>3268</v>
      </c>
      <c r="C2435" s="1" t="s">
        <v>3341</v>
      </c>
      <c r="D2435" s="1" t="s">
        <v>6599</v>
      </c>
      <c r="E2435" s="1" t="str">
        <f>"5855"</f>
        <v>5855</v>
      </c>
      <c r="F2435" s="1" t="str">
        <f>"014331217"</f>
        <v>014331217</v>
      </c>
      <c r="G2435" s="1" t="s">
        <v>6598</v>
      </c>
      <c r="H2435" s="1" t="s">
        <v>168</v>
      </c>
      <c r="I2435" s="1" t="str">
        <f>"4"</f>
        <v>4</v>
      </c>
      <c r="J2435" s="3" t="str">
        <f>"6626"</f>
        <v>6626</v>
      </c>
      <c r="K2435" s="4">
        <v>46035</v>
      </c>
      <c r="L2435" s="4">
        <v>46047</v>
      </c>
      <c r="M2435" s="1" t="s">
        <v>4524</v>
      </c>
      <c r="N2435" s="1" t="s">
        <v>6596</v>
      </c>
    </row>
    <row r="2436" spans="1:14" s="1" customFormat="1" x14ac:dyDescent="0.35">
      <c r="A2436" s="1" t="s">
        <v>4492</v>
      </c>
      <c r="B2436" s="1" t="s">
        <v>3268</v>
      </c>
      <c r="C2436" s="1" t="s">
        <v>3341</v>
      </c>
      <c r="D2436" s="1" t="s">
        <v>6597</v>
      </c>
      <c r="E2436" s="1" t="str">
        <f>"5855"</f>
        <v>5855</v>
      </c>
      <c r="F2436" s="1" t="str">
        <f>"013637491"</f>
        <v>013637491</v>
      </c>
      <c r="G2436" s="1" t="s">
        <v>614</v>
      </c>
      <c r="H2436" s="1" t="s">
        <v>15</v>
      </c>
      <c r="I2436" s="1" t="str">
        <f>"4"</f>
        <v>4</v>
      </c>
      <c r="J2436" s="3" t="str">
        <f>"6124"</f>
        <v>6124</v>
      </c>
      <c r="K2436" s="4">
        <v>46035</v>
      </c>
      <c r="L2436" s="4">
        <v>46047</v>
      </c>
      <c r="M2436" s="1" t="s">
        <v>4524</v>
      </c>
      <c r="N2436" s="1" t="s">
        <v>6596</v>
      </c>
    </row>
    <row r="2437" spans="1:14" s="1" customFormat="1" x14ac:dyDescent="0.35">
      <c r="A2437" s="1" t="s">
        <v>4492</v>
      </c>
      <c r="B2437" s="1" t="s">
        <v>3268</v>
      </c>
      <c r="C2437" s="1" t="s">
        <v>3341</v>
      </c>
      <c r="D2437" s="1" t="s">
        <v>6595</v>
      </c>
      <c r="E2437" s="1" t="str">
        <f>"5855"</f>
        <v>5855</v>
      </c>
      <c r="F2437" s="1" t="str">
        <f>"015345931"</f>
        <v>015345931</v>
      </c>
      <c r="G2437" s="1" t="s">
        <v>742</v>
      </c>
      <c r="H2437" s="1" t="s">
        <v>15</v>
      </c>
      <c r="I2437" s="1" t="str">
        <f>"1"</f>
        <v>1</v>
      </c>
      <c r="J2437" s="3" t="str">
        <f>"970"</f>
        <v>970</v>
      </c>
      <c r="K2437" s="4">
        <v>46040</v>
      </c>
      <c r="L2437" s="4">
        <v>46055</v>
      </c>
      <c r="M2437" s="1" t="s">
        <v>6594</v>
      </c>
      <c r="N2437" s="1" t="s">
        <v>6593</v>
      </c>
    </row>
    <row r="2438" spans="1:14" s="1" customFormat="1" x14ac:dyDescent="0.35">
      <c r="A2438" s="1" t="s">
        <v>4492</v>
      </c>
      <c r="B2438" s="1" t="s">
        <v>3268</v>
      </c>
      <c r="C2438" s="1" t="s">
        <v>3341</v>
      </c>
      <c r="D2438" s="1" t="s">
        <v>6592</v>
      </c>
      <c r="E2438" s="1" t="str">
        <f>"1240"</f>
        <v>1240</v>
      </c>
      <c r="F2438" s="1" t="str">
        <f>"014111265"</f>
        <v>014111265</v>
      </c>
      <c r="G2438" s="1" t="s">
        <v>71</v>
      </c>
      <c r="H2438" s="1" t="s">
        <v>15</v>
      </c>
      <c r="I2438" s="1" t="str">
        <f>"7"</f>
        <v>7</v>
      </c>
      <c r="J2438" s="3" t="str">
        <f>"339"</f>
        <v>339</v>
      </c>
      <c r="K2438" s="4">
        <v>46049</v>
      </c>
      <c r="L2438" s="4">
        <v>46055</v>
      </c>
      <c r="M2438" s="1" t="s">
        <v>4524</v>
      </c>
      <c r="N2438" s="1" t="s">
        <v>6591</v>
      </c>
    </row>
    <row r="2439" spans="1:14" s="1" customFormat="1" x14ac:dyDescent="0.35">
      <c r="A2439" s="1" t="s">
        <v>4492</v>
      </c>
      <c r="B2439" s="1" t="s">
        <v>3268</v>
      </c>
      <c r="C2439" s="1" t="s">
        <v>3341</v>
      </c>
      <c r="D2439" s="1" t="s">
        <v>6590</v>
      </c>
      <c r="E2439" s="1" t="str">
        <f>"1240"</f>
        <v>1240</v>
      </c>
      <c r="F2439" s="1" t="str">
        <f>"014111265"</f>
        <v>014111265</v>
      </c>
      <c r="G2439" s="1" t="s">
        <v>71</v>
      </c>
      <c r="H2439" s="1" t="s">
        <v>15</v>
      </c>
      <c r="I2439" s="1" t="str">
        <f>"26"</f>
        <v>26</v>
      </c>
      <c r="J2439" s="3" t="str">
        <f>"339"</f>
        <v>339</v>
      </c>
      <c r="K2439" s="4">
        <v>46051</v>
      </c>
      <c r="L2439" s="4">
        <v>46105</v>
      </c>
      <c r="M2439" s="1" t="s">
        <v>6589</v>
      </c>
      <c r="N2439" s="1" t="s">
        <v>6588</v>
      </c>
    </row>
    <row r="2440" spans="1:14" s="1" customFormat="1" x14ac:dyDescent="0.35">
      <c r="A2440" s="1" t="s">
        <v>4492</v>
      </c>
      <c r="B2440" s="1" t="s">
        <v>3268</v>
      </c>
      <c r="C2440" s="1" t="s">
        <v>3341</v>
      </c>
      <c r="D2440" s="1" t="s">
        <v>6587</v>
      </c>
      <c r="E2440" s="1" t="str">
        <f>"6545"</f>
        <v>6545</v>
      </c>
      <c r="F2440" s="1" t="str">
        <f>"015841582"</f>
        <v>015841582</v>
      </c>
      <c r="G2440" s="1" t="s">
        <v>990</v>
      </c>
      <c r="H2440" s="1" t="s">
        <v>168</v>
      </c>
      <c r="I2440" s="1" t="str">
        <f>"4"</f>
        <v>4</v>
      </c>
      <c r="J2440" s="3">
        <v>103.24</v>
      </c>
      <c r="K2440" s="4">
        <v>46065</v>
      </c>
      <c r="L2440" s="4">
        <v>46093</v>
      </c>
      <c r="M2440" s="1" t="s">
        <v>6586</v>
      </c>
      <c r="N2440" s="1" t="s">
        <v>6585</v>
      </c>
    </row>
    <row r="2441" spans="1:14" s="1" customFormat="1" x14ac:dyDescent="0.35">
      <c r="A2441" s="1" t="s">
        <v>4492</v>
      </c>
      <c r="B2441" s="1" t="s">
        <v>3268</v>
      </c>
      <c r="C2441" s="1" t="s">
        <v>3346</v>
      </c>
      <c r="D2441" s="1" t="s">
        <v>6584</v>
      </c>
      <c r="E2441" s="1" t="str">
        <f>"5855"</f>
        <v>5855</v>
      </c>
      <c r="F2441" s="1" t="str">
        <f>"016852918"</f>
        <v>016852918</v>
      </c>
      <c r="G2441" s="1" t="s">
        <v>5814</v>
      </c>
      <c r="H2441" s="1" t="s">
        <v>15</v>
      </c>
      <c r="I2441" s="1" t="str">
        <f>"2"</f>
        <v>2</v>
      </c>
      <c r="J2441" s="3" t="str">
        <f>"12900"</f>
        <v>12900</v>
      </c>
      <c r="K2441" s="4">
        <v>46020</v>
      </c>
      <c r="L2441" s="4">
        <v>46049</v>
      </c>
      <c r="M2441" s="1" t="s">
        <v>6583</v>
      </c>
      <c r="N2441" s="1" t="s">
        <v>3348</v>
      </c>
    </row>
    <row r="2442" spans="1:14" s="1" customFormat="1" x14ac:dyDescent="0.35">
      <c r="A2442" s="1" t="s">
        <v>4492</v>
      </c>
      <c r="B2442" s="1" t="s">
        <v>3268</v>
      </c>
      <c r="C2442" s="1" t="s">
        <v>3346</v>
      </c>
      <c r="D2442" s="1" t="s">
        <v>6582</v>
      </c>
      <c r="E2442" s="1" t="str">
        <f>"5855"</f>
        <v>5855</v>
      </c>
      <c r="F2442" s="1" t="str">
        <f>"015051442"</f>
        <v>015051442</v>
      </c>
      <c r="G2442" s="1" t="s">
        <v>614</v>
      </c>
      <c r="H2442" s="1" t="s">
        <v>15</v>
      </c>
      <c r="I2442" s="1" t="str">
        <f>"3"</f>
        <v>3</v>
      </c>
      <c r="J2442" s="3" t="str">
        <f>"68850"</f>
        <v>68850</v>
      </c>
      <c r="K2442" s="4">
        <v>46033</v>
      </c>
      <c r="L2442" s="4">
        <v>46046</v>
      </c>
      <c r="M2442" s="1" t="s">
        <v>6581</v>
      </c>
      <c r="N2442" s="1" t="s">
        <v>3348</v>
      </c>
    </row>
    <row r="2443" spans="1:14" s="1" customFormat="1" x14ac:dyDescent="0.35">
      <c r="A2443" s="1" t="s">
        <v>4492</v>
      </c>
      <c r="B2443" s="1" t="s">
        <v>3268</v>
      </c>
      <c r="C2443" s="1" t="s">
        <v>3346</v>
      </c>
      <c r="D2443" s="1" t="s">
        <v>6580</v>
      </c>
      <c r="E2443" s="1" t="str">
        <f>"5855"</f>
        <v>5855</v>
      </c>
      <c r="F2443" s="1" t="s">
        <v>1390</v>
      </c>
      <c r="G2443" s="1" t="s">
        <v>1391</v>
      </c>
      <c r="H2443" s="1" t="s">
        <v>15</v>
      </c>
      <c r="I2443" s="1" t="str">
        <f>"6"</f>
        <v>6</v>
      </c>
      <c r="J2443" s="3" t="str">
        <f>"13500"</f>
        <v>13500</v>
      </c>
      <c r="K2443" s="4">
        <v>46055</v>
      </c>
      <c r="L2443" s="4">
        <v>46055</v>
      </c>
      <c r="M2443" s="1" t="s">
        <v>4524</v>
      </c>
      <c r="N2443" s="1" t="s">
        <v>3348</v>
      </c>
    </row>
    <row r="2444" spans="1:14" s="1" customFormat="1" x14ac:dyDescent="0.35">
      <c r="A2444" s="1" t="s">
        <v>4492</v>
      </c>
      <c r="B2444" s="1" t="s">
        <v>4381</v>
      </c>
      <c r="C2444" s="1" t="s">
        <v>4447</v>
      </c>
      <c r="D2444" s="1" t="s">
        <v>6579</v>
      </c>
      <c r="E2444" s="1" t="str">
        <f>"7830"</f>
        <v>7830</v>
      </c>
      <c r="F2444" s="1" t="str">
        <f>"016751851"</f>
        <v>016751851</v>
      </c>
      <c r="G2444" s="1" t="s">
        <v>4025</v>
      </c>
      <c r="H2444" s="1" t="s">
        <v>15</v>
      </c>
      <c r="I2444" s="1" t="str">
        <f>"1"</f>
        <v>1</v>
      </c>
      <c r="J2444" s="3" t="str">
        <f>"2585"</f>
        <v>2585</v>
      </c>
      <c r="K2444" s="4">
        <v>46035</v>
      </c>
      <c r="L2444" s="4">
        <v>46037</v>
      </c>
      <c r="M2444" s="1" t="s">
        <v>4556</v>
      </c>
      <c r="N2444" s="1" t="s">
        <v>6578</v>
      </c>
    </row>
    <row r="2445" spans="1:14" s="1" customFormat="1" x14ac:dyDescent="0.35">
      <c r="A2445" s="1" t="s">
        <v>4492</v>
      </c>
      <c r="B2445" s="1" t="s">
        <v>4381</v>
      </c>
      <c r="C2445" s="1" t="s">
        <v>4447</v>
      </c>
      <c r="D2445" s="1" t="s">
        <v>6577</v>
      </c>
      <c r="E2445" s="1" t="str">
        <f>"5855"</f>
        <v>5855</v>
      </c>
      <c r="F2445" s="1" t="str">
        <f>"015345931"</f>
        <v>015345931</v>
      </c>
      <c r="G2445" s="1" t="s">
        <v>742</v>
      </c>
      <c r="H2445" s="1" t="s">
        <v>15</v>
      </c>
      <c r="I2445" s="1" t="str">
        <f>"20"</f>
        <v>20</v>
      </c>
      <c r="J2445" s="3" t="str">
        <f>"1040"</f>
        <v>1040</v>
      </c>
      <c r="K2445" s="4">
        <v>46035</v>
      </c>
      <c r="L2445" s="4">
        <v>46038</v>
      </c>
      <c r="M2445" s="1" t="s">
        <v>6576</v>
      </c>
      <c r="N2445" s="1" t="s">
        <v>6575</v>
      </c>
    </row>
    <row r="2446" spans="1:14" s="1" customFormat="1" x14ac:dyDescent="0.35">
      <c r="A2446" s="1" t="s">
        <v>4492</v>
      </c>
      <c r="B2446" s="1" t="s">
        <v>388</v>
      </c>
      <c r="C2446" s="1" t="s">
        <v>6574</v>
      </c>
      <c r="D2446" s="1" t="s">
        <v>6573</v>
      </c>
      <c r="E2446" s="1" t="str">
        <f>"2340"</f>
        <v>2340</v>
      </c>
      <c r="F2446" s="1" t="s">
        <v>354</v>
      </c>
      <c r="G2446" s="1" t="s">
        <v>355</v>
      </c>
      <c r="H2446" s="1" t="s">
        <v>15</v>
      </c>
      <c r="I2446" s="1" t="str">
        <f>"1"</f>
        <v>1</v>
      </c>
      <c r="J2446" s="3" t="str">
        <f>"9360"</f>
        <v>9360</v>
      </c>
      <c r="K2446" s="4">
        <v>46064</v>
      </c>
      <c r="L2446" s="4">
        <v>46065</v>
      </c>
      <c r="M2446" s="1" t="s">
        <v>4524</v>
      </c>
      <c r="N2446" s="1" t="s">
        <v>6572</v>
      </c>
    </row>
    <row r="2447" spans="1:14" s="1" customFormat="1" x14ac:dyDescent="0.35">
      <c r="A2447" s="1" t="s">
        <v>4492</v>
      </c>
      <c r="B2447" s="1" t="s">
        <v>1453</v>
      </c>
      <c r="C2447" s="1" t="s">
        <v>6568</v>
      </c>
      <c r="D2447" s="1" t="s">
        <v>6571</v>
      </c>
      <c r="E2447" s="1" t="str">
        <f>"1240"</f>
        <v>1240</v>
      </c>
      <c r="F2447" s="1" t="s">
        <v>1364</v>
      </c>
      <c r="G2447" s="1" t="s">
        <v>1365</v>
      </c>
      <c r="H2447" s="1" t="s">
        <v>15</v>
      </c>
      <c r="I2447" s="1" t="str">
        <f>"6"</f>
        <v>6</v>
      </c>
      <c r="J2447" s="3">
        <v>448.33</v>
      </c>
      <c r="K2447" s="4">
        <v>46083</v>
      </c>
      <c r="L2447" s="4">
        <v>46087</v>
      </c>
      <c r="M2447" s="1" t="s">
        <v>4524</v>
      </c>
      <c r="N2447" s="1" t="s">
        <v>6566</v>
      </c>
    </row>
    <row r="2448" spans="1:14" s="1" customFormat="1" x14ac:dyDescent="0.35">
      <c r="A2448" s="1" t="s">
        <v>4492</v>
      </c>
      <c r="B2448" s="1" t="s">
        <v>1453</v>
      </c>
      <c r="C2448" s="1" t="s">
        <v>6568</v>
      </c>
      <c r="D2448" s="1" t="s">
        <v>6570</v>
      </c>
      <c r="E2448" s="1" t="str">
        <f>"5895"</f>
        <v>5895</v>
      </c>
      <c r="F2448" s="1" t="str">
        <f>"015984531"</f>
        <v>015984531</v>
      </c>
      <c r="G2448" s="1" t="s">
        <v>1373</v>
      </c>
      <c r="H2448" s="1" t="s">
        <v>168</v>
      </c>
      <c r="I2448" s="1" t="str">
        <f>"22"</f>
        <v>22</v>
      </c>
      <c r="J2448" s="3">
        <v>763.74</v>
      </c>
      <c r="K2448" s="4">
        <v>46083</v>
      </c>
      <c r="L2448" s="4">
        <v>46087</v>
      </c>
      <c r="M2448" s="1" t="s">
        <v>4524</v>
      </c>
      <c r="N2448" s="1" t="s">
        <v>6569</v>
      </c>
    </row>
    <row r="2449" spans="1:14" s="1" customFormat="1" x14ac:dyDescent="0.35">
      <c r="A2449" s="1" t="s">
        <v>4492</v>
      </c>
      <c r="B2449" s="1" t="s">
        <v>1453</v>
      </c>
      <c r="C2449" s="1" t="s">
        <v>6568</v>
      </c>
      <c r="D2449" s="1" t="s">
        <v>6567</v>
      </c>
      <c r="E2449" s="1" t="str">
        <f>"1240"</f>
        <v>1240</v>
      </c>
      <c r="F2449" s="1" t="str">
        <f>"016520150"</f>
        <v>016520150</v>
      </c>
      <c r="G2449" s="1" t="s">
        <v>4579</v>
      </c>
      <c r="H2449" s="1" t="s">
        <v>15</v>
      </c>
      <c r="I2449" s="1" t="str">
        <f>"4"</f>
        <v>4</v>
      </c>
      <c r="J2449" s="3">
        <v>813.79</v>
      </c>
      <c r="K2449" s="4">
        <v>46083</v>
      </c>
      <c r="L2449" s="4">
        <v>46087</v>
      </c>
      <c r="M2449" s="1" t="s">
        <v>4524</v>
      </c>
      <c r="N2449" s="1" t="s">
        <v>6566</v>
      </c>
    </row>
    <row r="2450" spans="1:14" s="1" customFormat="1" x14ac:dyDescent="0.35">
      <c r="A2450" s="1" t="s">
        <v>4492</v>
      </c>
      <c r="B2450" s="1" t="s">
        <v>913</v>
      </c>
      <c r="C2450" s="1" t="s">
        <v>928</v>
      </c>
      <c r="D2450" s="1" t="s">
        <v>6565</v>
      </c>
      <c r="E2450" s="1" t="str">
        <f>"2320"</f>
        <v>2320</v>
      </c>
      <c r="F2450" s="1" t="str">
        <f>"014476343"</f>
        <v>014476343</v>
      </c>
      <c r="G2450" s="1" t="s">
        <v>930</v>
      </c>
      <c r="H2450" s="1" t="s">
        <v>15</v>
      </c>
      <c r="I2450" s="1" t="str">
        <f>"1"</f>
        <v>1</v>
      </c>
      <c r="J2450" s="3" t="str">
        <f>"176428"</f>
        <v>176428</v>
      </c>
      <c r="K2450" s="4">
        <v>46045</v>
      </c>
      <c r="L2450" s="4">
        <v>46064</v>
      </c>
      <c r="M2450" s="1" t="s">
        <v>6564</v>
      </c>
      <c r="N2450" s="1" t="s">
        <v>6563</v>
      </c>
    </row>
    <row r="2451" spans="1:14" s="1" customFormat="1" x14ac:dyDescent="0.35">
      <c r="A2451" s="1" t="s">
        <v>4492</v>
      </c>
      <c r="B2451" s="1" t="s">
        <v>913</v>
      </c>
      <c r="C2451" s="1" t="s">
        <v>928</v>
      </c>
      <c r="D2451" s="1" t="s">
        <v>6562</v>
      </c>
      <c r="E2451" s="1" t="str">
        <f>"3930"</f>
        <v>3930</v>
      </c>
      <c r="F2451" s="1" t="str">
        <f>"011580849"</f>
        <v>011580849</v>
      </c>
      <c r="G2451" s="1" t="s">
        <v>124</v>
      </c>
      <c r="H2451" s="1" t="s">
        <v>15</v>
      </c>
      <c r="I2451" s="1" t="str">
        <f>"1"</f>
        <v>1</v>
      </c>
      <c r="J2451" s="3" t="str">
        <f>"72370"</f>
        <v>72370</v>
      </c>
      <c r="K2451" s="4">
        <v>46045</v>
      </c>
      <c r="L2451" s="4">
        <v>46062</v>
      </c>
      <c r="M2451" s="1" t="s">
        <v>6561</v>
      </c>
      <c r="N2451" s="1" t="s">
        <v>6560</v>
      </c>
    </row>
    <row r="2452" spans="1:14" s="1" customFormat="1" x14ac:dyDescent="0.35">
      <c r="A2452" s="1" t="s">
        <v>4492</v>
      </c>
      <c r="B2452" s="1" t="s">
        <v>913</v>
      </c>
      <c r="C2452" s="1" t="s">
        <v>928</v>
      </c>
      <c r="D2452" s="1" t="s">
        <v>6559</v>
      </c>
      <c r="E2452" s="1" t="str">
        <f>"2320"</f>
        <v>2320</v>
      </c>
      <c r="F2452" s="1" t="str">
        <f>"014476343"</f>
        <v>014476343</v>
      </c>
      <c r="G2452" s="1" t="s">
        <v>930</v>
      </c>
      <c r="H2452" s="1" t="s">
        <v>15</v>
      </c>
      <c r="I2452" s="1" t="str">
        <f>"1"</f>
        <v>1</v>
      </c>
      <c r="J2452" s="3" t="str">
        <f>"176428"</f>
        <v>176428</v>
      </c>
      <c r="K2452" s="4">
        <v>46080</v>
      </c>
      <c r="L2452" s="4">
        <v>46083</v>
      </c>
      <c r="M2452" s="1" t="s">
        <v>4556</v>
      </c>
      <c r="N2452" s="1" t="s">
        <v>6558</v>
      </c>
    </row>
    <row r="2453" spans="1:14" s="1" customFormat="1" x14ac:dyDescent="0.35">
      <c r="A2453" s="1" t="s">
        <v>4492</v>
      </c>
      <c r="B2453" s="1" t="s">
        <v>913</v>
      </c>
      <c r="C2453" s="1" t="s">
        <v>928</v>
      </c>
      <c r="D2453" s="1" t="s">
        <v>6557</v>
      </c>
      <c r="E2453" s="1" t="str">
        <f>"2320"</f>
        <v>2320</v>
      </c>
      <c r="F2453" s="1" t="str">
        <f>"014473888"</f>
        <v>014473888</v>
      </c>
      <c r="G2453" s="1" t="s">
        <v>930</v>
      </c>
      <c r="H2453" s="1" t="s">
        <v>15</v>
      </c>
      <c r="I2453" s="1" t="str">
        <f>"1"</f>
        <v>1</v>
      </c>
      <c r="J2453" s="3" t="str">
        <f>"149600"</f>
        <v>149600</v>
      </c>
      <c r="K2453" s="4">
        <v>46080</v>
      </c>
      <c r="L2453" s="4">
        <v>46083</v>
      </c>
      <c r="M2453" s="1" t="s">
        <v>4556</v>
      </c>
      <c r="N2453" s="1" t="s">
        <v>6555</v>
      </c>
    </row>
    <row r="2454" spans="1:14" s="1" customFormat="1" x14ac:dyDescent="0.35">
      <c r="A2454" s="1" t="s">
        <v>4492</v>
      </c>
      <c r="B2454" s="1" t="s">
        <v>913</v>
      </c>
      <c r="C2454" s="1" t="s">
        <v>928</v>
      </c>
      <c r="D2454" s="1" t="s">
        <v>6556</v>
      </c>
      <c r="E2454" s="1" t="str">
        <f>"2320"</f>
        <v>2320</v>
      </c>
      <c r="F2454" s="1" t="str">
        <f>"014473888"</f>
        <v>014473888</v>
      </c>
      <c r="G2454" s="1" t="s">
        <v>930</v>
      </c>
      <c r="H2454" s="1" t="s">
        <v>15</v>
      </c>
      <c r="I2454" s="1" t="str">
        <f>"1"</f>
        <v>1</v>
      </c>
      <c r="J2454" s="3" t="str">
        <f>"149600"</f>
        <v>149600</v>
      </c>
      <c r="K2454" s="4">
        <v>46080</v>
      </c>
      <c r="L2454" s="4">
        <v>46083</v>
      </c>
      <c r="M2454" s="1" t="s">
        <v>4556</v>
      </c>
      <c r="N2454" s="1" t="s">
        <v>6555</v>
      </c>
    </row>
    <row r="2455" spans="1:14" s="1" customFormat="1" x14ac:dyDescent="0.35">
      <c r="A2455" s="1" t="s">
        <v>4492</v>
      </c>
      <c r="B2455" s="1" t="s">
        <v>913</v>
      </c>
      <c r="C2455" s="1" t="s">
        <v>934</v>
      </c>
      <c r="D2455" s="1" t="s">
        <v>6554</v>
      </c>
      <c r="E2455" s="1" t="str">
        <f>"2320"</f>
        <v>2320</v>
      </c>
      <c r="F2455" s="1" t="s">
        <v>4526</v>
      </c>
      <c r="G2455" s="1" t="s">
        <v>4525</v>
      </c>
      <c r="H2455" s="1" t="s">
        <v>15</v>
      </c>
      <c r="I2455" s="1" t="str">
        <f>"1"</f>
        <v>1</v>
      </c>
      <c r="J2455" s="3">
        <v>610434.26</v>
      </c>
      <c r="K2455" s="4">
        <v>46055</v>
      </c>
      <c r="L2455" s="4">
        <v>46056</v>
      </c>
      <c r="M2455" s="1" t="s">
        <v>4524</v>
      </c>
      <c r="N2455" s="1" t="s">
        <v>6553</v>
      </c>
    </row>
    <row r="2456" spans="1:14" s="1" customFormat="1" x14ac:dyDescent="0.35">
      <c r="A2456" s="1" t="s">
        <v>4492</v>
      </c>
      <c r="B2456" s="1" t="s">
        <v>913</v>
      </c>
      <c r="C2456" s="1" t="s">
        <v>934</v>
      </c>
      <c r="D2456" s="1" t="s">
        <v>6552</v>
      </c>
      <c r="E2456" s="1" t="str">
        <f>"2330"</f>
        <v>2330</v>
      </c>
      <c r="F2456" s="1" t="s">
        <v>104</v>
      </c>
      <c r="G2456" s="1" t="s">
        <v>105</v>
      </c>
      <c r="H2456" s="1" t="s">
        <v>15</v>
      </c>
      <c r="I2456" s="1" t="str">
        <f>"1"</f>
        <v>1</v>
      </c>
      <c r="J2456" s="3" t="str">
        <f>"45080"</f>
        <v>45080</v>
      </c>
      <c r="K2456" s="4">
        <v>46061</v>
      </c>
      <c r="L2456" s="4">
        <v>46062</v>
      </c>
      <c r="M2456" s="1" t="s">
        <v>6551</v>
      </c>
      <c r="N2456" s="1" t="s">
        <v>6550</v>
      </c>
    </row>
    <row r="2457" spans="1:14" s="1" customFormat="1" x14ac:dyDescent="0.35">
      <c r="A2457" s="1" t="s">
        <v>4492</v>
      </c>
      <c r="B2457" s="1" t="s">
        <v>913</v>
      </c>
      <c r="C2457" s="1" t="s">
        <v>934</v>
      </c>
      <c r="D2457" s="1" t="s">
        <v>6549</v>
      </c>
      <c r="E2457" s="1" t="str">
        <f>"2320"</f>
        <v>2320</v>
      </c>
      <c r="F2457" s="1" t="s">
        <v>1016</v>
      </c>
      <c r="G2457" s="1" t="s">
        <v>1017</v>
      </c>
      <c r="H2457" s="1" t="s">
        <v>15</v>
      </c>
      <c r="I2457" s="1" t="str">
        <f>"1"</f>
        <v>1</v>
      </c>
      <c r="J2457" s="3" t="str">
        <f>"165000"</f>
        <v>165000</v>
      </c>
      <c r="K2457" s="4">
        <v>46080</v>
      </c>
      <c r="L2457" s="4">
        <v>46088</v>
      </c>
      <c r="M2457" s="1" t="s">
        <v>6548</v>
      </c>
      <c r="N2457" s="1" t="s">
        <v>6547</v>
      </c>
    </row>
    <row r="2458" spans="1:14" s="1" customFormat="1" x14ac:dyDescent="0.35">
      <c r="A2458" s="1" t="s">
        <v>4492</v>
      </c>
      <c r="B2458" s="1" t="s">
        <v>913</v>
      </c>
      <c r="C2458" s="1" t="s">
        <v>934</v>
      </c>
      <c r="D2458" s="1" t="s">
        <v>6546</v>
      </c>
      <c r="E2458" s="1" t="str">
        <f>"5410"</f>
        <v>5410</v>
      </c>
      <c r="F2458" s="1" t="str">
        <f>"014518080"</f>
        <v>014518080</v>
      </c>
      <c r="G2458" s="1" t="s">
        <v>1892</v>
      </c>
      <c r="H2458" s="1" t="s">
        <v>15</v>
      </c>
      <c r="I2458" s="1" t="str">
        <f>"1"</f>
        <v>1</v>
      </c>
      <c r="J2458" s="3">
        <v>112715.04</v>
      </c>
      <c r="K2458" s="4">
        <v>46083</v>
      </c>
      <c r="L2458" s="4">
        <v>46088</v>
      </c>
      <c r="M2458" s="1" t="s">
        <v>6545</v>
      </c>
      <c r="N2458" s="1" t="s">
        <v>6544</v>
      </c>
    </row>
    <row r="2459" spans="1:14" s="1" customFormat="1" x14ac:dyDescent="0.35">
      <c r="A2459" s="1" t="s">
        <v>4492</v>
      </c>
      <c r="B2459" s="1" t="s">
        <v>913</v>
      </c>
      <c r="C2459" s="1" t="s">
        <v>934</v>
      </c>
      <c r="D2459" s="1" t="s">
        <v>6543</v>
      </c>
      <c r="E2459" s="1" t="str">
        <f>"2330"</f>
        <v>2330</v>
      </c>
      <c r="F2459" s="1" t="str">
        <f>"001331731"</f>
        <v>001331731</v>
      </c>
      <c r="G2459" s="1" t="s">
        <v>3505</v>
      </c>
      <c r="H2459" s="1" t="s">
        <v>15</v>
      </c>
      <c r="I2459" s="1" t="str">
        <f>"1"</f>
        <v>1</v>
      </c>
      <c r="J2459" s="3" t="str">
        <f>"20007"</f>
        <v>20007</v>
      </c>
      <c r="K2459" s="4">
        <v>46083</v>
      </c>
      <c r="L2459" s="4">
        <v>46083</v>
      </c>
      <c r="N2459" s="1" t="s">
        <v>6542</v>
      </c>
    </row>
    <row r="2460" spans="1:14" s="1" customFormat="1" x14ac:dyDescent="0.35">
      <c r="A2460" s="1" t="s">
        <v>4492</v>
      </c>
      <c r="B2460" s="1" t="s">
        <v>913</v>
      </c>
      <c r="C2460" s="1" t="s">
        <v>934</v>
      </c>
      <c r="D2460" s="1" t="s">
        <v>6541</v>
      </c>
      <c r="E2460" s="1" t="str">
        <f>"2310"</f>
        <v>2310</v>
      </c>
      <c r="F2460" s="1" t="str">
        <f>"016544105"</f>
        <v>016544105</v>
      </c>
      <c r="G2460" s="1" t="s">
        <v>232</v>
      </c>
      <c r="H2460" s="1" t="s">
        <v>15</v>
      </c>
      <c r="I2460" s="1" t="str">
        <f>"1"</f>
        <v>1</v>
      </c>
      <c r="J2460" s="3">
        <v>31905.14</v>
      </c>
      <c r="K2460" s="4">
        <v>46084</v>
      </c>
      <c r="L2460" s="4">
        <v>46087</v>
      </c>
      <c r="M2460" s="1" t="s">
        <v>6540</v>
      </c>
      <c r="N2460" s="1" t="s">
        <v>6537</v>
      </c>
    </row>
    <row r="2461" spans="1:14" s="1" customFormat="1" x14ac:dyDescent="0.35">
      <c r="A2461" s="1" t="s">
        <v>4492</v>
      </c>
      <c r="B2461" s="1" t="s">
        <v>913</v>
      </c>
      <c r="C2461" s="1" t="s">
        <v>934</v>
      </c>
      <c r="D2461" s="1" t="s">
        <v>6539</v>
      </c>
      <c r="E2461" s="1" t="str">
        <f>"2310"</f>
        <v>2310</v>
      </c>
      <c r="F2461" s="1" t="str">
        <f>"016544105"</f>
        <v>016544105</v>
      </c>
      <c r="G2461" s="1" t="s">
        <v>232</v>
      </c>
      <c r="H2461" s="1" t="s">
        <v>15</v>
      </c>
      <c r="I2461" s="1" t="str">
        <f>"1"</f>
        <v>1</v>
      </c>
      <c r="J2461" s="3">
        <v>31905.14</v>
      </c>
      <c r="K2461" s="4">
        <v>46084</v>
      </c>
      <c r="L2461" s="4">
        <v>46087</v>
      </c>
      <c r="M2461" s="1" t="s">
        <v>6538</v>
      </c>
      <c r="N2461" s="1" t="s">
        <v>6537</v>
      </c>
    </row>
    <row r="2462" spans="1:14" s="1" customFormat="1" x14ac:dyDescent="0.35">
      <c r="A2462" s="1" t="s">
        <v>4492</v>
      </c>
      <c r="B2462" s="1" t="s">
        <v>913</v>
      </c>
      <c r="C2462" s="1" t="s">
        <v>934</v>
      </c>
      <c r="D2462" s="1" t="s">
        <v>6536</v>
      </c>
      <c r="E2462" s="1" t="str">
        <f>"2330"</f>
        <v>2330</v>
      </c>
      <c r="F2462" s="1" t="s">
        <v>104</v>
      </c>
      <c r="G2462" s="1" t="s">
        <v>105</v>
      </c>
      <c r="H2462" s="1" t="s">
        <v>15</v>
      </c>
      <c r="I2462" s="1" t="str">
        <f>"1"</f>
        <v>1</v>
      </c>
      <c r="J2462" s="3" t="str">
        <f>"45080"</f>
        <v>45080</v>
      </c>
      <c r="K2462" s="4">
        <v>46086</v>
      </c>
      <c r="L2462" s="4">
        <v>46106</v>
      </c>
      <c r="M2462" s="1" t="s">
        <v>6535</v>
      </c>
      <c r="N2462" s="1" t="s">
        <v>6534</v>
      </c>
    </row>
    <row r="2463" spans="1:14" s="1" customFormat="1" x14ac:dyDescent="0.35">
      <c r="A2463" s="1" t="s">
        <v>4492</v>
      </c>
      <c r="B2463" s="1" t="s">
        <v>913</v>
      </c>
      <c r="C2463" s="1" t="s">
        <v>934</v>
      </c>
      <c r="D2463" s="1" t="s">
        <v>6533</v>
      </c>
      <c r="E2463" s="1" t="str">
        <f>"6530"</f>
        <v>6530</v>
      </c>
      <c r="F2463" s="1" t="str">
        <f>"015726775"</f>
        <v>015726775</v>
      </c>
      <c r="G2463" s="1" t="s">
        <v>6532</v>
      </c>
      <c r="H2463" s="1" t="s">
        <v>15</v>
      </c>
      <c r="I2463" s="1" t="str">
        <f>"2"</f>
        <v>2</v>
      </c>
      <c r="J2463" s="3">
        <v>7046.08</v>
      </c>
      <c r="K2463" s="4">
        <v>46094</v>
      </c>
      <c r="L2463" s="4">
        <v>46103</v>
      </c>
      <c r="M2463" s="1" t="s">
        <v>6531</v>
      </c>
      <c r="N2463" s="1" t="s">
        <v>6530</v>
      </c>
    </row>
    <row r="2464" spans="1:14" s="1" customFormat="1" x14ac:dyDescent="0.35">
      <c r="A2464" s="1" t="s">
        <v>4492</v>
      </c>
      <c r="B2464" s="1" t="s">
        <v>913</v>
      </c>
      <c r="C2464" s="1" t="s">
        <v>934</v>
      </c>
      <c r="D2464" s="1" t="s">
        <v>6529</v>
      </c>
      <c r="E2464" s="1" t="str">
        <f>"8145"</f>
        <v>8145</v>
      </c>
      <c r="F2464" s="1" t="str">
        <f>"014423336"</f>
        <v>014423336</v>
      </c>
      <c r="G2464" s="1" t="s">
        <v>753</v>
      </c>
      <c r="H2464" s="1" t="s">
        <v>15</v>
      </c>
      <c r="I2464" s="1" t="str">
        <f>"1"</f>
        <v>1</v>
      </c>
      <c r="J2464" s="3" t="str">
        <f>"4975"</f>
        <v>4975</v>
      </c>
      <c r="K2464" s="4">
        <v>46106</v>
      </c>
      <c r="L2464" s="4">
        <v>46107</v>
      </c>
      <c r="M2464" s="1" t="s">
        <v>6528</v>
      </c>
      <c r="N2464" s="1" t="s">
        <v>939</v>
      </c>
    </row>
    <row r="2465" spans="1:14" s="1" customFormat="1" x14ac:dyDescent="0.35">
      <c r="A2465" s="1" t="s">
        <v>4492</v>
      </c>
      <c r="B2465" s="1" t="s">
        <v>913</v>
      </c>
      <c r="C2465" s="1" t="s">
        <v>934</v>
      </c>
      <c r="D2465" s="1" t="s">
        <v>6527</v>
      </c>
      <c r="E2465" s="1" t="str">
        <f>"8145"</f>
        <v>8145</v>
      </c>
      <c r="F2465" s="1" t="str">
        <f>"014423336"</f>
        <v>014423336</v>
      </c>
      <c r="G2465" s="1" t="s">
        <v>753</v>
      </c>
      <c r="H2465" s="1" t="s">
        <v>15</v>
      </c>
      <c r="I2465" s="1" t="str">
        <f>"1"</f>
        <v>1</v>
      </c>
      <c r="J2465" s="3" t="str">
        <f>"4975"</f>
        <v>4975</v>
      </c>
      <c r="K2465" s="4">
        <v>46106</v>
      </c>
      <c r="L2465" s="4">
        <v>46107</v>
      </c>
      <c r="M2465" s="1" t="s">
        <v>6526</v>
      </c>
      <c r="N2465" s="1" t="s">
        <v>939</v>
      </c>
    </row>
    <row r="2466" spans="1:14" s="1" customFormat="1" x14ac:dyDescent="0.35">
      <c r="A2466" s="1" t="s">
        <v>4492</v>
      </c>
      <c r="B2466" s="1" t="s">
        <v>1013</v>
      </c>
      <c r="C2466" s="1" t="s">
        <v>6525</v>
      </c>
      <c r="D2466" s="1" t="s">
        <v>6524</v>
      </c>
      <c r="E2466" s="1" t="str">
        <f>"3930"</f>
        <v>3930</v>
      </c>
      <c r="F2466" s="1" t="str">
        <f>"010873105"</f>
        <v>010873105</v>
      </c>
      <c r="G2466" s="1" t="s">
        <v>124</v>
      </c>
      <c r="H2466" s="1" t="s">
        <v>15</v>
      </c>
      <c r="I2466" s="1" t="str">
        <f>"1"</f>
        <v>1</v>
      </c>
      <c r="J2466" s="3">
        <v>42693.5</v>
      </c>
      <c r="K2466" s="4">
        <v>46084</v>
      </c>
      <c r="L2466" s="4">
        <v>46095</v>
      </c>
      <c r="M2466" s="1" t="s">
        <v>6523</v>
      </c>
      <c r="N2466" s="1" t="s">
        <v>6522</v>
      </c>
    </row>
    <row r="2467" spans="1:14" s="1" customFormat="1" x14ac:dyDescent="0.35">
      <c r="A2467" s="1" t="s">
        <v>4492</v>
      </c>
      <c r="B2467" s="1" t="s">
        <v>3822</v>
      </c>
      <c r="C2467" s="1" t="s">
        <v>4175</v>
      </c>
      <c r="D2467" s="1" t="s">
        <v>6521</v>
      </c>
      <c r="E2467" s="1" t="str">
        <f>"5965"</f>
        <v>5965</v>
      </c>
      <c r="F2467" s="1" t="s">
        <v>2843</v>
      </c>
      <c r="G2467" s="1" t="s">
        <v>2844</v>
      </c>
      <c r="H2467" s="1" t="s">
        <v>15</v>
      </c>
      <c r="I2467" s="1" t="str">
        <f>"1"</f>
        <v>1</v>
      </c>
      <c r="J2467" s="3">
        <v>699.99</v>
      </c>
      <c r="K2467" s="4">
        <v>46009</v>
      </c>
      <c r="L2467" s="4">
        <v>46044</v>
      </c>
      <c r="M2467" s="1" t="s">
        <v>6520</v>
      </c>
      <c r="N2467" s="1" t="s">
        <v>6519</v>
      </c>
    </row>
    <row r="2468" spans="1:14" s="1" customFormat="1" x14ac:dyDescent="0.35">
      <c r="A2468" s="1" t="s">
        <v>4492</v>
      </c>
      <c r="B2468" s="1" t="s">
        <v>3822</v>
      </c>
      <c r="C2468" s="1" t="s">
        <v>4175</v>
      </c>
      <c r="D2468" s="1" t="s">
        <v>6518</v>
      </c>
      <c r="E2468" s="1" t="str">
        <f>"7035"</f>
        <v>7035</v>
      </c>
      <c r="F2468" s="1" t="str">
        <f>"016923315"</f>
        <v>016923315</v>
      </c>
      <c r="G2468" s="1" t="s">
        <v>6517</v>
      </c>
      <c r="H2468" s="1" t="s">
        <v>15</v>
      </c>
      <c r="I2468" s="1" t="str">
        <f>"10"</f>
        <v>10</v>
      </c>
      <c r="J2468" s="3" t="str">
        <f>"133"</f>
        <v>133</v>
      </c>
      <c r="K2468" s="4">
        <v>46019</v>
      </c>
      <c r="L2468" s="4">
        <v>46042</v>
      </c>
      <c r="M2468" s="1" t="s">
        <v>6516</v>
      </c>
      <c r="N2468" s="1" t="s">
        <v>6515</v>
      </c>
    </row>
    <row r="2469" spans="1:14" s="1" customFormat="1" x14ac:dyDescent="0.35">
      <c r="A2469" s="1" t="s">
        <v>4492</v>
      </c>
      <c r="B2469" s="1" t="s">
        <v>3822</v>
      </c>
      <c r="C2469" s="1" t="s">
        <v>4175</v>
      </c>
      <c r="D2469" s="1" t="s">
        <v>6514</v>
      </c>
      <c r="E2469" s="1" t="str">
        <f>"3615"</f>
        <v>3615</v>
      </c>
      <c r="F2469" s="1" t="s">
        <v>2173</v>
      </c>
      <c r="G2469" s="1" t="s">
        <v>2174</v>
      </c>
      <c r="H2469" s="1" t="s">
        <v>15</v>
      </c>
      <c r="I2469" s="1" t="str">
        <f>"2"</f>
        <v>2</v>
      </c>
      <c r="J2469" s="3" t="str">
        <f>"1999"</f>
        <v>1999</v>
      </c>
      <c r="K2469" s="4">
        <v>46041</v>
      </c>
      <c r="L2469" s="4">
        <v>46090</v>
      </c>
      <c r="M2469" s="1" t="s">
        <v>6513</v>
      </c>
      <c r="N2469" s="1" t="s">
        <v>6512</v>
      </c>
    </row>
    <row r="2470" spans="1:14" s="1" customFormat="1" x14ac:dyDescent="0.35">
      <c r="A2470" s="1" t="s">
        <v>4492</v>
      </c>
      <c r="B2470" s="1" t="s">
        <v>3822</v>
      </c>
      <c r="C2470" s="1" t="s">
        <v>4175</v>
      </c>
      <c r="D2470" s="1" t="s">
        <v>6511</v>
      </c>
      <c r="E2470" s="1" t="str">
        <f>"1095"</f>
        <v>1095</v>
      </c>
      <c r="F2470" s="1" t="str">
        <f>"015432189"</f>
        <v>015432189</v>
      </c>
      <c r="G2470" s="1" t="s">
        <v>704</v>
      </c>
      <c r="H2470" s="1" t="s">
        <v>15</v>
      </c>
      <c r="I2470" s="1" t="str">
        <f>"10"</f>
        <v>10</v>
      </c>
      <c r="J2470" s="3" t="str">
        <f>"959"</f>
        <v>959</v>
      </c>
      <c r="K2470" s="4">
        <v>46040</v>
      </c>
      <c r="L2470" s="4">
        <v>46108</v>
      </c>
      <c r="M2470" s="1" t="s">
        <v>6510</v>
      </c>
      <c r="N2470" s="1" t="s">
        <v>6509</v>
      </c>
    </row>
    <row r="2471" spans="1:14" s="1" customFormat="1" x14ac:dyDescent="0.35">
      <c r="A2471" s="1" t="s">
        <v>4492</v>
      </c>
      <c r="B2471" s="1" t="s">
        <v>3822</v>
      </c>
      <c r="C2471" s="1" t="s">
        <v>4175</v>
      </c>
      <c r="D2471" s="1" t="s">
        <v>6508</v>
      </c>
      <c r="E2471" s="1" t="str">
        <f>"6230"</f>
        <v>6230</v>
      </c>
      <c r="F2471" s="1" t="str">
        <f>"015880856"</f>
        <v>015880856</v>
      </c>
      <c r="G2471" s="1" t="s">
        <v>5962</v>
      </c>
      <c r="H2471" s="1" t="s">
        <v>257</v>
      </c>
      <c r="I2471" s="1" t="str">
        <f>"1"</f>
        <v>1</v>
      </c>
      <c r="J2471" s="3">
        <v>1722.24</v>
      </c>
      <c r="K2471" s="4">
        <v>46040</v>
      </c>
      <c r="L2471" s="4">
        <v>46046</v>
      </c>
      <c r="M2471" s="1" t="s">
        <v>6507</v>
      </c>
      <c r="N2471" s="1" t="s">
        <v>6506</v>
      </c>
    </row>
    <row r="2472" spans="1:14" s="1" customFormat="1" x14ac:dyDescent="0.35">
      <c r="A2472" s="1" t="s">
        <v>4492</v>
      </c>
      <c r="B2472" s="1" t="s">
        <v>3822</v>
      </c>
      <c r="C2472" s="1" t="s">
        <v>4175</v>
      </c>
      <c r="D2472" s="1" t="s">
        <v>6505</v>
      </c>
      <c r="E2472" s="1" t="str">
        <f>"5965"</f>
        <v>5965</v>
      </c>
      <c r="F2472" s="1" t="str">
        <f>"015765849"</f>
        <v>015765849</v>
      </c>
      <c r="G2472" s="1" t="s">
        <v>6504</v>
      </c>
      <c r="H2472" s="1" t="s">
        <v>15</v>
      </c>
      <c r="I2472" s="1" t="str">
        <f>"4"</f>
        <v>4</v>
      </c>
      <c r="J2472" s="3">
        <v>205.07</v>
      </c>
      <c r="K2472" s="4">
        <v>46040</v>
      </c>
      <c r="L2472" s="4">
        <v>46111</v>
      </c>
      <c r="M2472" s="1" t="s">
        <v>6503</v>
      </c>
      <c r="N2472" s="1" t="s">
        <v>6502</v>
      </c>
    </row>
    <row r="2473" spans="1:14" s="1" customFormat="1" x14ac:dyDescent="0.35">
      <c r="A2473" s="1" t="s">
        <v>4492</v>
      </c>
      <c r="B2473" s="1" t="s">
        <v>3822</v>
      </c>
      <c r="C2473" s="1" t="s">
        <v>4175</v>
      </c>
      <c r="D2473" s="1" t="s">
        <v>6501</v>
      </c>
      <c r="E2473" s="1" t="str">
        <f>"7010"</f>
        <v>7010</v>
      </c>
      <c r="F2473" s="1" t="s">
        <v>1203</v>
      </c>
      <c r="G2473" s="1" t="s">
        <v>1204</v>
      </c>
      <c r="H2473" s="1" t="s">
        <v>15</v>
      </c>
      <c r="I2473" s="1" t="str">
        <f>"17"</f>
        <v>17</v>
      </c>
      <c r="J2473" s="3">
        <v>710.83</v>
      </c>
      <c r="K2473" s="4">
        <v>46040</v>
      </c>
      <c r="L2473" s="4">
        <v>46046</v>
      </c>
      <c r="M2473" s="1" t="s">
        <v>6500</v>
      </c>
      <c r="N2473" s="1" t="s">
        <v>6497</v>
      </c>
    </row>
    <row r="2474" spans="1:14" s="1" customFormat="1" x14ac:dyDescent="0.35">
      <c r="A2474" s="1" t="s">
        <v>4492</v>
      </c>
      <c r="B2474" s="1" t="s">
        <v>3822</v>
      </c>
      <c r="C2474" s="1" t="s">
        <v>4175</v>
      </c>
      <c r="D2474" s="1" t="s">
        <v>6499</v>
      </c>
      <c r="E2474" s="1" t="str">
        <f>"7010"</f>
        <v>7010</v>
      </c>
      <c r="F2474" s="1" t="s">
        <v>1203</v>
      </c>
      <c r="G2474" s="1" t="s">
        <v>1204</v>
      </c>
      <c r="H2474" s="1" t="s">
        <v>15</v>
      </c>
      <c r="I2474" s="1" t="str">
        <f>"18"</f>
        <v>18</v>
      </c>
      <c r="J2474" s="3">
        <v>710.83</v>
      </c>
      <c r="K2474" s="4">
        <v>46040</v>
      </c>
      <c r="L2474" s="4">
        <v>46092</v>
      </c>
      <c r="M2474" s="1" t="s">
        <v>6498</v>
      </c>
      <c r="N2474" s="1" t="s">
        <v>6497</v>
      </c>
    </row>
    <row r="2475" spans="1:14" s="1" customFormat="1" x14ac:dyDescent="0.35">
      <c r="A2475" s="1" t="s">
        <v>4492</v>
      </c>
      <c r="B2475" s="1" t="s">
        <v>3822</v>
      </c>
      <c r="C2475" s="1" t="s">
        <v>4175</v>
      </c>
      <c r="D2475" s="1" t="s">
        <v>6496</v>
      </c>
      <c r="E2475" s="1" t="str">
        <f>"6780"</f>
        <v>6780</v>
      </c>
      <c r="F2475" s="1" t="str">
        <f>"015368704"</f>
        <v>015368704</v>
      </c>
      <c r="G2475" s="1" t="s">
        <v>4783</v>
      </c>
      <c r="H2475" s="1" t="s">
        <v>15</v>
      </c>
      <c r="I2475" s="1" t="str">
        <f>"1"</f>
        <v>1</v>
      </c>
      <c r="J2475" s="3">
        <v>1582.14</v>
      </c>
      <c r="K2475" s="4">
        <v>46040</v>
      </c>
      <c r="L2475" s="4">
        <v>46055</v>
      </c>
      <c r="M2475" s="1" t="s">
        <v>6495</v>
      </c>
      <c r="N2475" s="1" t="s">
        <v>6494</v>
      </c>
    </row>
    <row r="2476" spans="1:14" s="1" customFormat="1" x14ac:dyDescent="0.35">
      <c r="A2476" s="1" t="s">
        <v>4492</v>
      </c>
      <c r="B2476" s="1" t="s">
        <v>3822</v>
      </c>
      <c r="C2476" s="1" t="s">
        <v>4175</v>
      </c>
      <c r="D2476" s="1" t="s">
        <v>6493</v>
      </c>
      <c r="E2476" s="1" t="str">
        <f>"5140"</f>
        <v>5140</v>
      </c>
      <c r="F2476" s="1" t="s">
        <v>364</v>
      </c>
      <c r="G2476" s="1" t="s">
        <v>365</v>
      </c>
      <c r="H2476" s="1" t="s">
        <v>15</v>
      </c>
      <c r="I2476" s="1" t="str">
        <f>"4"</f>
        <v>4</v>
      </c>
      <c r="J2476" s="3" t="str">
        <f>"2048"</f>
        <v>2048</v>
      </c>
      <c r="K2476" s="4">
        <v>46041</v>
      </c>
      <c r="L2476" s="4">
        <v>46090</v>
      </c>
      <c r="M2476" s="1" t="s">
        <v>6492</v>
      </c>
      <c r="N2476" s="1" t="s">
        <v>6491</v>
      </c>
    </row>
    <row r="2477" spans="1:14" s="1" customFormat="1" x14ac:dyDescent="0.35">
      <c r="A2477" s="1" t="s">
        <v>4492</v>
      </c>
      <c r="B2477" s="1" t="s">
        <v>4247</v>
      </c>
      <c r="C2477" s="1" t="s">
        <v>4262</v>
      </c>
      <c r="D2477" s="1" t="s">
        <v>6490</v>
      </c>
      <c r="E2477" s="1" t="str">
        <f>"5855"</f>
        <v>5855</v>
      </c>
      <c r="F2477" s="1" t="str">
        <f>"014778738"</f>
        <v>014778738</v>
      </c>
      <c r="G2477" s="1" t="s">
        <v>614</v>
      </c>
      <c r="H2477" s="1" t="s">
        <v>15</v>
      </c>
      <c r="I2477" s="1" t="str">
        <f>"1"</f>
        <v>1</v>
      </c>
      <c r="J2477" s="3" t="str">
        <f>"7481"</f>
        <v>7481</v>
      </c>
      <c r="K2477" s="4">
        <v>46063</v>
      </c>
      <c r="L2477" s="4">
        <v>46065</v>
      </c>
      <c r="M2477" s="1" t="s">
        <v>4556</v>
      </c>
      <c r="N2477" s="1" t="s">
        <v>6489</v>
      </c>
    </row>
    <row r="2478" spans="1:14" s="1" customFormat="1" x14ac:dyDescent="0.35">
      <c r="A2478" s="1" t="s">
        <v>4492</v>
      </c>
      <c r="B2478" s="1" t="s">
        <v>4247</v>
      </c>
      <c r="C2478" s="1" t="s">
        <v>4262</v>
      </c>
      <c r="D2478" s="1" t="s">
        <v>6488</v>
      </c>
      <c r="E2478" s="1" t="str">
        <f>"5855"</f>
        <v>5855</v>
      </c>
      <c r="F2478" s="1" t="s">
        <v>2510</v>
      </c>
      <c r="G2478" s="1" t="s">
        <v>2511</v>
      </c>
      <c r="H2478" s="1" t="s">
        <v>15</v>
      </c>
      <c r="I2478" s="1" t="str">
        <f>"1"</f>
        <v>1</v>
      </c>
      <c r="J2478" s="3" t="str">
        <f>"1257"</f>
        <v>1257</v>
      </c>
      <c r="K2478" s="4">
        <v>46063</v>
      </c>
      <c r="L2478" s="4">
        <v>46067</v>
      </c>
      <c r="M2478" s="1" t="s">
        <v>6487</v>
      </c>
      <c r="N2478" s="1" t="s">
        <v>6484</v>
      </c>
    </row>
    <row r="2479" spans="1:14" s="1" customFormat="1" x14ac:dyDescent="0.35">
      <c r="A2479" s="1" t="s">
        <v>4492</v>
      </c>
      <c r="B2479" s="1" t="s">
        <v>4247</v>
      </c>
      <c r="C2479" s="1" t="s">
        <v>4262</v>
      </c>
      <c r="D2479" s="1" t="s">
        <v>6486</v>
      </c>
      <c r="E2479" s="1" t="str">
        <f>"5855"</f>
        <v>5855</v>
      </c>
      <c r="F2479" s="1" t="s">
        <v>2510</v>
      </c>
      <c r="G2479" s="1" t="s">
        <v>2511</v>
      </c>
      <c r="H2479" s="1" t="s">
        <v>15</v>
      </c>
      <c r="I2479" s="1" t="str">
        <f>"1"</f>
        <v>1</v>
      </c>
      <c r="J2479" s="3" t="str">
        <f>"1257"</f>
        <v>1257</v>
      </c>
      <c r="K2479" s="4">
        <v>46063</v>
      </c>
      <c r="L2479" s="4">
        <v>46067</v>
      </c>
      <c r="M2479" s="1" t="s">
        <v>6485</v>
      </c>
      <c r="N2479" s="1" t="s">
        <v>6484</v>
      </c>
    </row>
    <row r="2480" spans="1:14" s="1" customFormat="1" x14ac:dyDescent="0.35">
      <c r="A2480" s="1" t="s">
        <v>4492</v>
      </c>
      <c r="B2480" s="1" t="s">
        <v>4247</v>
      </c>
      <c r="C2480" s="1" t="s">
        <v>4262</v>
      </c>
      <c r="D2480" s="1" t="s">
        <v>6483</v>
      </c>
      <c r="E2480" s="1" t="str">
        <f>"5855"</f>
        <v>5855</v>
      </c>
      <c r="F2480" s="1" t="str">
        <f>"016002918"</f>
        <v>016002918</v>
      </c>
      <c r="G2480" s="1" t="s">
        <v>5814</v>
      </c>
      <c r="H2480" s="1" t="s">
        <v>15</v>
      </c>
      <c r="I2480" s="1" t="str">
        <f>"1"</f>
        <v>1</v>
      </c>
      <c r="J2480" s="3" t="str">
        <f>"27000"</f>
        <v>27000</v>
      </c>
      <c r="K2480" s="4">
        <v>46086</v>
      </c>
      <c r="L2480" s="4">
        <v>46087</v>
      </c>
      <c r="M2480" s="1" t="s">
        <v>4524</v>
      </c>
      <c r="N2480" s="1" t="s">
        <v>6482</v>
      </c>
    </row>
    <row r="2481" spans="1:14" s="1" customFormat="1" x14ac:dyDescent="0.35">
      <c r="A2481" s="1" t="s">
        <v>4492</v>
      </c>
      <c r="B2481" s="1" t="s">
        <v>4247</v>
      </c>
      <c r="C2481" s="1" t="s">
        <v>4262</v>
      </c>
      <c r="D2481" s="1" t="s">
        <v>6481</v>
      </c>
      <c r="E2481" s="1" t="str">
        <f>"5965"</f>
        <v>5965</v>
      </c>
      <c r="F2481" s="1" t="s">
        <v>6480</v>
      </c>
      <c r="G2481" s="1" t="s">
        <v>6479</v>
      </c>
      <c r="H2481" s="1" t="s">
        <v>15</v>
      </c>
      <c r="I2481" s="1" t="str">
        <f>"10"</f>
        <v>10</v>
      </c>
      <c r="J2481" s="3">
        <v>825.24</v>
      </c>
      <c r="K2481" s="4">
        <v>46083</v>
      </c>
      <c r="L2481" s="4">
        <v>46084</v>
      </c>
      <c r="M2481" s="1" t="s">
        <v>4524</v>
      </c>
      <c r="N2481" s="1" t="s">
        <v>6478</v>
      </c>
    </row>
    <row r="2482" spans="1:14" s="1" customFormat="1" x14ac:dyDescent="0.35">
      <c r="A2482" s="1" t="s">
        <v>4492</v>
      </c>
      <c r="B2482" s="1" t="s">
        <v>4247</v>
      </c>
      <c r="C2482" s="1" t="s">
        <v>4262</v>
      </c>
      <c r="D2482" s="1" t="s">
        <v>6477</v>
      </c>
      <c r="E2482" s="1" t="str">
        <f>"5855"</f>
        <v>5855</v>
      </c>
      <c r="F2482" s="1" t="str">
        <f>"015847217"</f>
        <v>015847217</v>
      </c>
      <c r="G2482" s="1" t="s">
        <v>614</v>
      </c>
      <c r="H2482" s="1" t="s">
        <v>15</v>
      </c>
      <c r="I2482" s="1" t="str">
        <f>"5"</f>
        <v>5</v>
      </c>
      <c r="J2482" s="3" t="str">
        <f>"34084"</f>
        <v>34084</v>
      </c>
      <c r="K2482" s="4">
        <v>46098</v>
      </c>
      <c r="L2482" s="4">
        <v>46098</v>
      </c>
      <c r="M2482" s="1" t="s">
        <v>4556</v>
      </c>
      <c r="N2482" s="1" t="s">
        <v>6476</v>
      </c>
    </row>
    <row r="2483" spans="1:14" s="1" customFormat="1" x14ac:dyDescent="0.35">
      <c r="A2483" s="1" t="s">
        <v>4492</v>
      </c>
      <c r="B2483" s="1" t="s">
        <v>4247</v>
      </c>
      <c r="C2483" s="1" t="s">
        <v>4262</v>
      </c>
      <c r="D2483" s="1" t="s">
        <v>6475</v>
      </c>
      <c r="E2483" s="1" t="str">
        <f>"5855"</f>
        <v>5855</v>
      </c>
      <c r="F2483" s="1" t="str">
        <f>"015485687"</f>
        <v>015485687</v>
      </c>
      <c r="G2483" s="1" t="s">
        <v>798</v>
      </c>
      <c r="H2483" s="1" t="s">
        <v>15</v>
      </c>
      <c r="I2483" s="1" t="str">
        <f>"15"</f>
        <v>15</v>
      </c>
      <c r="J2483" s="3" t="str">
        <f>"10402"</f>
        <v>10402</v>
      </c>
      <c r="K2483" s="4">
        <v>46098</v>
      </c>
      <c r="L2483" s="4">
        <v>46101</v>
      </c>
      <c r="M2483" s="1" t="s">
        <v>4556</v>
      </c>
      <c r="N2483" s="1" t="s">
        <v>6474</v>
      </c>
    </row>
    <row r="2484" spans="1:14" s="1" customFormat="1" x14ac:dyDescent="0.35">
      <c r="A2484" s="1" t="s">
        <v>4492</v>
      </c>
      <c r="B2484" s="1" t="s">
        <v>4247</v>
      </c>
      <c r="C2484" s="1" t="s">
        <v>4262</v>
      </c>
      <c r="D2484" s="1" t="s">
        <v>6473</v>
      </c>
      <c r="E2484" s="1" t="str">
        <f>"5855"</f>
        <v>5855</v>
      </c>
      <c r="F2484" s="1" t="str">
        <f>"015847217"</f>
        <v>015847217</v>
      </c>
      <c r="G2484" s="1" t="s">
        <v>614</v>
      </c>
      <c r="H2484" s="1" t="s">
        <v>15</v>
      </c>
      <c r="I2484" s="1" t="str">
        <f>"5"</f>
        <v>5</v>
      </c>
      <c r="J2484" s="3" t="str">
        <f>"34084"</f>
        <v>34084</v>
      </c>
      <c r="K2484" s="4">
        <v>46100</v>
      </c>
      <c r="L2484" s="4">
        <v>46105</v>
      </c>
      <c r="M2484" s="1" t="s">
        <v>4524</v>
      </c>
      <c r="N2484" s="1" t="s">
        <v>6472</v>
      </c>
    </row>
    <row r="2485" spans="1:14" s="1" customFormat="1" x14ac:dyDescent="0.35">
      <c r="A2485" s="1" t="s">
        <v>4492</v>
      </c>
      <c r="B2485" s="1" t="s">
        <v>802</v>
      </c>
      <c r="C2485" s="1" t="s">
        <v>803</v>
      </c>
      <c r="D2485" s="1" t="s">
        <v>6471</v>
      </c>
      <c r="E2485" s="1" t="str">
        <f>"6910"</f>
        <v>6910</v>
      </c>
      <c r="F2485" s="1" t="str">
        <f>"016297815"</f>
        <v>016297815</v>
      </c>
      <c r="G2485" s="1" t="s">
        <v>1048</v>
      </c>
      <c r="H2485" s="1" t="s">
        <v>257</v>
      </c>
      <c r="I2485" s="1" t="str">
        <f>"2"</f>
        <v>2</v>
      </c>
      <c r="J2485" s="3">
        <v>428158.5</v>
      </c>
      <c r="K2485" s="4">
        <v>46022</v>
      </c>
      <c r="L2485" s="4">
        <v>46064</v>
      </c>
      <c r="M2485" s="1" t="s">
        <v>6470</v>
      </c>
      <c r="N2485" s="1" t="s">
        <v>6469</v>
      </c>
    </row>
    <row r="2486" spans="1:14" s="1" customFormat="1" x14ac:dyDescent="0.35">
      <c r="A2486" s="1" t="s">
        <v>4492</v>
      </c>
      <c r="B2486" s="1" t="s">
        <v>802</v>
      </c>
      <c r="C2486" s="1" t="s">
        <v>803</v>
      </c>
      <c r="D2486" s="1" t="s">
        <v>6468</v>
      </c>
      <c r="E2486" s="1" t="str">
        <f>"2340"</f>
        <v>2340</v>
      </c>
      <c r="F2486" s="1" t="s">
        <v>1071</v>
      </c>
      <c r="G2486" s="1" t="s">
        <v>1072</v>
      </c>
      <c r="H2486" s="1" t="s">
        <v>15</v>
      </c>
      <c r="I2486" s="1" t="str">
        <f>"1"</f>
        <v>1</v>
      </c>
      <c r="J2486" s="3">
        <v>11964.82</v>
      </c>
      <c r="K2486" s="4">
        <v>46026</v>
      </c>
      <c r="L2486" s="4">
        <v>46029</v>
      </c>
      <c r="M2486" s="1" t="s">
        <v>6467</v>
      </c>
      <c r="N2486" s="1" t="s">
        <v>6466</v>
      </c>
    </row>
    <row r="2487" spans="1:14" s="1" customFormat="1" x14ac:dyDescent="0.35">
      <c r="A2487" s="1" t="s">
        <v>4492</v>
      </c>
      <c r="B2487" s="1" t="s">
        <v>802</v>
      </c>
      <c r="C2487" s="1" t="s">
        <v>803</v>
      </c>
      <c r="D2487" s="1" t="s">
        <v>6465</v>
      </c>
      <c r="E2487" s="1" t="str">
        <f>"8415"</f>
        <v>8415</v>
      </c>
      <c r="F2487" s="1" t="str">
        <f>"003761668"</f>
        <v>003761668</v>
      </c>
      <c r="G2487" s="1" t="s">
        <v>2097</v>
      </c>
      <c r="H2487" s="1" t="s">
        <v>15</v>
      </c>
      <c r="I2487" s="1" t="str">
        <f>"2"</f>
        <v>2</v>
      </c>
      <c r="J2487" s="3">
        <v>101.94</v>
      </c>
      <c r="K2487" s="4">
        <v>46032</v>
      </c>
      <c r="L2487" s="4">
        <v>46036</v>
      </c>
      <c r="M2487" s="1" t="s">
        <v>6464</v>
      </c>
      <c r="N2487" s="1" t="s">
        <v>6462</v>
      </c>
    </row>
    <row r="2488" spans="1:14" s="1" customFormat="1" x14ac:dyDescent="0.35">
      <c r="A2488" s="1" t="s">
        <v>4492</v>
      </c>
      <c r="B2488" s="1" t="s">
        <v>802</v>
      </c>
      <c r="C2488" s="1" t="s">
        <v>803</v>
      </c>
      <c r="D2488" s="1" t="s">
        <v>6463</v>
      </c>
      <c r="E2488" s="1" t="str">
        <f>"8415"</f>
        <v>8415</v>
      </c>
      <c r="F2488" s="1" t="str">
        <f>"003761710"</f>
        <v>003761710</v>
      </c>
      <c r="G2488" s="1" t="s">
        <v>2097</v>
      </c>
      <c r="H2488" s="1" t="s">
        <v>15</v>
      </c>
      <c r="I2488" s="1" t="str">
        <f>"3"</f>
        <v>3</v>
      </c>
      <c r="J2488" s="3">
        <v>115.4</v>
      </c>
      <c r="K2488" s="4">
        <v>46032</v>
      </c>
      <c r="L2488" s="4">
        <v>46035</v>
      </c>
      <c r="M2488" s="1" t="s">
        <v>4524</v>
      </c>
      <c r="N2488" s="1" t="s">
        <v>6462</v>
      </c>
    </row>
    <row r="2489" spans="1:14" s="1" customFormat="1" x14ac:dyDescent="0.35">
      <c r="A2489" s="1" t="s">
        <v>4492</v>
      </c>
      <c r="B2489" s="1" t="s">
        <v>802</v>
      </c>
      <c r="C2489" s="1" t="s">
        <v>803</v>
      </c>
      <c r="D2489" s="1" t="s">
        <v>6461</v>
      </c>
      <c r="E2489" s="1" t="str">
        <f>"8415"</f>
        <v>8415</v>
      </c>
      <c r="F2489" s="1" t="str">
        <f>"003761672"</f>
        <v>003761672</v>
      </c>
      <c r="G2489" s="1" t="s">
        <v>2097</v>
      </c>
      <c r="H2489" s="1" t="s">
        <v>15</v>
      </c>
      <c r="I2489" s="1" t="str">
        <f>"3"</f>
        <v>3</v>
      </c>
      <c r="J2489" s="3">
        <v>101.94</v>
      </c>
      <c r="K2489" s="4">
        <v>46032</v>
      </c>
      <c r="L2489" s="4">
        <v>46036</v>
      </c>
      <c r="M2489" s="1" t="s">
        <v>6460</v>
      </c>
      <c r="N2489" s="1" t="s">
        <v>6429</v>
      </c>
    </row>
    <row r="2490" spans="1:14" s="1" customFormat="1" x14ac:dyDescent="0.35">
      <c r="A2490" s="1" t="s">
        <v>4492</v>
      </c>
      <c r="B2490" s="1" t="s">
        <v>802</v>
      </c>
      <c r="C2490" s="1" t="s">
        <v>803</v>
      </c>
      <c r="D2490" s="1" t="s">
        <v>6459</v>
      </c>
      <c r="E2490" s="1" t="str">
        <f>"8465"</f>
        <v>8465</v>
      </c>
      <c r="F2490" s="1" t="str">
        <f>"016797709"</f>
        <v>016797709</v>
      </c>
      <c r="G2490" s="1" t="s">
        <v>52</v>
      </c>
      <c r="H2490" s="1" t="s">
        <v>15</v>
      </c>
      <c r="I2490" s="1" t="str">
        <f>"2"</f>
        <v>2</v>
      </c>
      <c r="J2490" s="3">
        <v>376.56</v>
      </c>
      <c r="K2490" s="4">
        <v>46040</v>
      </c>
      <c r="L2490" s="4">
        <v>46049</v>
      </c>
      <c r="M2490" s="1" t="s">
        <v>6458</v>
      </c>
      <c r="N2490" s="1" t="s">
        <v>6457</v>
      </c>
    </row>
    <row r="2491" spans="1:14" s="1" customFormat="1" x14ac:dyDescent="0.35">
      <c r="A2491" s="1" t="s">
        <v>4492</v>
      </c>
      <c r="B2491" s="1" t="s">
        <v>802</v>
      </c>
      <c r="C2491" s="1" t="s">
        <v>803</v>
      </c>
      <c r="D2491" s="1" t="s">
        <v>6456</v>
      </c>
      <c r="E2491" s="1" t="str">
        <f>"8415"</f>
        <v>8415</v>
      </c>
      <c r="F2491" s="1" t="str">
        <f>"015494580"</f>
        <v>015494580</v>
      </c>
      <c r="G2491" s="1" t="s">
        <v>6455</v>
      </c>
      <c r="H2491" s="1" t="s">
        <v>47</v>
      </c>
      <c r="I2491" s="1" t="str">
        <f>"20"</f>
        <v>20</v>
      </c>
      <c r="J2491" s="3">
        <v>51.36</v>
      </c>
      <c r="K2491" s="4">
        <v>46040</v>
      </c>
      <c r="L2491" s="4">
        <v>46049</v>
      </c>
      <c r="M2491" s="1" t="s">
        <v>6454</v>
      </c>
      <c r="N2491" s="1" t="s">
        <v>6429</v>
      </c>
    </row>
    <row r="2492" spans="1:14" s="1" customFormat="1" x14ac:dyDescent="0.35">
      <c r="A2492" s="1" t="s">
        <v>4492</v>
      </c>
      <c r="B2492" s="1" t="s">
        <v>802</v>
      </c>
      <c r="C2492" s="1" t="s">
        <v>803</v>
      </c>
      <c r="D2492" s="1" t="s">
        <v>6453</v>
      </c>
      <c r="E2492" s="1" t="str">
        <f>"8415"</f>
        <v>8415</v>
      </c>
      <c r="F2492" s="1" t="str">
        <f>"015494050"</f>
        <v>015494050</v>
      </c>
      <c r="G2492" s="1" t="s">
        <v>6452</v>
      </c>
      <c r="H2492" s="1" t="s">
        <v>15</v>
      </c>
      <c r="I2492" s="1" t="str">
        <f>"5"</f>
        <v>5</v>
      </c>
      <c r="J2492" s="3">
        <v>56.3</v>
      </c>
      <c r="K2492" s="4">
        <v>46040</v>
      </c>
      <c r="L2492" s="4">
        <v>46071</v>
      </c>
      <c r="M2492" s="1" t="s">
        <v>6451</v>
      </c>
      <c r="N2492" s="1" t="s">
        <v>6429</v>
      </c>
    </row>
    <row r="2493" spans="1:14" s="1" customFormat="1" x14ac:dyDescent="0.35">
      <c r="A2493" s="1" t="s">
        <v>4492</v>
      </c>
      <c r="B2493" s="1" t="s">
        <v>802</v>
      </c>
      <c r="C2493" s="1" t="s">
        <v>803</v>
      </c>
      <c r="D2493" s="1" t="s">
        <v>6450</v>
      </c>
      <c r="E2493" s="1" t="str">
        <f>"8340"</f>
        <v>8340</v>
      </c>
      <c r="F2493" s="1" t="str">
        <f>"015192701"</f>
        <v>015192701</v>
      </c>
      <c r="G2493" s="1" t="s">
        <v>2958</v>
      </c>
      <c r="H2493" s="1" t="s">
        <v>15</v>
      </c>
      <c r="I2493" s="1" t="str">
        <f>"1"</f>
        <v>1</v>
      </c>
      <c r="J2493" s="3">
        <v>115.84</v>
      </c>
      <c r="K2493" s="4">
        <v>46040</v>
      </c>
      <c r="L2493" s="4">
        <v>46045</v>
      </c>
      <c r="M2493" s="1" t="s">
        <v>6449</v>
      </c>
      <c r="N2493" s="1" t="s">
        <v>6448</v>
      </c>
    </row>
    <row r="2494" spans="1:14" s="1" customFormat="1" x14ac:dyDescent="0.35">
      <c r="A2494" s="1" t="s">
        <v>4492</v>
      </c>
      <c r="B2494" s="1" t="s">
        <v>802</v>
      </c>
      <c r="C2494" s="1" t="s">
        <v>803</v>
      </c>
      <c r="D2494" s="1" t="s">
        <v>6447</v>
      </c>
      <c r="E2494" s="1" t="str">
        <f>"3695"</f>
        <v>3695</v>
      </c>
      <c r="F2494" s="1" t="str">
        <f>"011916754"</f>
        <v>011916754</v>
      </c>
      <c r="G2494" s="1" t="s">
        <v>2474</v>
      </c>
      <c r="H2494" s="1" t="s">
        <v>15</v>
      </c>
      <c r="I2494" s="1" t="str">
        <f>"1"</f>
        <v>1</v>
      </c>
      <c r="J2494" s="3">
        <v>1267.43</v>
      </c>
      <c r="K2494" s="4">
        <v>46040</v>
      </c>
      <c r="L2494" s="4">
        <v>46071</v>
      </c>
      <c r="M2494" s="1" t="s">
        <v>6446</v>
      </c>
      <c r="N2494" s="1" t="s">
        <v>6445</v>
      </c>
    </row>
    <row r="2495" spans="1:14" s="1" customFormat="1" x14ac:dyDescent="0.35">
      <c r="A2495" s="1" t="s">
        <v>4492</v>
      </c>
      <c r="B2495" s="1" t="s">
        <v>802</v>
      </c>
      <c r="C2495" s="1" t="s">
        <v>803</v>
      </c>
      <c r="D2495" s="1" t="s">
        <v>6444</v>
      </c>
      <c r="E2495" s="1" t="str">
        <f>"3695"</f>
        <v>3695</v>
      </c>
      <c r="F2495" s="1" t="str">
        <f>"011916754"</f>
        <v>011916754</v>
      </c>
      <c r="G2495" s="1" t="s">
        <v>2474</v>
      </c>
      <c r="H2495" s="1" t="s">
        <v>15</v>
      </c>
      <c r="I2495" s="1" t="str">
        <f>"1"</f>
        <v>1</v>
      </c>
      <c r="J2495" s="3">
        <v>1267.43</v>
      </c>
      <c r="K2495" s="4">
        <v>46040</v>
      </c>
      <c r="L2495" s="4">
        <v>46055</v>
      </c>
      <c r="M2495" s="1" t="s">
        <v>6443</v>
      </c>
      <c r="N2495" s="1" t="s">
        <v>6442</v>
      </c>
    </row>
    <row r="2496" spans="1:14" s="1" customFormat="1" x14ac:dyDescent="0.35">
      <c r="A2496" s="1" t="s">
        <v>4492</v>
      </c>
      <c r="B2496" s="1" t="s">
        <v>802</v>
      </c>
      <c r="C2496" s="1" t="s">
        <v>803</v>
      </c>
      <c r="D2496" s="1" t="s">
        <v>6441</v>
      </c>
      <c r="E2496" s="1" t="str">
        <f>"8415"</f>
        <v>8415</v>
      </c>
      <c r="F2496" s="1" t="str">
        <f>"015265346"</f>
        <v>015265346</v>
      </c>
      <c r="G2496" s="1" t="s">
        <v>3040</v>
      </c>
      <c r="H2496" s="1" t="s">
        <v>15</v>
      </c>
      <c r="I2496" s="1" t="str">
        <f>"4"</f>
        <v>4</v>
      </c>
      <c r="J2496" s="3">
        <v>6.03</v>
      </c>
      <c r="K2496" s="4">
        <v>46046</v>
      </c>
      <c r="L2496" s="4">
        <v>46060</v>
      </c>
      <c r="M2496" s="1" t="s">
        <v>6440</v>
      </c>
      <c r="N2496" s="1" t="s">
        <v>6439</v>
      </c>
    </row>
    <row r="2497" spans="1:14" s="1" customFormat="1" x14ac:dyDescent="0.35">
      <c r="A2497" s="1" t="s">
        <v>4492</v>
      </c>
      <c r="B2497" s="1" t="s">
        <v>802</v>
      </c>
      <c r="C2497" s="1" t="s">
        <v>803</v>
      </c>
      <c r="D2497" s="1" t="s">
        <v>6438</v>
      </c>
      <c r="E2497" s="1" t="str">
        <f>"8415"</f>
        <v>8415</v>
      </c>
      <c r="F2497" s="1" t="str">
        <f>"013950005"</f>
        <v>013950005</v>
      </c>
      <c r="G2497" s="1" t="s">
        <v>6437</v>
      </c>
      <c r="H2497" s="1" t="s">
        <v>15</v>
      </c>
      <c r="I2497" s="1" t="str">
        <f>"6"</f>
        <v>6</v>
      </c>
      <c r="J2497" s="3">
        <v>184.45</v>
      </c>
      <c r="K2497" s="4">
        <v>46046</v>
      </c>
      <c r="L2497" s="4">
        <v>46055</v>
      </c>
      <c r="M2497" s="1" t="s">
        <v>4524</v>
      </c>
      <c r="N2497" s="1" t="s">
        <v>6436</v>
      </c>
    </row>
    <row r="2498" spans="1:14" s="1" customFormat="1" x14ac:dyDescent="0.35">
      <c r="A2498" s="1" t="s">
        <v>4492</v>
      </c>
      <c r="B2498" s="1" t="s">
        <v>802</v>
      </c>
      <c r="C2498" s="1" t="s">
        <v>803</v>
      </c>
      <c r="D2498" s="1" t="s">
        <v>6435</v>
      </c>
      <c r="E2498" s="1" t="str">
        <f>"8475"</f>
        <v>8475</v>
      </c>
      <c r="F2498" s="1" t="str">
        <f>"015329557"</f>
        <v>015329557</v>
      </c>
      <c r="G2498" s="1" t="s">
        <v>6434</v>
      </c>
      <c r="H2498" s="1" t="s">
        <v>15</v>
      </c>
      <c r="I2498" s="1" t="str">
        <f>"1"</f>
        <v>1</v>
      </c>
      <c r="J2498" s="3">
        <v>1405.07</v>
      </c>
      <c r="K2498" s="4">
        <v>46057</v>
      </c>
      <c r="L2498" s="4">
        <v>46058</v>
      </c>
      <c r="M2498" s="1" t="s">
        <v>4556</v>
      </c>
      <c r="N2498" s="1" t="s">
        <v>6433</v>
      </c>
    </row>
    <row r="2499" spans="1:14" s="1" customFormat="1" x14ac:dyDescent="0.35">
      <c r="A2499" s="1" t="s">
        <v>4492</v>
      </c>
      <c r="B2499" s="1" t="s">
        <v>802</v>
      </c>
      <c r="C2499" s="1" t="s">
        <v>803</v>
      </c>
      <c r="D2499" s="1" t="s">
        <v>6432</v>
      </c>
      <c r="E2499" s="1" t="str">
        <f>"8415"</f>
        <v>8415</v>
      </c>
      <c r="F2499" s="1" t="str">
        <f>"016425576"</f>
        <v>016425576</v>
      </c>
      <c r="G2499" s="1" t="s">
        <v>2097</v>
      </c>
      <c r="H2499" s="1" t="s">
        <v>15</v>
      </c>
      <c r="I2499" s="1" t="str">
        <f>"1"</f>
        <v>1</v>
      </c>
      <c r="J2499" s="3">
        <v>609.72</v>
      </c>
      <c r="K2499" s="4">
        <v>46060</v>
      </c>
      <c r="L2499" s="4">
        <v>46064</v>
      </c>
      <c r="M2499" s="1" t="s">
        <v>4524</v>
      </c>
      <c r="N2499" s="1" t="s">
        <v>823</v>
      </c>
    </row>
    <row r="2500" spans="1:14" s="1" customFormat="1" x14ac:dyDescent="0.35">
      <c r="A2500" s="1" t="s">
        <v>4492</v>
      </c>
      <c r="B2500" s="1" t="s">
        <v>802</v>
      </c>
      <c r="C2500" s="1" t="s">
        <v>803</v>
      </c>
      <c r="D2500" s="1" t="s">
        <v>6431</v>
      </c>
      <c r="E2500" s="1" t="str">
        <f>"8415"</f>
        <v>8415</v>
      </c>
      <c r="F2500" s="1" t="str">
        <f>"015580902"</f>
        <v>015580902</v>
      </c>
      <c r="G2500" s="1" t="s">
        <v>6430</v>
      </c>
      <c r="H2500" s="1" t="s">
        <v>15</v>
      </c>
      <c r="I2500" s="1" t="str">
        <f>"2"</f>
        <v>2</v>
      </c>
      <c r="J2500" s="3">
        <v>122.95</v>
      </c>
      <c r="K2500" s="4">
        <v>46060</v>
      </c>
      <c r="L2500" s="4">
        <v>46065</v>
      </c>
      <c r="M2500" s="1" t="s">
        <v>4524</v>
      </c>
      <c r="N2500" s="1" t="s">
        <v>6429</v>
      </c>
    </row>
    <row r="2501" spans="1:14" s="1" customFormat="1" x14ac:dyDescent="0.35">
      <c r="A2501" s="1" t="s">
        <v>4492</v>
      </c>
      <c r="B2501" s="1" t="s">
        <v>802</v>
      </c>
      <c r="C2501" s="1" t="s">
        <v>803</v>
      </c>
      <c r="D2501" s="1" t="s">
        <v>6428</v>
      </c>
      <c r="E2501" s="1" t="str">
        <f>"8415"</f>
        <v>8415</v>
      </c>
      <c r="F2501" s="1" t="str">
        <f>"015802861"</f>
        <v>015802861</v>
      </c>
      <c r="G2501" s="1" t="s">
        <v>18</v>
      </c>
      <c r="H2501" s="1" t="s">
        <v>15</v>
      </c>
      <c r="I2501" s="1" t="str">
        <f>"1"</f>
        <v>1</v>
      </c>
      <c r="J2501" s="3">
        <v>146.81</v>
      </c>
      <c r="K2501" s="4">
        <v>46074</v>
      </c>
      <c r="L2501" s="4">
        <v>46088</v>
      </c>
      <c r="M2501" s="1" t="s">
        <v>4524</v>
      </c>
      <c r="N2501" s="1" t="s">
        <v>828</v>
      </c>
    </row>
    <row r="2502" spans="1:14" s="1" customFormat="1" x14ac:dyDescent="0.35">
      <c r="A2502" s="1" t="s">
        <v>4492</v>
      </c>
      <c r="B2502" s="1" t="s">
        <v>802</v>
      </c>
      <c r="C2502" s="1" t="s">
        <v>803</v>
      </c>
      <c r="D2502" s="1" t="s">
        <v>6427</v>
      </c>
      <c r="E2502" s="1" t="str">
        <f>"5845"</f>
        <v>5845</v>
      </c>
      <c r="F2502" s="1" t="str">
        <f>"015856680"</f>
        <v>015856680</v>
      </c>
      <c r="G2502" s="1" t="s">
        <v>2841</v>
      </c>
      <c r="H2502" s="1" t="s">
        <v>15</v>
      </c>
      <c r="I2502" s="1" t="str">
        <f>"2"</f>
        <v>2</v>
      </c>
      <c r="J2502" s="3">
        <v>4802.62</v>
      </c>
      <c r="K2502" s="4">
        <v>46076</v>
      </c>
      <c r="L2502" s="4">
        <v>46088</v>
      </c>
      <c r="M2502" s="1" t="s">
        <v>4524</v>
      </c>
      <c r="N2502" s="1" t="s">
        <v>6426</v>
      </c>
    </row>
    <row r="2503" spans="1:14" s="1" customFormat="1" x14ac:dyDescent="0.35">
      <c r="A2503" s="1" t="s">
        <v>4492</v>
      </c>
      <c r="B2503" s="1" t="s">
        <v>802</v>
      </c>
      <c r="C2503" s="1" t="s">
        <v>803</v>
      </c>
      <c r="D2503" s="1" t="s">
        <v>6425</v>
      </c>
      <c r="E2503" s="1" t="str">
        <f>"8415"</f>
        <v>8415</v>
      </c>
      <c r="F2503" s="1" t="str">
        <f>"016425579"</f>
        <v>016425579</v>
      </c>
      <c r="G2503" s="1" t="s">
        <v>2097</v>
      </c>
      <c r="H2503" s="1" t="s">
        <v>15</v>
      </c>
      <c r="I2503" s="1" t="str">
        <f>"1"</f>
        <v>1</v>
      </c>
      <c r="J2503" s="3">
        <v>609.72</v>
      </c>
      <c r="K2503" s="4">
        <v>46082</v>
      </c>
      <c r="L2503" s="4">
        <v>46083</v>
      </c>
      <c r="M2503" s="1" t="s">
        <v>4524</v>
      </c>
      <c r="N2503" s="1" t="s">
        <v>820</v>
      </c>
    </row>
    <row r="2504" spans="1:14" s="1" customFormat="1" x14ac:dyDescent="0.35">
      <c r="A2504" s="1" t="s">
        <v>4492</v>
      </c>
      <c r="B2504" s="1" t="s">
        <v>802</v>
      </c>
      <c r="C2504" s="1" t="s">
        <v>803</v>
      </c>
      <c r="D2504" s="1" t="s">
        <v>6424</v>
      </c>
      <c r="E2504" s="1" t="str">
        <f>"8415"</f>
        <v>8415</v>
      </c>
      <c r="F2504" s="1" t="str">
        <f>"015802854"</f>
        <v>015802854</v>
      </c>
      <c r="G2504" s="1" t="s">
        <v>18</v>
      </c>
      <c r="H2504" s="1" t="s">
        <v>15</v>
      </c>
      <c r="I2504" s="1" t="str">
        <f>"1"</f>
        <v>1</v>
      </c>
      <c r="J2504" s="3">
        <v>146.83000000000001</v>
      </c>
      <c r="K2504" s="4">
        <v>46082</v>
      </c>
      <c r="L2504" s="4">
        <v>46095</v>
      </c>
      <c r="M2504" s="1" t="s">
        <v>6423</v>
      </c>
      <c r="N2504" s="1" t="s">
        <v>6422</v>
      </c>
    </row>
    <row r="2505" spans="1:14" s="1" customFormat="1" x14ac:dyDescent="0.35">
      <c r="A2505" s="1" t="s">
        <v>4492</v>
      </c>
      <c r="B2505" s="1" t="s">
        <v>802</v>
      </c>
      <c r="C2505" s="1" t="s">
        <v>803</v>
      </c>
      <c r="D2505" s="1" t="s">
        <v>6421</v>
      </c>
      <c r="E2505" s="1" t="str">
        <f>"4240"</f>
        <v>4240</v>
      </c>
      <c r="F2505" s="1" t="str">
        <f>"015835742"</f>
        <v>015835742</v>
      </c>
      <c r="G2505" s="1" t="s">
        <v>1404</v>
      </c>
      <c r="H2505" s="1" t="s">
        <v>15</v>
      </c>
      <c r="I2505" s="1" t="str">
        <f>"6"</f>
        <v>6</v>
      </c>
      <c r="J2505" s="3">
        <v>63.41</v>
      </c>
      <c r="K2505" s="4">
        <v>46096</v>
      </c>
      <c r="L2505" s="4">
        <v>46101</v>
      </c>
      <c r="M2505" s="1" t="s">
        <v>4524</v>
      </c>
      <c r="N2505" s="1" t="s">
        <v>6420</v>
      </c>
    </row>
    <row r="2506" spans="1:14" s="1" customFormat="1" x14ac:dyDescent="0.35">
      <c r="A2506" s="1" t="s">
        <v>4492</v>
      </c>
      <c r="B2506" s="1" t="s">
        <v>802</v>
      </c>
      <c r="C2506" s="1" t="s">
        <v>803</v>
      </c>
      <c r="D2506" s="1" t="s">
        <v>6419</v>
      </c>
      <c r="E2506" s="1" t="str">
        <f>"2340"</f>
        <v>2340</v>
      </c>
      <c r="F2506" s="1" t="s">
        <v>1071</v>
      </c>
      <c r="G2506" s="1" t="s">
        <v>1072</v>
      </c>
      <c r="H2506" s="1" t="s">
        <v>15</v>
      </c>
      <c r="I2506" s="1" t="str">
        <f>"1"</f>
        <v>1</v>
      </c>
      <c r="J2506" s="3" t="str">
        <f>"5000"</f>
        <v>5000</v>
      </c>
      <c r="K2506" s="4">
        <v>46096</v>
      </c>
      <c r="L2506" s="4">
        <v>46100</v>
      </c>
      <c r="M2506" s="1" t="s">
        <v>4524</v>
      </c>
      <c r="N2506" s="1" t="s">
        <v>6418</v>
      </c>
    </row>
    <row r="2507" spans="1:14" s="1" customFormat="1" x14ac:dyDescent="0.35">
      <c r="A2507" s="1" t="s">
        <v>4492</v>
      </c>
      <c r="B2507" s="1" t="s">
        <v>802</v>
      </c>
      <c r="C2507" s="1" t="s">
        <v>803</v>
      </c>
      <c r="D2507" s="1" t="s">
        <v>6417</v>
      </c>
      <c r="E2507" s="1" t="str">
        <f>"2340"</f>
        <v>2340</v>
      </c>
      <c r="F2507" s="1" t="s">
        <v>1071</v>
      </c>
      <c r="G2507" s="1" t="s">
        <v>1072</v>
      </c>
      <c r="H2507" s="1" t="s">
        <v>15</v>
      </c>
      <c r="I2507" s="1" t="str">
        <f>"1"</f>
        <v>1</v>
      </c>
      <c r="J2507" s="3" t="str">
        <f>"5000"</f>
        <v>5000</v>
      </c>
      <c r="K2507" s="4">
        <v>46096</v>
      </c>
      <c r="L2507" s="4">
        <v>46100</v>
      </c>
      <c r="M2507" s="1" t="s">
        <v>4524</v>
      </c>
      <c r="N2507" s="1" t="s">
        <v>6416</v>
      </c>
    </row>
    <row r="2508" spans="1:14" s="1" customFormat="1" x14ac:dyDescent="0.35">
      <c r="A2508" s="1" t="s">
        <v>4492</v>
      </c>
      <c r="B2508" s="1" t="s">
        <v>4381</v>
      </c>
      <c r="C2508" s="1" t="s">
        <v>6415</v>
      </c>
      <c r="D2508" s="1" t="s">
        <v>6414</v>
      </c>
      <c r="E2508" s="1" t="str">
        <f>"2610"</f>
        <v>2610</v>
      </c>
      <c r="F2508" s="1" t="str">
        <f>"015592516"</f>
        <v>015592516</v>
      </c>
      <c r="G2508" s="1" t="s">
        <v>729</v>
      </c>
      <c r="H2508" s="1" t="s">
        <v>15</v>
      </c>
      <c r="I2508" s="1" t="str">
        <f>"4"</f>
        <v>4</v>
      </c>
      <c r="J2508" s="3">
        <v>1613.48</v>
      </c>
      <c r="K2508" s="4">
        <v>46003</v>
      </c>
      <c r="L2508" s="4">
        <v>46029</v>
      </c>
      <c r="M2508" s="1" t="s">
        <v>6413</v>
      </c>
      <c r="N2508" s="1" t="s">
        <v>6412</v>
      </c>
    </row>
    <row r="2509" spans="1:14" s="1" customFormat="1" x14ac:dyDescent="0.35">
      <c r="A2509" s="1" t="s">
        <v>4492</v>
      </c>
      <c r="B2509" s="1" t="s">
        <v>4381</v>
      </c>
      <c r="C2509" s="1" t="s">
        <v>6411</v>
      </c>
      <c r="D2509" s="1" t="s">
        <v>6410</v>
      </c>
      <c r="E2509" s="1" t="str">
        <f>"7830"</f>
        <v>7830</v>
      </c>
      <c r="F2509" s="1" t="s">
        <v>2167</v>
      </c>
      <c r="G2509" s="1" t="s">
        <v>2168</v>
      </c>
      <c r="H2509" s="1" t="s">
        <v>15</v>
      </c>
      <c r="I2509" s="1" t="str">
        <f>"1"</f>
        <v>1</v>
      </c>
      <c r="J2509" s="3" t="str">
        <f>"7425"</f>
        <v>7425</v>
      </c>
      <c r="K2509" s="4">
        <v>45985</v>
      </c>
      <c r="L2509" s="4">
        <v>46027</v>
      </c>
      <c r="M2509" s="1" t="s">
        <v>6409</v>
      </c>
      <c r="N2509" s="1" t="s">
        <v>6408</v>
      </c>
    </row>
    <row r="2510" spans="1:14" s="1" customFormat="1" x14ac:dyDescent="0.35">
      <c r="A2510" s="1" t="s">
        <v>4492</v>
      </c>
      <c r="B2510" s="1" t="s">
        <v>1284</v>
      </c>
      <c r="C2510" s="1" t="s">
        <v>1285</v>
      </c>
      <c r="D2510" s="1" t="s">
        <v>6407</v>
      </c>
      <c r="E2510" s="1" t="str">
        <f>"1240"</f>
        <v>1240</v>
      </c>
      <c r="F2510" s="1" t="s">
        <v>1364</v>
      </c>
      <c r="G2510" s="1" t="s">
        <v>1365</v>
      </c>
      <c r="H2510" s="1" t="s">
        <v>15</v>
      </c>
      <c r="I2510" s="1" t="str">
        <f>"14"</f>
        <v>14</v>
      </c>
      <c r="J2510" s="3">
        <v>602.34</v>
      </c>
      <c r="K2510" s="4">
        <v>46070</v>
      </c>
      <c r="L2510" s="4">
        <v>46072</v>
      </c>
      <c r="M2510" s="1" t="s">
        <v>4556</v>
      </c>
      <c r="N2510" s="1" t="s">
        <v>6406</v>
      </c>
    </row>
    <row r="2511" spans="1:14" s="1" customFormat="1" x14ac:dyDescent="0.35">
      <c r="A2511" s="1" t="s">
        <v>4492</v>
      </c>
      <c r="B2511" s="1" t="s">
        <v>1284</v>
      </c>
      <c r="C2511" s="1" t="s">
        <v>1285</v>
      </c>
      <c r="D2511" s="1" t="s">
        <v>6405</v>
      </c>
      <c r="E2511" s="1" t="str">
        <f>"5855"</f>
        <v>5855</v>
      </c>
      <c r="F2511" s="1" t="str">
        <f>"015345931"</f>
        <v>015345931</v>
      </c>
      <c r="G2511" s="1" t="s">
        <v>742</v>
      </c>
      <c r="H2511" s="1" t="s">
        <v>15</v>
      </c>
      <c r="I2511" s="1" t="str">
        <f>"20"</f>
        <v>20</v>
      </c>
      <c r="J2511" s="3" t="str">
        <f>"970"</f>
        <v>970</v>
      </c>
      <c r="K2511" s="4">
        <v>46070</v>
      </c>
      <c r="L2511" s="4">
        <v>46072</v>
      </c>
      <c r="M2511" s="1" t="s">
        <v>4556</v>
      </c>
      <c r="N2511" s="1" t="s">
        <v>6404</v>
      </c>
    </row>
    <row r="2512" spans="1:14" s="1" customFormat="1" x14ac:dyDescent="0.35">
      <c r="A2512" s="1" t="s">
        <v>4492</v>
      </c>
      <c r="B2512" s="1" t="s">
        <v>1284</v>
      </c>
      <c r="C2512" s="1" t="s">
        <v>1285</v>
      </c>
      <c r="D2512" s="1" t="s">
        <v>6403</v>
      </c>
      <c r="E2512" s="1" t="str">
        <f>"5895"</f>
        <v>5895</v>
      </c>
      <c r="F2512" s="1" t="str">
        <f>"015984531"</f>
        <v>015984531</v>
      </c>
      <c r="G2512" s="1" t="s">
        <v>1373</v>
      </c>
      <c r="H2512" s="1" t="s">
        <v>168</v>
      </c>
      <c r="I2512" s="1" t="str">
        <f>"22"</f>
        <v>22</v>
      </c>
      <c r="J2512" s="3">
        <v>763.74</v>
      </c>
      <c r="K2512" s="4">
        <v>46083</v>
      </c>
      <c r="L2512" s="4">
        <v>46087</v>
      </c>
      <c r="M2512" s="1" t="s">
        <v>6402</v>
      </c>
      <c r="N2512" s="1" t="s">
        <v>6401</v>
      </c>
    </row>
    <row r="2513" spans="1:14" s="1" customFormat="1" x14ac:dyDescent="0.35">
      <c r="A2513" s="1" t="s">
        <v>4492</v>
      </c>
      <c r="B2513" s="1" t="s">
        <v>1284</v>
      </c>
      <c r="C2513" s="1" t="s">
        <v>1285</v>
      </c>
      <c r="D2513" s="1" t="s">
        <v>6400</v>
      </c>
      <c r="E2513" s="1" t="str">
        <f>"7830"</f>
        <v>7830</v>
      </c>
      <c r="F2513" s="1" t="s">
        <v>2008</v>
      </c>
      <c r="G2513" s="1" t="s">
        <v>2009</v>
      </c>
      <c r="H2513" s="1" t="s">
        <v>15</v>
      </c>
      <c r="I2513" s="1" t="str">
        <f>"1"</f>
        <v>1</v>
      </c>
      <c r="J2513" s="3" t="str">
        <f>"4405"</f>
        <v>4405</v>
      </c>
      <c r="K2513" s="4">
        <v>46089</v>
      </c>
      <c r="L2513" s="4">
        <v>46097</v>
      </c>
      <c r="M2513" s="1" t="s">
        <v>6399</v>
      </c>
      <c r="N2513" s="1" t="s">
        <v>6396</v>
      </c>
    </row>
    <row r="2514" spans="1:14" s="1" customFormat="1" x14ac:dyDescent="0.35">
      <c r="A2514" s="1" t="s">
        <v>4492</v>
      </c>
      <c r="B2514" s="1" t="s">
        <v>1284</v>
      </c>
      <c r="C2514" s="1" t="s">
        <v>1285</v>
      </c>
      <c r="D2514" s="1" t="s">
        <v>6398</v>
      </c>
      <c r="E2514" s="1" t="str">
        <f>"7830"</f>
        <v>7830</v>
      </c>
      <c r="F2514" s="1" t="s">
        <v>2008</v>
      </c>
      <c r="G2514" s="1" t="s">
        <v>2009</v>
      </c>
      <c r="H2514" s="1" t="s">
        <v>15</v>
      </c>
      <c r="I2514" s="1" t="str">
        <f>"1"</f>
        <v>1</v>
      </c>
      <c r="J2514" s="3" t="str">
        <f>"6445"</f>
        <v>6445</v>
      </c>
      <c r="K2514" s="4">
        <v>46089</v>
      </c>
      <c r="L2514" s="4">
        <v>46097</v>
      </c>
      <c r="M2514" s="1" t="s">
        <v>6397</v>
      </c>
      <c r="N2514" s="1" t="s">
        <v>6396</v>
      </c>
    </row>
    <row r="2515" spans="1:14" s="1" customFormat="1" x14ac:dyDescent="0.35">
      <c r="A2515" s="1" t="s">
        <v>4492</v>
      </c>
      <c r="B2515" s="1" t="s">
        <v>1284</v>
      </c>
      <c r="C2515" s="1" t="s">
        <v>1285</v>
      </c>
      <c r="D2515" s="1" t="s">
        <v>6395</v>
      </c>
      <c r="E2515" s="1" t="str">
        <f>"8415"</f>
        <v>8415</v>
      </c>
      <c r="F2515" s="1" t="s">
        <v>1944</v>
      </c>
      <c r="G2515" s="1" t="s">
        <v>1945</v>
      </c>
      <c r="H2515" s="1" t="s">
        <v>15</v>
      </c>
      <c r="I2515" s="1" t="str">
        <f>"6"</f>
        <v>6</v>
      </c>
      <c r="J2515" s="3">
        <v>51.4</v>
      </c>
      <c r="K2515" s="4">
        <v>46090</v>
      </c>
      <c r="L2515" s="4">
        <v>46093</v>
      </c>
      <c r="M2515" s="1" t="s">
        <v>6394</v>
      </c>
      <c r="N2515" s="1" t="s">
        <v>6393</v>
      </c>
    </row>
    <row r="2516" spans="1:14" s="1" customFormat="1" x14ac:dyDescent="0.35">
      <c r="A2516" s="1" t="s">
        <v>4492</v>
      </c>
      <c r="B2516" s="1" t="s">
        <v>1284</v>
      </c>
      <c r="C2516" s="1" t="s">
        <v>1285</v>
      </c>
      <c r="D2516" s="1" t="s">
        <v>6392</v>
      </c>
      <c r="E2516" s="1" t="str">
        <f>"8415"</f>
        <v>8415</v>
      </c>
      <c r="F2516" s="1" t="str">
        <f>"016289572"</f>
        <v>016289572</v>
      </c>
      <c r="G2516" s="1" t="s">
        <v>6391</v>
      </c>
      <c r="H2516" s="1" t="s">
        <v>15</v>
      </c>
      <c r="I2516" s="1" t="str">
        <f>"20"</f>
        <v>20</v>
      </c>
      <c r="J2516" s="3">
        <v>51.4</v>
      </c>
      <c r="K2516" s="4">
        <v>46092</v>
      </c>
      <c r="L2516" s="4">
        <v>46101</v>
      </c>
      <c r="M2516" s="1" t="s">
        <v>6390</v>
      </c>
      <c r="N2516" s="1" t="s">
        <v>6389</v>
      </c>
    </row>
    <row r="2517" spans="1:14" s="1" customFormat="1" x14ac:dyDescent="0.35">
      <c r="A2517" s="1" t="s">
        <v>4492</v>
      </c>
      <c r="B2517" s="1" t="s">
        <v>1284</v>
      </c>
      <c r="C2517" s="1" t="s">
        <v>1285</v>
      </c>
      <c r="D2517" s="1" t="s">
        <v>6388</v>
      </c>
      <c r="E2517" s="1" t="str">
        <f>"7830"</f>
        <v>7830</v>
      </c>
      <c r="F2517" s="1" t="s">
        <v>2008</v>
      </c>
      <c r="G2517" s="1" t="s">
        <v>2009</v>
      </c>
      <c r="H2517" s="1" t="s">
        <v>15</v>
      </c>
      <c r="I2517" s="1" t="str">
        <f>"1"</f>
        <v>1</v>
      </c>
      <c r="J2517" s="3" t="str">
        <f>"500"</f>
        <v>500</v>
      </c>
      <c r="K2517" s="4">
        <v>46093</v>
      </c>
      <c r="L2517" s="4">
        <v>46099</v>
      </c>
      <c r="M2517" s="1" t="s">
        <v>6387</v>
      </c>
      <c r="N2517" s="1" t="s">
        <v>6386</v>
      </c>
    </row>
    <row r="2518" spans="1:14" s="1" customFormat="1" x14ac:dyDescent="0.35">
      <c r="A2518" s="1" t="s">
        <v>4492</v>
      </c>
      <c r="B2518" s="1" t="s">
        <v>1284</v>
      </c>
      <c r="C2518" s="1" t="s">
        <v>1285</v>
      </c>
      <c r="D2518" s="1" t="s">
        <v>6385</v>
      </c>
      <c r="E2518" s="1" t="str">
        <f>"5855"</f>
        <v>5855</v>
      </c>
      <c r="F2518" s="1" t="str">
        <f>"015096872"</f>
        <v>015096872</v>
      </c>
      <c r="G2518" s="1" t="s">
        <v>6239</v>
      </c>
      <c r="H2518" s="1" t="s">
        <v>15</v>
      </c>
      <c r="I2518" s="1" t="str">
        <f>"1"</f>
        <v>1</v>
      </c>
      <c r="J2518" s="3" t="str">
        <f>"1160"</f>
        <v>1160</v>
      </c>
      <c r="K2518" s="4">
        <v>46097</v>
      </c>
      <c r="L2518" s="4">
        <v>46098</v>
      </c>
      <c r="M2518" s="1" t="s">
        <v>4524</v>
      </c>
      <c r="N2518" s="1" t="s">
        <v>6384</v>
      </c>
    </row>
    <row r="2519" spans="1:14" s="1" customFormat="1" x14ac:dyDescent="0.35">
      <c r="A2519" s="1" t="s">
        <v>4492</v>
      </c>
      <c r="B2519" s="1" t="s">
        <v>1284</v>
      </c>
      <c r="C2519" s="1" t="s">
        <v>1285</v>
      </c>
      <c r="D2519" s="1" t="s">
        <v>6383</v>
      </c>
      <c r="E2519" s="1" t="str">
        <f>"8145"</f>
        <v>8145</v>
      </c>
      <c r="F2519" s="1" t="s">
        <v>2453</v>
      </c>
      <c r="G2519" s="1" t="s">
        <v>2454</v>
      </c>
      <c r="H2519" s="1" t="s">
        <v>15</v>
      </c>
      <c r="I2519" s="1" t="str">
        <f>"1"</f>
        <v>1</v>
      </c>
      <c r="J2519" s="3" t="str">
        <f>"300"</f>
        <v>300</v>
      </c>
      <c r="K2519" s="4">
        <v>46097</v>
      </c>
      <c r="L2519" s="4">
        <v>46099</v>
      </c>
      <c r="M2519" s="1" t="s">
        <v>4524</v>
      </c>
      <c r="N2519" s="1" t="s">
        <v>6382</v>
      </c>
    </row>
    <row r="2520" spans="1:14" s="1" customFormat="1" x14ac:dyDescent="0.35">
      <c r="A2520" s="1" t="s">
        <v>4492</v>
      </c>
      <c r="B2520" s="1" t="s">
        <v>1284</v>
      </c>
      <c r="C2520" s="1" t="s">
        <v>1285</v>
      </c>
      <c r="D2520" s="1" t="s">
        <v>6381</v>
      </c>
      <c r="E2520" s="1" t="str">
        <f>"5855"</f>
        <v>5855</v>
      </c>
      <c r="F2520" s="1" t="str">
        <f>"015847217"</f>
        <v>015847217</v>
      </c>
      <c r="G2520" s="1" t="s">
        <v>614</v>
      </c>
      <c r="H2520" s="1" t="s">
        <v>15</v>
      </c>
      <c r="I2520" s="1" t="str">
        <f>"5"</f>
        <v>5</v>
      </c>
      <c r="J2520" s="3" t="str">
        <f>"34084"</f>
        <v>34084</v>
      </c>
      <c r="K2520" s="4">
        <v>46097</v>
      </c>
      <c r="L2520" s="4">
        <v>46100</v>
      </c>
      <c r="M2520" s="1" t="s">
        <v>6380</v>
      </c>
      <c r="N2520" s="1" t="s">
        <v>6379</v>
      </c>
    </row>
    <row r="2521" spans="1:14" s="1" customFormat="1" x14ac:dyDescent="0.35">
      <c r="A2521" s="1" t="s">
        <v>4492</v>
      </c>
      <c r="B2521" s="1" t="s">
        <v>1284</v>
      </c>
      <c r="C2521" s="1" t="s">
        <v>1285</v>
      </c>
      <c r="D2521" s="1" t="s">
        <v>6378</v>
      </c>
      <c r="E2521" s="1" t="str">
        <f>"6650"</f>
        <v>6650</v>
      </c>
      <c r="F2521" s="1" t="s">
        <v>6377</v>
      </c>
      <c r="G2521" s="1" t="s">
        <v>6376</v>
      </c>
      <c r="H2521" s="1" t="s">
        <v>15</v>
      </c>
      <c r="I2521" s="1" t="str">
        <f>"1"</f>
        <v>1</v>
      </c>
      <c r="J2521" s="3" t="str">
        <f>"500"</f>
        <v>500</v>
      </c>
      <c r="K2521" s="4">
        <v>46101</v>
      </c>
      <c r="L2521" s="4">
        <v>46105</v>
      </c>
      <c r="M2521" s="1" t="s">
        <v>4524</v>
      </c>
      <c r="N2521" s="1" t="s">
        <v>6375</v>
      </c>
    </row>
    <row r="2522" spans="1:14" s="1" customFormat="1" x14ac:dyDescent="0.35">
      <c r="A2522" s="1" t="s">
        <v>4492</v>
      </c>
      <c r="B2522" s="1" t="s">
        <v>1284</v>
      </c>
      <c r="C2522" s="1" t="s">
        <v>1285</v>
      </c>
      <c r="D2522" s="1" t="s">
        <v>6374</v>
      </c>
      <c r="E2522" s="1" t="str">
        <f>"7830"</f>
        <v>7830</v>
      </c>
      <c r="F2522" s="1" t="s">
        <v>2167</v>
      </c>
      <c r="G2522" s="1" t="s">
        <v>2168</v>
      </c>
      <c r="H2522" s="1" t="s">
        <v>15</v>
      </c>
      <c r="I2522" s="1" t="str">
        <f>"1"</f>
        <v>1</v>
      </c>
      <c r="J2522" s="3" t="str">
        <f>"500"</f>
        <v>500</v>
      </c>
      <c r="K2522" s="4">
        <v>46104</v>
      </c>
      <c r="L2522" s="4">
        <v>46106</v>
      </c>
      <c r="M2522" s="1" t="s">
        <v>6373</v>
      </c>
      <c r="N2522" s="1" t="s">
        <v>6372</v>
      </c>
    </row>
    <row r="2523" spans="1:14" s="1" customFormat="1" x14ac:dyDescent="0.35">
      <c r="A2523" s="1" t="s">
        <v>4492</v>
      </c>
      <c r="B2523" s="1" t="s">
        <v>1284</v>
      </c>
      <c r="C2523" s="1" t="s">
        <v>1285</v>
      </c>
      <c r="D2523" s="1" t="s">
        <v>6371</v>
      </c>
      <c r="E2523" s="1" t="str">
        <f>"8145"</f>
        <v>8145</v>
      </c>
      <c r="F2523" s="1" t="s">
        <v>6370</v>
      </c>
      <c r="G2523" s="1" t="s">
        <v>6369</v>
      </c>
      <c r="H2523" s="1" t="s">
        <v>15</v>
      </c>
      <c r="I2523" s="1" t="str">
        <f>"1"</f>
        <v>1</v>
      </c>
      <c r="J2523" s="3" t="str">
        <f>"58"</f>
        <v>58</v>
      </c>
      <c r="K2523" s="4">
        <v>46104</v>
      </c>
      <c r="L2523" s="4">
        <v>46107</v>
      </c>
      <c r="M2523" s="1" t="s">
        <v>6368</v>
      </c>
      <c r="N2523" s="1" t="s">
        <v>6367</v>
      </c>
    </row>
    <row r="2524" spans="1:14" s="1" customFormat="1" x14ac:dyDescent="0.35">
      <c r="A2524" s="1" t="s">
        <v>4492</v>
      </c>
      <c r="B2524" s="1" t="s">
        <v>1284</v>
      </c>
      <c r="C2524" s="1" t="s">
        <v>1285</v>
      </c>
      <c r="D2524" s="1" t="s">
        <v>6366</v>
      </c>
      <c r="E2524" s="1" t="str">
        <f>"8115"</f>
        <v>8115</v>
      </c>
      <c r="F2524" s="1" t="s">
        <v>412</v>
      </c>
      <c r="G2524" s="1" t="s">
        <v>413</v>
      </c>
      <c r="H2524" s="1" t="s">
        <v>15</v>
      </c>
      <c r="I2524" s="1" t="str">
        <f>"3"</f>
        <v>3</v>
      </c>
      <c r="J2524" s="3" t="str">
        <f>"72"</f>
        <v>72</v>
      </c>
      <c r="K2524" s="4">
        <v>46105</v>
      </c>
      <c r="L2524" s="4">
        <v>46110</v>
      </c>
      <c r="M2524" s="1" t="s">
        <v>6365</v>
      </c>
      <c r="N2524" s="1" t="s">
        <v>6364</v>
      </c>
    </row>
    <row r="2525" spans="1:14" s="1" customFormat="1" x14ac:dyDescent="0.35">
      <c r="A2525" s="1" t="s">
        <v>4492</v>
      </c>
      <c r="B2525" s="1" t="s">
        <v>1284</v>
      </c>
      <c r="C2525" s="1" t="s">
        <v>1285</v>
      </c>
      <c r="D2525" s="1" t="s">
        <v>6363</v>
      </c>
      <c r="E2525" s="1" t="str">
        <f>"7830"</f>
        <v>7830</v>
      </c>
      <c r="F2525" s="1" t="s">
        <v>2004</v>
      </c>
      <c r="G2525" s="1" t="s">
        <v>2005</v>
      </c>
      <c r="H2525" s="1" t="s">
        <v>15</v>
      </c>
      <c r="I2525" s="1" t="str">
        <f>"1"</f>
        <v>1</v>
      </c>
      <c r="J2525" s="3" t="str">
        <f>"100"</f>
        <v>100</v>
      </c>
      <c r="K2525" s="4">
        <v>46105</v>
      </c>
      <c r="L2525" s="4">
        <v>46109</v>
      </c>
      <c r="M2525" s="1" t="s">
        <v>6362</v>
      </c>
      <c r="N2525" s="1" t="s">
        <v>6361</v>
      </c>
    </row>
    <row r="2526" spans="1:14" s="1" customFormat="1" x14ac:dyDescent="0.35">
      <c r="A2526" s="1" t="s">
        <v>4492</v>
      </c>
      <c r="B2526" s="1" t="s">
        <v>1284</v>
      </c>
      <c r="C2526" s="1" t="s">
        <v>1285</v>
      </c>
      <c r="D2526" s="1" t="s">
        <v>6360</v>
      </c>
      <c r="E2526" s="1" t="str">
        <f>"7830"</f>
        <v>7830</v>
      </c>
      <c r="F2526" s="1" t="s">
        <v>2004</v>
      </c>
      <c r="G2526" s="1" t="s">
        <v>2005</v>
      </c>
      <c r="H2526" s="1" t="s">
        <v>15</v>
      </c>
      <c r="I2526" s="1" t="str">
        <f>"1"</f>
        <v>1</v>
      </c>
      <c r="J2526" s="3" t="str">
        <f>"356"</f>
        <v>356</v>
      </c>
      <c r="K2526" s="4">
        <v>46105</v>
      </c>
      <c r="L2526" s="4">
        <v>46106</v>
      </c>
      <c r="M2526" s="1" t="s">
        <v>4524</v>
      </c>
      <c r="N2526" s="1" t="s">
        <v>6359</v>
      </c>
    </row>
    <row r="2527" spans="1:14" s="1" customFormat="1" x14ac:dyDescent="0.35">
      <c r="A2527" s="1" t="s">
        <v>4492</v>
      </c>
      <c r="B2527" s="1" t="s">
        <v>1284</v>
      </c>
      <c r="C2527" s="1" t="s">
        <v>1285</v>
      </c>
      <c r="D2527" s="1" t="s">
        <v>6358</v>
      </c>
      <c r="E2527" s="1" t="str">
        <f>"1240"</f>
        <v>1240</v>
      </c>
      <c r="F2527" s="1" t="str">
        <f>"015879762"</f>
        <v>015879762</v>
      </c>
      <c r="G2527" s="1" t="s">
        <v>71</v>
      </c>
      <c r="H2527" s="1" t="s">
        <v>15</v>
      </c>
      <c r="I2527" s="1" t="str">
        <f>"1"</f>
        <v>1</v>
      </c>
      <c r="J2527" s="3" t="str">
        <f>"655"</f>
        <v>655</v>
      </c>
      <c r="K2527" s="4">
        <v>46107</v>
      </c>
      <c r="L2527" s="4">
        <v>46108</v>
      </c>
      <c r="M2527" s="1" t="s">
        <v>4524</v>
      </c>
      <c r="N2527" s="1" t="s">
        <v>6357</v>
      </c>
    </row>
    <row r="2528" spans="1:14" s="1" customFormat="1" x14ac:dyDescent="0.35">
      <c r="A2528" s="1" t="s">
        <v>4492</v>
      </c>
      <c r="B2528" s="1" t="s">
        <v>1284</v>
      </c>
      <c r="C2528" s="1" t="s">
        <v>1285</v>
      </c>
      <c r="D2528" s="1" t="s">
        <v>6356</v>
      </c>
      <c r="E2528" s="1" t="str">
        <f>"1240"</f>
        <v>1240</v>
      </c>
      <c r="F2528" s="1" t="s">
        <v>1364</v>
      </c>
      <c r="G2528" s="1" t="s">
        <v>1365</v>
      </c>
      <c r="H2528" s="1" t="s">
        <v>15</v>
      </c>
      <c r="I2528" s="1" t="str">
        <f>"4"</f>
        <v>4</v>
      </c>
      <c r="J2528" s="3" t="str">
        <f>"1500"</f>
        <v>1500</v>
      </c>
      <c r="K2528" s="4">
        <v>46107</v>
      </c>
      <c r="L2528" s="4">
        <v>46108</v>
      </c>
      <c r="M2528" s="1" t="s">
        <v>4524</v>
      </c>
      <c r="N2528" s="1" t="s">
        <v>6355</v>
      </c>
    </row>
    <row r="2529" spans="1:14" s="1" customFormat="1" x14ac:dyDescent="0.35">
      <c r="A2529" s="1" t="s">
        <v>4492</v>
      </c>
      <c r="B2529" s="1" t="s">
        <v>1284</v>
      </c>
      <c r="C2529" s="1" t="s">
        <v>1285</v>
      </c>
      <c r="D2529" s="1" t="s">
        <v>6354</v>
      </c>
      <c r="E2529" s="1" t="str">
        <f>"1240"</f>
        <v>1240</v>
      </c>
      <c r="F2529" s="1" t="s">
        <v>1364</v>
      </c>
      <c r="G2529" s="1" t="s">
        <v>1365</v>
      </c>
      <c r="H2529" s="1" t="s">
        <v>15</v>
      </c>
      <c r="I2529" s="1" t="str">
        <f>"2"</f>
        <v>2</v>
      </c>
      <c r="J2529" s="3" t="str">
        <f>"1000"</f>
        <v>1000</v>
      </c>
      <c r="K2529" s="4">
        <v>46107</v>
      </c>
      <c r="L2529" s="4">
        <v>46108</v>
      </c>
      <c r="M2529" s="1" t="s">
        <v>4524</v>
      </c>
      <c r="N2529" s="1" t="s">
        <v>6351</v>
      </c>
    </row>
    <row r="2530" spans="1:14" s="1" customFormat="1" x14ac:dyDescent="0.35">
      <c r="A2530" s="1" t="s">
        <v>4492</v>
      </c>
      <c r="B2530" s="1" t="s">
        <v>1284</v>
      </c>
      <c r="C2530" s="1" t="s">
        <v>1285</v>
      </c>
      <c r="D2530" s="1" t="s">
        <v>6353</v>
      </c>
      <c r="E2530" s="1" t="str">
        <f>"1240"</f>
        <v>1240</v>
      </c>
      <c r="F2530" s="1" t="s">
        <v>1364</v>
      </c>
      <c r="G2530" s="1" t="s">
        <v>1365</v>
      </c>
      <c r="H2530" s="1" t="s">
        <v>15</v>
      </c>
      <c r="I2530" s="1" t="str">
        <f>"3"</f>
        <v>3</v>
      </c>
      <c r="J2530" s="3" t="str">
        <f>"1500"</f>
        <v>1500</v>
      </c>
      <c r="K2530" s="4">
        <v>46107</v>
      </c>
      <c r="L2530" s="4">
        <v>46108</v>
      </c>
      <c r="M2530" s="1" t="s">
        <v>4524</v>
      </c>
      <c r="N2530" s="1" t="s">
        <v>6351</v>
      </c>
    </row>
    <row r="2531" spans="1:14" s="1" customFormat="1" x14ac:dyDescent="0.35">
      <c r="A2531" s="1" t="s">
        <v>4492</v>
      </c>
      <c r="B2531" s="1" t="s">
        <v>1284</v>
      </c>
      <c r="C2531" s="1" t="s">
        <v>1285</v>
      </c>
      <c r="D2531" s="1" t="s">
        <v>6352</v>
      </c>
      <c r="E2531" s="1" t="str">
        <f>"1240"</f>
        <v>1240</v>
      </c>
      <c r="F2531" s="1" t="str">
        <f>"016920791"</f>
        <v>016920791</v>
      </c>
      <c r="G2531" s="1" t="s">
        <v>6044</v>
      </c>
      <c r="H2531" s="1" t="s">
        <v>15</v>
      </c>
      <c r="I2531" s="1" t="str">
        <f>"4"</f>
        <v>4</v>
      </c>
      <c r="J2531" s="3" t="str">
        <f>"1500"</f>
        <v>1500</v>
      </c>
      <c r="K2531" s="4">
        <v>46107</v>
      </c>
      <c r="L2531" s="4">
        <v>46108</v>
      </c>
      <c r="M2531" s="1" t="s">
        <v>4524</v>
      </c>
      <c r="N2531" s="1" t="s">
        <v>6351</v>
      </c>
    </row>
    <row r="2532" spans="1:14" s="1" customFormat="1" x14ac:dyDescent="0.35">
      <c r="A2532" s="1" t="s">
        <v>4492</v>
      </c>
      <c r="B2532" s="1" t="s">
        <v>1284</v>
      </c>
      <c r="C2532" s="1" t="s">
        <v>1285</v>
      </c>
      <c r="D2532" s="1" t="s">
        <v>6350</v>
      </c>
      <c r="E2532" s="1" t="str">
        <f>"2360"</f>
        <v>2360</v>
      </c>
      <c r="F2532" s="1" t="str">
        <f>"016631082"</f>
        <v>016631082</v>
      </c>
      <c r="G2532" s="1" t="s">
        <v>1275</v>
      </c>
      <c r="H2532" s="1" t="s">
        <v>15</v>
      </c>
      <c r="I2532" s="1" t="str">
        <f>"1"</f>
        <v>1</v>
      </c>
      <c r="J2532" s="3" t="str">
        <f>"77060"</f>
        <v>77060</v>
      </c>
      <c r="K2532" s="4">
        <v>46083</v>
      </c>
      <c r="L2532" s="4">
        <v>46087</v>
      </c>
      <c r="M2532" s="1" t="s">
        <v>6349</v>
      </c>
      <c r="N2532" s="1" t="s">
        <v>6348</v>
      </c>
    </row>
    <row r="2533" spans="1:14" s="1" customFormat="1" x14ac:dyDescent="0.35">
      <c r="A2533" s="1" t="s">
        <v>4492</v>
      </c>
      <c r="B2533" s="1" t="s">
        <v>1284</v>
      </c>
      <c r="C2533" s="1" t="s">
        <v>1285</v>
      </c>
      <c r="D2533" s="1" t="s">
        <v>6347</v>
      </c>
      <c r="E2533" s="1" t="str">
        <f>"1240"</f>
        <v>1240</v>
      </c>
      <c r="F2533" s="1" t="str">
        <f>"014111265"</f>
        <v>014111265</v>
      </c>
      <c r="G2533" s="1" t="s">
        <v>71</v>
      </c>
      <c r="H2533" s="1" t="s">
        <v>15</v>
      </c>
      <c r="I2533" s="1" t="str">
        <f>"14"</f>
        <v>14</v>
      </c>
      <c r="J2533" s="3" t="str">
        <f>"339"</f>
        <v>339</v>
      </c>
      <c r="K2533" s="4">
        <v>46104</v>
      </c>
      <c r="L2533" s="4">
        <v>46106</v>
      </c>
      <c r="M2533" s="1" t="s">
        <v>6346</v>
      </c>
      <c r="N2533" s="1" t="s">
        <v>6345</v>
      </c>
    </row>
    <row r="2534" spans="1:14" s="1" customFormat="1" x14ac:dyDescent="0.35">
      <c r="A2534" s="1" t="s">
        <v>4492</v>
      </c>
      <c r="B2534" s="1" t="s">
        <v>1453</v>
      </c>
      <c r="C2534" s="1" t="s">
        <v>1454</v>
      </c>
      <c r="D2534" s="1" t="s">
        <v>6344</v>
      </c>
      <c r="E2534" s="1" t="str">
        <f>"2320"</f>
        <v>2320</v>
      </c>
      <c r="F2534" s="1" t="s">
        <v>4526</v>
      </c>
      <c r="G2534" s="1" t="s">
        <v>4525</v>
      </c>
      <c r="H2534" s="1" t="s">
        <v>15</v>
      </c>
      <c r="I2534" s="1" t="str">
        <f>"1"</f>
        <v>1</v>
      </c>
      <c r="J2534" s="3">
        <v>610434.26</v>
      </c>
      <c r="K2534" s="4">
        <v>46056</v>
      </c>
      <c r="L2534" s="4">
        <v>46056</v>
      </c>
      <c r="M2534" s="1" t="s">
        <v>4524</v>
      </c>
      <c r="N2534" s="1" t="s">
        <v>6343</v>
      </c>
    </row>
    <row r="2535" spans="1:14" s="1" customFormat="1" x14ac:dyDescent="0.35">
      <c r="A2535" s="1" t="s">
        <v>4492</v>
      </c>
      <c r="B2535" s="1" t="s">
        <v>1791</v>
      </c>
      <c r="C2535" s="1" t="s">
        <v>1856</v>
      </c>
      <c r="D2535" s="1" t="s">
        <v>6342</v>
      </c>
      <c r="E2535" s="1" t="str">
        <f>"2320"</f>
        <v>2320</v>
      </c>
      <c r="F2535" s="1" t="s">
        <v>100</v>
      </c>
      <c r="G2535" s="1" t="s">
        <v>101</v>
      </c>
      <c r="H2535" s="1" t="s">
        <v>15</v>
      </c>
      <c r="I2535" s="1" t="str">
        <f>"1"</f>
        <v>1</v>
      </c>
      <c r="J2535" s="3" t="str">
        <f>"81925"</f>
        <v>81925</v>
      </c>
      <c r="K2535" s="4">
        <v>46031</v>
      </c>
      <c r="L2535" s="4">
        <v>46032</v>
      </c>
      <c r="M2535" s="1" t="s">
        <v>6341</v>
      </c>
      <c r="N2535" s="1" t="s">
        <v>6335</v>
      </c>
    </row>
    <row r="2536" spans="1:14" s="1" customFormat="1" x14ac:dyDescent="0.35">
      <c r="A2536" s="1" t="s">
        <v>4492</v>
      </c>
      <c r="B2536" s="1" t="s">
        <v>1791</v>
      </c>
      <c r="C2536" s="1" t="s">
        <v>1856</v>
      </c>
      <c r="D2536" s="1" t="s">
        <v>6340</v>
      </c>
      <c r="E2536" s="1" t="str">
        <f>"2320"</f>
        <v>2320</v>
      </c>
      <c r="F2536" s="1" t="str">
        <f>"013455182"</f>
        <v>013455182</v>
      </c>
      <c r="G2536" s="1" t="s">
        <v>394</v>
      </c>
      <c r="H2536" s="1" t="s">
        <v>15</v>
      </c>
      <c r="I2536" s="1" t="str">
        <f>"1"</f>
        <v>1</v>
      </c>
      <c r="J2536" s="3">
        <v>49520.89</v>
      </c>
      <c r="K2536" s="4">
        <v>46027</v>
      </c>
      <c r="L2536" s="4">
        <v>46028</v>
      </c>
      <c r="M2536" s="1" t="s">
        <v>6339</v>
      </c>
      <c r="N2536" s="1" t="s">
        <v>6338</v>
      </c>
    </row>
    <row r="2537" spans="1:14" s="1" customFormat="1" x14ac:dyDescent="0.35">
      <c r="A2537" s="1" t="s">
        <v>4492</v>
      </c>
      <c r="B2537" s="1" t="s">
        <v>1791</v>
      </c>
      <c r="C2537" s="1" t="s">
        <v>1856</v>
      </c>
      <c r="D2537" s="1" t="s">
        <v>6337</v>
      </c>
      <c r="E2537" s="1" t="str">
        <f>"2320"</f>
        <v>2320</v>
      </c>
      <c r="F2537" s="1" t="str">
        <f>"013455182"</f>
        <v>013455182</v>
      </c>
      <c r="G2537" s="1" t="s">
        <v>394</v>
      </c>
      <c r="H2537" s="1" t="s">
        <v>15</v>
      </c>
      <c r="I2537" s="1" t="str">
        <f>"1"</f>
        <v>1</v>
      </c>
      <c r="J2537" s="3">
        <v>49520.89</v>
      </c>
      <c r="K2537" s="4">
        <v>46031</v>
      </c>
      <c r="L2537" s="4">
        <v>46032</v>
      </c>
      <c r="M2537" s="1" t="s">
        <v>6336</v>
      </c>
      <c r="N2537" s="1" t="s">
        <v>6335</v>
      </c>
    </row>
    <row r="2538" spans="1:14" s="1" customFormat="1" x14ac:dyDescent="0.35">
      <c r="A2538" s="1" t="s">
        <v>4492</v>
      </c>
      <c r="B2538" s="1" t="s">
        <v>1791</v>
      </c>
      <c r="C2538" s="1" t="s">
        <v>1856</v>
      </c>
      <c r="D2538" s="1" t="s">
        <v>6334</v>
      </c>
      <c r="E2538" s="1" t="str">
        <f>"2320"</f>
        <v>2320</v>
      </c>
      <c r="F2538" s="1" t="s">
        <v>100</v>
      </c>
      <c r="G2538" s="1" t="s">
        <v>101</v>
      </c>
      <c r="H2538" s="1" t="s">
        <v>15</v>
      </c>
      <c r="I2538" s="1" t="str">
        <f>"1"</f>
        <v>1</v>
      </c>
      <c r="J2538" s="3" t="str">
        <f>"28000"</f>
        <v>28000</v>
      </c>
      <c r="K2538" s="4">
        <v>46032</v>
      </c>
      <c r="L2538" s="4">
        <v>46066</v>
      </c>
      <c r="M2538" s="1" t="s">
        <v>6333</v>
      </c>
      <c r="N2538" s="1" t="s">
        <v>6332</v>
      </c>
    </row>
    <row r="2539" spans="1:14" s="1" customFormat="1" x14ac:dyDescent="0.35">
      <c r="A2539" s="1" t="s">
        <v>4492</v>
      </c>
      <c r="B2539" s="1" t="s">
        <v>1791</v>
      </c>
      <c r="C2539" s="1" t="s">
        <v>1856</v>
      </c>
      <c r="D2539" s="1" t="s">
        <v>6331</v>
      </c>
      <c r="E2539" s="1" t="str">
        <f>"6230"</f>
        <v>6230</v>
      </c>
      <c r="F2539" s="1" t="s">
        <v>3594</v>
      </c>
      <c r="G2539" s="1" t="s">
        <v>3595</v>
      </c>
      <c r="H2539" s="1" t="s">
        <v>15</v>
      </c>
      <c r="I2539" s="1" t="str">
        <f>"3"</f>
        <v>3</v>
      </c>
      <c r="J2539" s="3" t="str">
        <f>"500"</f>
        <v>500</v>
      </c>
      <c r="K2539" s="4">
        <v>46034</v>
      </c>
      <c r="L2539" s="4">
        <v>46049</v>
      </c>
      <c r="M2539" s="1" t="s">
        <v>6330</v>
      </c>
      <c r="N2539" s="1" t="s">
        <v>6329</v>
      </c>
    </row>
    <row r="2540" spans="1:14" s="1" customFormat="1" x14ac:dyDescent="0.35">
      <c r="A2540" s="1" t="s">
        <v>4492</v>
      </c>
      <c r="B2540" s="1" t="s">
        <v>1791</v>
      </c>
      <c r="C2540" s="1" t="s">
        <v>1856</v>
      </c>
      <c r="D2540" s="1" t="s">
        <v>6328</v>
      </c>
      <c r="E2540" s="1" t="str">
        <f>"2310"</f>
        <v>2310</v>
      </c>
      <c r="F2540" s="1" t="str">
        <f>"014998019"</f>
        <v>014998019</v>
      </c>
      <c r="G2540" s="1" t="s">
        <v>4671</v>
      </c>
      <c r="H2540" s="1" t="s">
        <v>15</v>
      </c>
      <c r="I2540" s="1" t="str">
        <f>"1"</f>
        <v>1</v>
      </c>
      <c r="J2540" s="3" t="str">
        <f>"165000"</f>
        <v>165000</v>
      </c>
      <c r="K2540" s="4">
        <v>46043</v>
      </c>
      <c r="L2540" s="4">
        <v>46055</v>
      </c>
      <c r="M2540" s="1" t="s">
        <v>6327</v>
      </c>
      <c r="N2540" s="1" t="s">
        <v>6326</v>
      </c>
    </row>
    <row r="2541" spans="1:14" s="1" customFormat="1" x14ac:dyDescent="0.35">
      <c r="A2541" s="1" t="s">
        <v>4492</v>
      </c>
      <c r="B2541" s="1" t="s">
        <v>1791</v>
      </c>
      <c r="C2541" s="1" t="s">
        <v>1856</v>
      </c>
      <c r="D2541" s="1" t="s">
        <v>6325</v>
      </c>
      <c r="E2541" s="1" t="str">
        <f>"2310"</f>
        <v>2310</v>
      </c>
      <c r="F2541" s="1" t="str">
        <f>"014998019"</f>
        <v>014998019</v>
      </c>
      <c r="G2541" s="1" t="s">
        <v>4671</v>
      </c>
      <c r="H2541" s="1" t="s">
        <v>15</v>
      </c>
      <c r="I2541" s="1" t="str">
        <f>"1"</f>
        <v>1</v>
      </c>
      <c r="J2541" s="3" t="str">
        <f>"165000"</f>
        <v>165000</v>
      </c>
      <c r="K2541" s="4">
        <v>46071</v>
      </c>
      <c r="L2541" s="4">
        <v>46072</v>
      </c>
      <c r="M2541" s="1" t="s">
        <v>4524</v>
      </c>
      <c r="N2541" s="1" t="s">
        <v>6324</v>
      </c>
    </row>
    <row r="2542" spans="1:14" s="1" customFormat="1" x14ac:dyDescent="0.35">
      <c r="A2542" s="1" t="s">
        <v>4492</v>
      </c>
      <c r="B2542" s="1" t="s">
        <v>1791</v>
      </c>
      <c r="C2542" s="1" t="s">
        <v>1856</v>
      </c>
      <c r="D2542" s="1" t="s">
        <v>6323</v>
      </c>
      <c r="E2542" s="1" t="str">
        <f>"2340"</f>
        <v>2340</v>
      </c>
      <c r="F2542" s="1" t="s">
        <v>1071</v>
      </c>
      <c r="G2542" s="1" t="s">
        <v>1072</v>
      </c>
      <c r="H2542" s="1" t="s">
        <v>15</v>
      </c>
      <c r="I2542" s="1" t="str">
        <f>"1"</f>
        <v>1</v>
      </c>
      <c r="J2542" s="3" t="str">
        <f>"15000"</f>
        <v>15000</v>
      </c>
      <c r="K2542" s="4">
        <v>46082</v>
      </c>
      <c r="L2542" s="4">
        <v>46087</v>
      </c>
      <c r="M2542" s="1" t="s">
        <v>6322</v>
      </c>
      <c r="N2542" s="1" t="s">
        <v>6321</v>
      </c>
    </row>
    <row r="2543" spans="1:14" s="1" customFormat="1" x14ac:dyDescent="0.35">
      <c r="A2543" s="1" t="s">
        <v>4492</v>
      </c>
      <c r="B2543" s="1" t="s">
        <v>1791</v>
      </c>
      <c r="C2543" s="1" t="s">
        <v>1856</v>
      </c>
      <c r="D2543" s="1" t="s">
        <v>6320</v>
      </c>
      <c r="E2543" s="1" t="str">
        <f>"7830"</f>
        <v>7830</v>
      </c>
      <c r="F2543" s="1" t="s">
        <v>6319</v>
      </c>
      <c r="G2543" s="1" t="s">
        <v>6318</v>
      </c>
      <c r="H2543" s="1" t="s">
        <v>15</v>
      </c>
      <c r="I2543" s="1" t="str">
        <f>"1"</f>
        <v>1</v>
      </c>
      <c r="J2543" s="3" t="str">
        <f>"5412"</f>
        <v>5412</v>
      </c>
      <c r="K2543" s="4">
        <v>46082</v>
      </c>
      <c r="L2543" s="4">
        <v>46087</v>
      </c>
      <c r="M2543" s="1" t="s">
        <v>6317</v>
      </c>
      <c r="N2543" s="1" t="s">
        <v>6316</v>
      </c>
    </row>
    <row r="2544" spans="1:14" s="1" customFormat="1" x14ac:dyDescent="0.35">
      <c r="A2544" s="1" t="s">
        <v>4492</v>
      </c>
      <c r="B2544" s="1" t="s">
        <v>1791</v>
      </c>
      <c r="C2544" s="1" t="s">
        <v>1856</v>
      </c>
      <c r="D2544" s="1" t="s">
        <v>6315</v>
      </c>
      <c r="E2544" s="1" t="str">
        <f>"7025"</f>
        <v>7025</v>
      </c>
      <c r="F2544" s="1" t="s">
        <v>4892</v>
      </c>
      <c r="G2544" s="1" t="s">
        <v>4891</v>
      </c>
      <c r="H2544" s="1" t="s">
        <v>15</v>
      </c>
      <c r="I2544" s="1" t="str">
        <f>"10"</f>
        <v>10</v>
      </c>
      <c r="J2544" s="3" t="str">
        <f>"3920"</f>
        <v>3920</v>
      </c>
      <c r="K2544" s="4">
        <v>46084</v>
      </c>
      <c r="L2544" s="4">
        <v>46091</v>
      </c>
      <c r="M2544" s="1" t="s">
        <v>6314</v>
      </c>
      <c r="N2544" s="1" t="s">
        <v>6313</v>
      </c>
    </row>
    <row r="2545" spans="1:14" s="1" customFormat="1" x14ac:dyDescent="0.35">
      <c r="A2545" s="1" t="s">
        <v>4492</v>
      </c>
      <c r="B2545" s="1" t="s">
        <v>1791</v>
      </c>
      <c r="C2545" s="1" t="s">
        <v>1856</v>
      </c>
      <c r="D2545" s="1" t="s">
        <v>6312</v>
      </c>
      <c r="E2545" s="1" t="str">
        <f>"2320"</f>
        <v>2320</v>
      </c>
      <c r="F2545" s="1" t="str">
        <f>"010907892"</f>
        <v>010907892</v>
      </c>
      <c r="G2545" s="1" t="s">
        <v>930</v>
      </c>
      <c r="H2545" s="1" t="s">
        <v>15</v>
      </c>
      <c r="I2545" s="1" t="str">
        <f>"2"</f>
        <v>2</v>
      </c>
      <c r="J2545" s="3" t="str">
        <f>"23000"</f>
        <v>23000</v>
      </c>
      <c r="K2545" s="4">
        <v>46095</v>
      </c>
      <c r="L2545" s="4">
        <v>46100</v>
      </c>
      <c r="M2545" s="1" t="s">
        <v>6311</v>
      </c>
      <c r="N2545" s="1" t="s">
        <v>6310</v>
      </c>
    </row>
    <row r="2546" spans="1:14" s="1" customFormat="1" x14ac:dyDescent="0.35">
      <c r="A2546" s="1" t="s">
        <v>4492</v>
      </c>
      <c r="B2546" s="1" t="s">
        <v>1791</v>
      </c>
      <c r="C2546" s="1" t="s">
        <v>1856</v>
      </c>
      <c r="D2546" s="1" t="s">
        <v>6309</v>
      </c>
      <c r="E2546" s="1" t="str">
        <f>"2320"</f>
        <v>2320</v>
      </c>
      <c r="F2546" s="1" t="str">
        <f>"014076487"</f>
        <v>014076487</v>
      </c>
      <c r="G2546" s="1" t="s">
        <v>394</v>
      </c>
      <c r="H2546" s="1" t="s">
        <v>15</v>
      </c>
      <c r="I2546" s="1" t="str">
        <f>"1"</f>
        <v>1</v>
      </c>
      <c r="J2546" s="3" t="str">
        <f>"161346"</f>
        <v>161346</v>
      </c>
      <c r="K2546" s="4">
        <v>46095</v>
      </c>
      <c r="L2546" s="4">
        <v>46109</v>
      </c>
      <c r="M2546" s="1" t="s">
        <v>6308</v>
      </c>
      <c r="N2546" s="1" t="s">
        <v>6307</v>
      </c>
    </row>
    <row r="2547" spans="1:14" s="1" customFormat="1" x14ac:dyDescent="0.35">
      <c r="A2547" s="1" t="s">
        <v>4492</v>
      </c>
      <c r="B2547" s="1" t="s">
        <v>1791</v>
      </c>
      <c r="C2547" s="1" t="s">
        <v>1871</v>
      </c>
      <c r="D2547" s="1" t="s">
        <v>6306</v>
      </c>
      <c r="E2547" s="1" t="str">
        <f>"4110"</f>
        <v>4110</v>
      </c>
      <c r="F2547" s="1" t="s">
        <v>5418</v>
      </c>
      <c r="G2547" s="1" t="s">
        <v>5417</v>
      </c>
      <c r="H2547" s="1" t="s">
        <v>15</v>
      </c>
      <c r="I2547" s="1" t="str">
        <f>"1"</f>
        <v>1</v>
      </c>
      <c r="J2547" s="3" t="str">
        <f>"300"</f>
        <v>300</v>
      </c>
      <c r="K2547" s="4">
        <v>45927</v>
      </c>
      <c r="L2547" s="4">
        <v>46026</v>
      </c>
      <c r="M2547" s="1" t="s">
        <v>6305</v>
      </c>
      <c r="N2547" s="1" t="s">
        <v>6304</v>
      </c>
    </row>
    <row r="2548" spans="1:14" s="1" customFormat="1" x14ac:dyDescent="0.35">
      <c r="A2548" s="1" t="s">
        <v>4492</v>
      </c>
      <c r="B2548" s="1" t="s">
        <v>1791</v>
      </c>
      <c r="C2548" s="1" t="s">
        <v>1871</v>
      </c>
      <c r="D2548" s="1" t="s">
        <v>6303</v>
      </c>
      <c r="E2548" s="1" t="str">
        <f>"1940"</f>
        <v>1940</v>
      </c>
      <c r="F2548" s="1" t="s">
        <v>1898</v>
      </c>
      <c r="G2548" s="1" t="s">
        <v>1899</v>
      </c>
      <c r="H2548" s="1" t="s">
        <v>15</v>
      </c>
      <c r="I2548" s="1" t="str">
        <f>"1"</f>
        <v>1</v>
      </c>
      <c r="J2548" s="3" t="str">
        <f>"78000"</f>
        <v>78000</v>
      </c>
      <c r="K2548" s="4">
        <v>46030</v>
      </c>
      <c r="L2548" s="4">
        <v>46031</v>
      </c>
      <c r="M2548" s="1" t="s">
        <v>4524</v>
      </c>
      <c r="N2548" s="1" t="s">
        <v>6302</v>
      </c>
    </row>
    <row r="2549" spans="1:14" s="1" customFormat="1" x14ac:dyDescent="0.35">
      <c r="A2549" s="1" t="s">
        <v>4492</v>
      </c>
      <c r="B2549" s="1" t="s">
        <v>1791</v>
      </c>
      <c r="C2549" s="1" t="s">
        <v>1871</v>
      </c>
      <c r="D2549" s="1" t="s">
        <v>6301</v>
      </c>
      <c r="E2549" s="1" t="str">
        <f>"6230"</f>
        <v>6230</v>
      </c>
      <c r="F2549" s="1" t="s">
        <v>3594</v>
      </c>
      <c r="G2549" s="1" t="s">
        <v>3595</v>
      </c>
      <c r="H2549" s="1" t="s">
        <v>15</v>
      </c>
      <c r="I2549" s="1" t="str">
        <f>"2"</f>
        <v>2</v>
      </c>
      <c r="J2549" s="3" t="str">
        <f>"1234"</f>
        <v>1234</v>
      </c>
      <c r="K2549" s="4">
        <v>46045</v>
      </c>
      <c r="L2549" s="4">
        <v>46064</v>
      </c>
      <c r="M2549" s="1" t="s">
        <v>6300</v>
      </c>
      <c r="N2549" s="1" t="s">
        <v>6299</v>
      </c>
    </row>
    <row r="2550" spans="1:14" s="1" customFormat="1" x14ac:dyDescent="0.35">
      <c r="A2550" s="1" t="s">
        <v>4492</v>
      </c>
      <c r="B2550" s="1" t="s">
        <v>1791</v>
      </c>
      <c r="C2550" s="1" t="s">
        <v>1871</v>
      </c>
      <c r="D2550" s="1" t="s">
        <v>6298</v>
      </c>
      <c r="E2550" s="1" t="str">
        <f>"2310"</f>
        <v>2310</v>
      </c>
      <c r="F2550" s="1" t="str">
        <f>"014998019"</f>
        <v>014998019</v>
      </c>
      <c r="G2550" s="1" t="s">
        <v>4671</v>
      </c>
      <c r="H2550" s="1" t="s">
        <v>15</v>
      </c>
      <c r="I2550" s="1" t="str">
        <f>"1"</f>
        <v>1</v>
      </c>
      <c r="J2550" s="3" t="str">
        <f>"165000"</f>
        <v>165000</v>
      </c>
      <c r="K2550" s="4">
        <v>46043</v>
      </c>
      <c r="L2550" s="4">
        <v>46055</v>
      </c>
      <c r="M2550" s="1" t="s">
        <v>6297</v>
      </c>
      <c r="N2550" s="1" t="s">
        <v>6296</v>
      </c>
    </row>
    <row r="2551" spans="1:14" s="1" customFormat="1" x14ac:dyDescent="0.35">
      <c r="A2551" s="1" t="s">
        <v>4492</v>
      </c>
      <c r="B2551" s="1" t="s">
        <v>1791</v>
      </c>
      <c r="C2551" s="1" t="s">
        <v>1871</v>
      </c>
      <c r="D2551" s="1" t="s">
        <v>6295</v>
      </c>
      <c r="E2551" s="1" t="str">
        <f>"8465"</f>
        <v>8465</v>
      </c>
      <c r="F2551" s="1" t="str">
        <f>"015726687"</f>
        <v>015726687</v>
      </c>
      <c r="G2551" s="1" t="s">
        <v>202</v>
      </c>
      <c r="H2551" s="1" t="s">
        <v>15</v>
      </c>
      <c r="I2551" s="1" t="str">
        <f>"12"</f>
        <v>12</v>
      </c>
      <c r="J2551" s="3">
        <v>18.010000000000002</v>
      </c>
      <c r="K2551" s="4">
        <v>46068</v>
      </c>
      <c r="L2551" s="4">
        <v>46093</v>
      </c>
      <c r="M2551" s="1" t="s">
        <v>6294</v>
      </c>
      <c r="N2551" s="1" t="s">
        <v>6293</v>
      </c>
    </row>
    <row r="2552" spans="1:14" s="1" customFormat="1" x14ac:dyDescent="0.35">
      <c r="A2552" s="1" t="s">
        <v>4492</v>
      </c>
      <c r="B2552" s="1" t="s">
        <v>1791</v>
      </c>
      <c r="C2552" s="1" t="s">
        <v>1871</v>
      </c>
      <c r="D2552" s="1" t="s">
        <v>6292</v>
      </c>
      <c r="E2552" s="1" t="str">
        <f>"4933"</f>
        <v>4933</v>
      </c>
      <c r="F2552" s="1" t="str">
        <f>"015159045"</f>
        <v>015159045</v>
      </c>
      <c r="G2552" s="1" t="s">
        <v>6291</v>
      </c>
      <c r="H2552" s="1" t="s">
        <v>15</v>
      </c>
      <c r="I2552" s="1" t="str">
        <f>"2"</f>
        <v>2</v>
      </c>
      <c r="J2552" s="3">
        <v>1850.24</v>
      </c>
      <c r="K2552" s="4">
        <v>46081</v>
      </c>
      <c r="L2552" s="4">
        <v>46092</v>
      </c>
      <c r="M2552" s="1" t="s">
        <v>6290</v>
      </c>
      <c r="N2552" s="1" t="s">
        <v>6289</v>
      </c>
    </row>
    <row r="2553" spans="1:14" s="1" customFormat="1" x14ac:dyDescent="0.35">
      <c r="A2553" s="1" t="s">
        <v>4492</v>
      </c>
      <c r="B2553" s="1" t="s">
        <v>1791</v>
      </c>
      <c r="C2553" s="1" t="s">
        <v>1871</v>
      </c>
      <c r="D2553" s="1" t="s">
        <v>6288</v>
      </c>
      <c r="E2553" s="1" t="str">
        <f>"8465"</f>
        <v>8465</v>
      </c>
      <c r="F2553" s="1" t="s">
        <v>6287</v>
      </c>
      <c r="G2553" s="1" t="s">
        <v>6286</v>
      </c>
      <c r="H2553" s="1" t="s">
        <v>15</v>
      </c>
      <c r="I2553" s="1" t="str">
        <f>"12"</f>
        <v>12</v>
      </c>
      <c r="J2553" s="3" t="str">
        <f>"29"</f>
        <v>29</v>
      </c>
      <c r="K2553" s="4">
        <v>46081</v>
      </c>
      <c r="L2553" s="4">
        <v>46108</v>
      </c>
      <c r="M2553" s="1" t="s">
        <v>6285</v>
      </c>
      <c r="N2553" s="1" t="s">
        <v>6284</v>
      </c>
    </row>
    <row r="2554" spans="1:14" s="1" customFormat="1" x14ac:dyDescent="0.35">
      <c r="A2554" s="1" t="s">
        <v>4492</v>
      </c>
      <c r="B2554" s="1" t="s">
        <v>1791</v>
      </c>
      <c r="C2554" s="1" t="s">
        <v>1871</v>
      </c>
      <c r="D2554" s="1" t="s">
        <v>6283</v>
      </c>
      <c r="E2554" s="1" t="str">
        <f>"1940"</f>
        <v>1940</v>
      </c>
      <c r="F2554" s="1" t="s">
        <v>1898</v>
      </c>
      <c r="G2554" s="1" t="s">
        <v>1899</v>
      </c>
      <c r="H2554" s="1" t="s">
        <v>15</v>
      </c>
      <c r="I2554" s="1" t="str">
        <f>"1"</f>
        <v>1</v>
      </c>
      <c r="J2554" s="3" t="str">
        <f>"259000"</f>
        <v>259000</v>
      </c>
      <c r="K2554" s="4">
        <v>46096</v>
      </c>
      <c r="L2554" s="4">
        <v>46098</v>
      </c>
      <c r="M2554" s="1" t="s">
        <v>4524</v>
      </c>
      <c r="N2554" s="1" t="s">
        <v>6282</v>
      </c>
    </row>
    <row r="2555" spans="1:14" s="1" customFormat="1" x14ac:dyDescent="0.35">
      <c r="A2555" s="1" t="s">
        <v>4492</v>
      </c>
      <c r="B2555" s="1" t="s">
        <v>2196</v>
      </c>
      <c r="C2555" s="1" t="s">
        <v>6277</v>
      </c>
      <c r="D2555" s="1" t="s">
        <v>6281</v>
      </c>
      <c r="E2555" s="1" t="str">
        <f>"2310"</f>
        <v>2310</v>
      </c>
      <c r="F2555" s="1" t="str">
        <f>"011112274"</f>
        <v>011112274</v>
      </c>
      <c r="G2555" s="1" t="s">
        <v>2654</v>
      </c>
      <c r="H2555" s="1" t="s">
        <v>15</v>
      </c>
      <c r="I2555" s="1" t="str">
        <f>"1"</f>
        <v>1</v>
      </c>
      <c r="J2555" s="3" t="str">
        <f>"96466"</f>
        <v>96466</v>
      </c>
      <c r="K2555" s="4">
        <v>46043</v>
      </c>
      <c r="L2555" s="4">
        <v>46043</v>
      </c>
      <c r="M2555" s="1" t="s">
        <v>4556</v>
      </c>
      <c r="N2555" s="1" t="s">
        <v>6280</v>
      </c>
    </row>
    <row r="2556" spans="1:14" s="1" customFormat="1" x14ac:dyDescent="0.35">
      <c r="A2556" s="1" t="s">
        <v>4492</v>
      </c>
      <c r="B2556" s="1" t="s">
        <v>2196</v>
      </c>
      <c r="C2556" s="1" t="s">
        <v>6277</v>
      </c>
      <c r="D2556" s="1" t="s">
        <v>6279</v>
      </c>
      <c r="E2556" s="1" t="str">
        <f>"2310"</f>
        <v>2310</v>
      </c>
      <c r="F2556" s="1" t="str">
        <f>"014998019"</f>
        <v>014998019</v>
      </c>
      <c r="G2556" s="1" t="s">
        <v>4671</v>
      </c>
      <c r="H2556" s="1" t="s">
        <v>15</v>
      </c>
      <c r="I2556" s="1" t="str">
        <f>"0"</f>
        <v>0</v>
      </c>
      <c r="J2556" s="3" t="str">
        <f>"165000"</f>
        <v>165000</v>
      </c>
      <c r="K2556" s="4">
        <v>46080</v>
      </c>
      <c r="L2556" s="4">
        <v>46082</v>
      </c>
      <c r="M2556" s="1" t="s">
        <v>4524</v>
      </c>
      <c r="N2556" s="1" t="s">
        <v>6278</v>
      </c>
    </row>
    <row r="2557" spans="1:14" s="1" customFormat="1" x14ac:dyDescent="0.35">
      <c r="A2557" s="1" t="s">
        <v>4492</v>
      </c>
      <c r="B2557" s="1" t="s">
        <v>2196</v>
      </c>
      <c r="C2557" s="1" t="s">
        <v>6277</v>
      </c>
      <c r="D2557" s="1" t="s">
        <v>6276</v>
      </c>
      <c r="E2557" s="1" t="str">
        <f>"1940"</f>
        <v>1940</v>
      </c>
      <c r="F2557" s="1" t="s">
        <v>1898</v>
      </c>
      <c r="G2557" s="1" t="s">
        <v>1899</v>
      </c>
      <c r="H2557" s="1" t="s">
        <v>15</v>
      </c>
      <c r="I2557" s="1" t="str">
        <f>"1"</f>
        <v>1</v>
      </c>
      <c r="J2557" s="3" t="str">
        <f>"259000"</f>
        <v>259000</v>
      </c>
      <c r="K2557" s="4">
        <v>46097</v>
      </c>
      <c r="L2557" s="4">
        <v>46099</v>
      </c>
      <c r="N2557" s="1" t="s">
        <v>6275</v>
      </c>
    </row>
    <row r="2558" spans="1:14" s="1" customFormat="1" x14ac:dyDescent="0.35">
      <c r="A2558" s="1" t="s">
        <v>4492</v>
      </c>
      <c r="B2558" s="1" t="s">
        <v>6274</v>
      </c>
      <c r="C2558" s="1" t="s">
        <v>6273</v>
      </c>
      <c r="D2558" s="1" t="s">
        <v>6272</v>
      </c>
      <c r="E2558" s="1" t="str">
        <f>"5855"</f>
        <v>5855</v>
      </c>
      <c r="F2558" s="1" t="str">
        <f>"016996757"</f>
        <v>016996757</v>
      </c>
      <c r="G2558" s="1" t="s">
        <v>5814</v>
      </c>
      <c r="H2558" s="1" t="s">
        <v>168</v>
      </c>
      <c r="I2558" s="1" t="str">
        <f>"1"</f>
        <v>1</v>
      </c>
      <c r="J2558" s="3">
        <v>11949.6</v>
      </c>
      <c r="K2558" s="4">
        <v>46040</v>
      </c>
      <c r="L2558" s="4">
        <v>46050</v>
      </c>
      <c r="M2558" s="1" t="s">
        <v>6271</v>
      </c>
      <c r="N2558" s="1" t="s">
        <v>6270</v>
      </c>
    </row>
    <row r="2559" spans="1:14" s="1" customFormat="1" x14ac:dyDescent="0.35">
      <c r="A2559" s="1" t="s">
        <v>4492</v>
      </c>
      <c r="B2559" s="1" t="s">
        <v>6269</v>
      </c>
      <c r="C2559" s="1" t="s">
        <v>6268</v>
      </c>
      <c r="D2559" s="1" t="s">
        <v>6267</v>
      </c>
      <c r="E2559" s="1" t="str">
        <f>"2330"</f>
        <v>2330</v>
      </c>
      <c r="F2559" s="1" t="s">
        <v>104</v>
      </c>
      <c r="G2559" s="1" t="s">
        <v>105</v>
      </c>
      <c r="H2559" s="1" t="s">
        <v>15</v>
      </c>
      <c r="I2559" s="1" t="str">
        <f>"1"</f>
        <v>1</v>
      </c>
      <c r="J2559" s="3" t="str">
        <f>"16229"</f>
        <v>16229</v>
      </c>
      <c r="K2559" s="4">
        <v>46090</v>
      </c>
      <c r="L2559" s="4">
        <v>46092</v>
      </c>
      <c r="M2559" s="1" t="s">
        <v>4524</v>
      </c>
      <c r="N2559" s="1" t="s">
        <v>6266</v>
      </c>
    </row>
    <row r="2560" spans="1:14" s="1" customFormat="1" x14ac:dyDescent="0.35">
      <c r="A2560" s="1" t="s">
        <v>4492</v>
      </c>
      <c r="B2560" s="1" t="s">
        <v>3822</v>
      </c>
      <c r="C2560" s="1" t="s">
        <v>4184</v>
      </c>
      <c r="D2560" s="1" t="s">
        <v>6265</v>
      </c>
      <c r="E2560" s="1" t="str">
        <f>"7021"</f>
        <v>7021</v>
      </c>
      <c r="F2560" s="1" t="s">
        <v>1173</v>
      </c>
      <c r="G2560" s="1" t="s">
        <v>1174</v>
      </c>
      <c r="H2560" s="1" t="s">
        <v>15</v>
      </c>
      <c r="I2560" s="1" t="str">
        <f>"3"</f>
        <v>3</v>
      </c>
      <c r="J2560" s="3" t="str">
        <f>"800"</f>
        <v>800</v>
      </c>
      <c r="K2560" s="4">
        <v>46048</v>
      </c>
      <c r="L2560" s="4">
        <v>46055</v>
      </c>
      <c r="M2560" s="1" t="s">
        <v>6264</v>
      </c>
      <c r="N2560" s="1" t="s">
        <v>6263</v>
      </c>
    </row>
    <row r="2561" spans="1:14" s="1" customFormat="1" x14ac:dyDescent="0.35">
      <c r="A2561" s="1" t="s">
        <v>4492</v>
      </c>
      <c r="B2561" s="1" t="s">
        <v>3822</v>
      </c>
      <c r="C2561" s="1" t="s">
        <v>4184</v>
      </c>
      <c r="D2561" s="1" t="s">
        <v>6262</v>
      </c>
      <c r="E2561" s="1" t="str">
        <f>"2310"</f>
        <v>2310</v>
      </c>
      <c r="F2561" s="1" t="str">
        <f>"016544105"</f>
        <v>016544105</v>
      </c>
      <c r="G2561" s="1" t="s">
        <v>232</v>
      </c>
      <c r="H2561" s="1" t="s">
        <v>15</v>
      </c>
      <c r="I2561" s="1" t="str">
        <f>"1"</f>
        <v>1</v>
      </c>
      <c r="J2561" s="3">
        <v>31905.14</v>
      </c>
      <c r="K2561" s="4">
        <v>46083</v>
      </c>
      <c r="L2561" s="4">
        <v>46087</v>
      </c>
      <c r="M2561" s="1" t="s">
        <v>6261</v>
      </c>
      <c r="N2561" s="1" t="s">
        <v>6258</v>
      </c>
    </row>
    <row r="2562" spans="1:14" s="1" customFormat="1" x14ac:dyDescent="0.35">
      <c r="A2562" s="1" t="s">
        <v>4492</v>
      </c>
      <c r="B2562" s="1" t="s">
        <v>3822</v>
      </c>
      <c r="C2562" s="1" t="s">
        <v>4184</v>
      </c>
      <c r="D2562" s="1" t="s">
        <v>6260</v>
      </c>
      <c r="E2562" s="1" t="str">
        <f>"2310"</f>
        <v>2310</v>
      </c>
      <c r="F2562" s="1" t="str">
        <f>"016544105"</f>
        <v>016544105</v>
      </c>
      <c r="G2562" s="1" t="s">
        <v>232</v>
      </c>
      <c r="H2562" s="1" t="s">
        <v>15</v>
      </c>
      <c r="I2562" s="1" t="str">
        <f>"1"</f>
        <v>1</v>
      </c>
      <c r="J2562" s="3">
        <v>31905.14</v>
      </c>
      <c r="K2562" s="4">
        <v>46083</v>
      </c>
      <c r="L2562" s="4">
        <v>46087</v>
      </c>
      <c r="M2562" s="1" t="s">
        <v>6259</v>
      </c>
      <c r="N2562" s="1" t="s">
        <v>6258</v>
      </c>
    </row>
    <row r="2563" spans="1:14" s="1" customFormat="1" x14ac:dyDescent="0.35">
      <c r="A2563" s="1" t="s">
        <v>4492</v>
      </c>
      <c r="B2563" s="1" t="s">
        <v>1176</v>
      </c>
      <c r="C2563" s="1" t="s">
        <v>1271</v>
      </c>
      <c r="D2563" s="1" t="s">
        <v>6257</v>
      </c>
      <c r="E2563" s="1" t="str">
        <f>"1550"</f>
        <v>1550</v>
      </c>
      <c r="F2563" s="1" t="str">
        <f>"016215533"</f>
        <v>016215533</v>
      </c>
      <c r="G2563" s="1" t="s">
        <v>1789</v>
      </c>
      <c r="H2563" s="1" t="s">
        <v>15</v>
      </c>
      <c r="I2563" s="1" t="str">
        <f>"1"</f>
        <v>1</v>
      </c>
      <c r="J2563" s="3" t="str">
        <f>"168000"</f>
        <v>168000</v>
      </c>
      <c r="K2563" s="4">
        <v>46009</v>
      </c>
      <c r="L2563" s="4">
        <v>46044</v>
      </c>
      <c r="M2563" s="1" t="s">
        <v>6256</v>
      </c>
      <c r="N2563" s="1" t="s">
        <v>6255</v>
      </c>
    </row>
    <row r="2564" spans="1:14" s="1" customFormat="1" x14ac:dyDescent="0.35">
      <c r="A2564" s="1" t="s">
        <v>4492</v>
      </c>
      <c r="B2564" s="1" t="s">
        <v>1176</v>
      </c>
      <c r="C2564" s="1" t="s">
        <v>1271</v>
      </c>
      <c r="D2564" s="1" t="s">
        <v>6254</v>
      </c>
      <c r="E2564" s="1" t="str">
        <f>"2360"</f>
        <v>2360</v>
      </c>
      <c r="F2564" s="1" t="str">
        <f>"015900772"</f>
        <v>015900772</v>
      </c>
      <c r="G2564" s="1" t="s">
        <v>1344</v>
      </c>
      <c r="H2564" s="1" t="s">
        <v>15</v>
      </c>
      <c r="I2564" s="1" t="str">
        <f>"1"</f>
        <v>1</v>
      </c>
      <c r="J2564" s="3" t="str">
        <f>"232404"</f>
        <v>232404</v>
      </c>
      <c r="K2564" s="4">
        <v>46009</v>
      </c>
      <c r="L2564" s="4">
        <v>46043</v>
      </c>
      <c r="M2564" s="1" t="s">
        <v>6253</v>
      </c>
      <c r="N2564" s="1" t="s">
        <v>6252</v>
      </c>
    </row>
    <row r="2565" spans="1:14" s="1" customFormat="1" x14ac:dyDescent="0.35">
      <c r="A2565" s="1" t="s">
        <v>4492</v>
      </c>
      <c r="B2565" s="1" t="s">
        <v>1176</v>
      </c>
      <c r="C2565" s="1" t="s">
        <v>1271</v>
      </c>
      <c r="D2565" s="1" t="s">
        <v>6251</v>
      </c>
      <c r="E2565" s="1" t="str">
        <f>"2330"</f>
        <v>2330</v>
      </c>
      <c r="F2565" s="1" t="s">
        <v>104</v>
      </c>
      <c r="G2565" s="1" t="s">
        <v>105</v>
      </c>
      <c r="H2565" s="1" t="s">
        <v>15</v>
      </c>
      <c r="I2565" s="1" t="str">
        <f>"1"</f>
        <v>1</v>
      </c>
      <c r="J2565" s="3" t="str">
        <f>"6111"</f>
        <v>6111</v>
      </c>
      <c r="K2565" s="4">
        <v>46048</v>
      </c>
      <c r="L2565" s="4">
        <v>46060</v>
      </c>
      <c r="M2565" s="1" t="s">
        <v>6250</v>
      </c>
      <c r="N2565" s="1" t="s">
        <v>6249</v>
      </c>
    </row>
    <row r="2566" spans="1:14" s="1" customFormat="1" x14ac:dyDescent="0.35">
      <c r="A2566" s="1" t="s">
        <v>4492</v>
      </c>
      <c r="B2566" s="1" t="s">
        <v>1176</v>
      </c>
      <c r="C2566" s="1" t="s">
        <v>1271</v>
      </c>
      <c r="D2566" s="1" t="s">
        <v>6248</v>
      </c>
      <c r="E2566" s="1" t="str">
        <f>"2320"</f>
        <v>2320</v>
      </c>
      <c r="F2566" s="1" t="s">
        <v>4526</v>
      </c>
      <c r="G2566" s="1" t="s">
        <v>4525</v>
      </c>
      <c r="H2566" s="1" t="s">
        <v>15</v>
      </c>
      <c r="I2566" s="1" t="str">
        <f>"1"</f>
        <v>1</v>
      </c>
      <c r="J2566" s="3">
        <v>610434.26</v>
      </c>
      <c r="K2566" s="4">
        <v>46055</v>
      </c>
      <c r="L2566" s="4">
        <v>46056</v>
      </c>
      <c r="M2566" s="1" t="s">
        <v>4524</v>
      </c>
      <c r="N2566" s="1" t="s">
        <v>6247</v>
      </c>
    </row>
    <row r="2567" spans="1:14" s="1" customFormat="1" x14ac:dyDescent="0.35">
      <c r="A2567" s="1" t="s">
        <v>4492</v>
      </c>
      <c r="B2567" s="1" t="s">
        <v>1176</v>
      </c>
      <c r="C2567" s="1" t="s">
        <v>1271</v>
      </c>
      <c r="D2567" s="1" t="s">
        <v>6246</v>
      </c>
      <c r="E2567" s="1" t="str">
        <f>"2360"</f>
        <v>2360</v>
      </c>
      <c r="F2567" s="1" t="str">
        <f>"016631082"</f>
        <v>016631082</v>
      </c>
      <c r="G2567" s="1" t="s">
        <v>1275</v>
      </c>
      <c r="H2567" s="1" t="s">
        <v>15</v>
      </c>
      <c r="I2567" s="1" t="str">
        <f>"1"</f>
        <v>1</v>
      </c>
      <c r="J2567" s="3" t="str">
        <f>"77060"</f>
        <v>77060</v>
      </c>
      <c r="K2567" s="4">
        <v>46094</v>
      </c>
      <c r="L2567" s="4">
        <v>46105</v>
      </c>
      <c r="M2567" s="1" t="s">
        <v>6245</v>
      </c>
      <c r="N2567" s="1" t="s">
        <v>6244</v>
      </c>
    </row>
    <row r="2568" spans="1:14" s="1" customFormat="1" x14ac:dyDescent="0.35">
      <c r="A2568" s="1" t="s">
        <v>4492</v>
      </c>
      <c r="B2568" s="1" t="s">
        <v>1176</v>
      </c>
      <c r="C2568" s="1" t="s">
        <v>1271</v>
      </c>
      <c r="D2568" s="1" t="s">
        <v>6243</v>
      </c>
      <c r="E2568" s="1" t="str">
        <f>"5855"</f>
        <v>5855</v>
      </c>
      <c r="F2568" s="1" t="str">
        <f>"016943200"</f>
        <v>016943200</v>
      </c>
      <c r="G2568" s="1" t="s">
        <v>5814</v>
      </c>
      <c r="H2568" s="1" t="s">
        <v>15</v>
      </c>
      <c r="I2568" s="1" t="str">
        <f>"35"</f>
        <v>35</v>
      </c>
      <c r="J2568" s="3" t="str">
        <f>"35000"</f>
        <v>35000</v>
      </c>
      <c r="K2568" s="4">
        <v>46101</v>
      </c>
      <c r="L2568" s="4">
        <v>46103</v>
      </c>
      <c r="M2568" s="1" t="s">
        <v>6242</v>
      </c>
      <c r="N2568" s="1" t="s">
        <v>6241</v>
      </c>
    </row>
    <row r="2569" spans="1:14" s="1" customFormat="1" x14ac:dyDescent="0.35">
      <c r="A2569" s="1" t="s">
        <v>4492</v>
      </c>
      <c r="B2569" s="1" t="s">
        <v>1176</v>
      </c>
      <c r="C2569" s="1" t="s">
        <v>1271</v>
      </c>
      <c r="D2569" s="1" t="s">
        <v>6240</v>
      </c>
      <c r="E2569" s="1" t="str">
        <f>"5855"</f>
        <v>5855</v>
      </c>
      <c r="F2569" s="1" t="str">
        <f>"015096872"</f>
        <v>015096872</v>
      </c>
      <c r="G2569" s="1" t="s">
        <v>6239</v>
      </c>
      <c r="H2569" s="1" t="s">
        <v>15</v>
      </c>
      <c r="I2569" s="1" t="str">
        <f>"1"</f>
        <v>1</v>
      </c>
      <c r="J2569" s="3" t="str">
        <f>"1160"</f>
        <v>1160</v>
      </c>
      <c r="K2569" s="4">
        <v>46096</v>
      </c>
      <c r="L2569" s="4">
        <v>46098</v>
      </c>
      <c r="M2569" s="1" t="s">
        <v>4524</v>
      </c>
      <c r="N2569" s="1" t="s">
        <v>6238</v>
      </c>
    </row>
    <row r="2570" spans="1:14" s="1" customFormat="1" x14ac:dyDescent="0.35">
      <c r="A2570" s="1" t="s">
        <v>4492</v>
      </c>
      <c r="B2570" s="1" t="s">
        <v>1176</v>
      </c>
      <c r="C2570" s="1" t="s">
        <v>1271</v>
      </c>
      <c r="D2570" s="1" t="s">
        <v>6237</v>
      </c>
      <c r="E2570" s="1" t="str">
        <f>"5855"</f>
        <v>5855</v>
      </c>
      <c r="F2570" s="1" t="str">
        <f>"015847217"</f>
        <v>015847217</v>
      </c>
      <c r="G2570" s="1" t="s">
        <v>614</v>
      </c>
      <c r="H2570" s="1" t="s">
        <v>15</v>
      </c>
      <c r="I2570" s="1" t="str">
        <f>"5"</f>
        <v>5</v>
      </c>
      <c r="J2570" s="3" t="str">
        <f>"34084"</f>
        <v>34084</v>
      </c>
      <c r="K2570" s="4">
        <v>46105</v>
      </c>
      <c r="L2570" s="4">
        <v>46106</v>
      </c>
      <c r="M2570" s="1" t="s">
        <v>4524</v>
      </c>
      <c r="N2570" s="1" t="s">
        <v>6236</v>
      </c>
    </row>
    <row r="2571" spans="1:14" s="1" customFormat="1" x14ac:dyDescent="0.35">
      <c r="A2571" s="1" t="s">
        <v>4492</v>
      </c>
      <c r="B2571" s="1" t="s">
        <v>1176</v>
      </c>
      <c r="C2571" s="1" t="s">
        <v>1271</v>
      </c>
      <c r="D2571" s="1" t="s">
        <v>6235</v>
      </c>
      <c r="E2571" s="1" t="str">
        <f>"5855"</f>
        <v>5855</v>
      </c>
      <c r="F2571" s="1" t="s">
        <v>2510</v>
      </c>
      <c r="G2571" s="1" t="s">
        <v>2511</v>
      </c>
      <c r="H2571" s="1" t="s">
        <v>15</v>
      </c>
      <c r="I2571" s="1" t="str">
        <f>"1"</f>
        <v>1</v>
      </c>
      <c r="J2571" s="3" t="str">
        <f>"2000"</f>
        <v>2000</v>
      </c>
      <c r="K2571" s="4">
        <v>46105</v>
      </c>
      <c r="L2571" s="4">
        <v>46107</v>
      </c>
      <c r="M2571" s="1" t="s">
        <v>4524</v>
      </c>
      <c r="N2571" s="1" t="s">
        <v>6234</v>
      </c>
    </row>
    <row r="2572" spans="1:14" s="1" customFormat="1" x14ac:dyDescent="0.35">
      <c r="A2572" s="1" t="s">
        <v>4492</v>
      </c>
      <c r="B2572" s="1" t="s">
        <v>1176</v>
      </c>
      <c r="C2572" s="1" t="s">
        <v>1271</v>
      </c>
      <c r="D2572" s="1" t="s">
        <v>6233</v>
      </c>
      <c r="E2572" s="1" t="str">
        <f>"2360"</f>
        <v>2360</v>
      </c>
      <c r="F2572" s="1" t="str">
        <f>"016631082"</f>
        <v>016631082</v>
      </c>
      <c r="G2572" s="1" t="s">
        <v>1275</v>
      </c>
      <c r="H2572" s="1" t="s">
        <v>15</v>
      </c>
      <c r="I2572" s="1" t="str">
        <f>"1"</f>
        <v>1</v>
      </c>
      <c r="J2572" s="3" t="str">
        <f>"77060"</f>
        <v>77060</v>
      </c>
      <c r="K2572" s="4">
        <v>46106</v>
      </c>
      <c r="L2572" s="4">
        <v>46107</v>
      </c>
      <c r="M2572" s="1" t="s">
        <v>4524</v>
      </c>
      <c r="N2572" s="1" t="s">
        <v>6232</v>
      </c>
    </row>
    <row r="2573" spans="1:14" s="1" customFormat="1" x14ac:dyDescent="0.35">
      <c r="A2573" s="1" t="s">
        <v>4492</v>
      </c>
      <c r="B2573" s="1" t="s">
        <v>1176</v>
      </c>
      <c r="C2573" s="1" t="s">
        <v>1271</v>
      </c>
      <c r="D2573" s="1" t="s">
        <v>6231</v>
      </c>
      <c r="E2573" s="1" t="str">
        <f>"5855"</f>
        <v>5855</v>
      </c>
      <c r="F2573" s="1" t="str">
        <f>"014684169"</f>
        <v>014684169</v>
      </c>
      <c r="G2573" s="1" t="s">
        <v>952</v>
      </c>
      <c r="H2573" s="1" t="s">
        <v>15</v>
      </c>
      <c r="I2573" s="1" t="str">
        <f>"4"</f>
        <v>4</v>
      </c>
      <c r="J2573" s="3">
        <v>790.97</v>
      </c>
      <c r="K2573" s="4">
        <v>46111</v>
      </c>
      <c r="L2573" s="4">
        <v>46111</v>
      </c>
      <c r="M2573" s="1" t="s">
        <v>6230</v>
      </c>
      <c r="N2573" s="1" t="s">
        <v>6229</v>
      </c>
    </row>
    <row r="2574" spans="1:14" s="1" customFormat="1" x14ac:dyDescent="0.35">
      <c r="A2574" s="1" t="s">
        <v>4492</v>
      </c>
      <c r="B2574" s="1" t="s">
        <v>1176</v>
      </c>
      <c r="C2574" s="1" t="s">
        <v>1271</v>
      </c>
      <c r="D2574" s="1" t="s">
        <v>6231</v>
      </c>
      <c r="E2574" s="1" t="str">
        <f>"5855"</f>
        <v>5855</v>
      </c>
      <c r="F2574" s="1" t="str">
        <f>"014684169"</f>
        <v>014684169</v>
      </c>
      <c r="G2574" s="1" t="s">
        <v>952</v>
      </c>
      <c r="H2574" s="1" t="s">
        <v>15</v>
      </c>
      <c r="I2574" s="1" t="str">
        <f>"4"</f>
        <v>4</v>
      </c>
      <c r="J2574" s="3">
        <v>790.97</v>
      </c>
      <c r="K2574" s="4">
        <v>46111</v>
      </c>
      <c r="L2574" s="4">
        <v>46111</v>
      </c>
      <c r="M2574" s="1" t="s">
        <v>6230</v>
      </c>
      <c r="N2574" s="1" t="s">
        <v>6229</v>
      </c>
    </row>
    <row r="2575" spans="1:14" s="1" customFormat="1" x14ac:dyDescent="0.35">
      <c r="A2575" s="1" t="s">
        <v>4492</v>
      </c>
      <c r="B2575" s="1" t="s">
        <v>2641</v>
      </c>
      <c r="C2575" s="1" t="s">
        <v>6221</v>
      </c>
      <c r="D2575" s="1" t="s">
        <v>6228</v>
      </c>
      <c r="E2575" s="1" t="str">
        <f>"2340"</f>
        <v>2340</v>
      </c>
      <c r="F2575" s="1" t="s">
        <v>1071</v>
      </c>
      <c r="G2575" s="1" t="s">
        <v>1072</v>
      </c>
      <c r="H2575" s="1" t="s">
        <v>15</v>
      </c>
      <c r="I2575" s="1" t="str">
        <f>"1"</f>
        <v>1</v>
      </c>
      <c r="J2575" s="3" t="str">
        <f>"5000"</f>
        <v>5000</v>
      </c>
      <c r="K2575" s="4">
        <v>46097</v>
      </c>
      <c r="L2575" s="4">
        <v>46100</v>
      </c>
      <c r="M2575" s="1" t="s">
        <v>6227</v>
      </c>
      <c r="N2575" s="1" t="s">
        <v>6222</v>
      </c>
    </row>
    <row r="2576" spans="1:14" s="1" customFormat="1" x14ac:dyDescent="0.35">
      <c r="A2576" s="1" t="s">
        <v>4492</v>
      </c>
      <c r="B2576" s="1" t="s">
        <v>2641</v>
      </c>
      <c r="C2576" s="1" t="s">
        <v>6221</v>
      </c>
      <c r="D2576" s="1" t="s">
        <v>6226</v>
      </c>
      <c r="E2576" s="1" t="str">
        <f>"2340"</f>
        <v>2340</v>
      </c>
      <c r="F2576" s="1" t="s">
        <v>1071</v>
      </c>
      <c r="G2576" s="1" t="s">
        <v>1072</v>
      </c>
      <c r="H2576" s="1" t="s">
        <v>15</v>
      </c>
      <c r="I2576" s="1" t="str">
        <f>"1"</f>
        <v>1</v>
      </c>
      <c r="J2576" s="3" t="str">
        <f>"5000"</f>
        <v>5000</v>
      </c>
      <c r="K2576" s="4">
        <v>46097</v>
      </c>
      <c r="L2576" s="4">
        <v>46100</v>
      </c>
      <c r="M2576" s="1" t="s">
        <v>6225</v>
      </c>
      <c r="N2576" s="1" t="s">
        <v>6222</v>
      </c>
    </row>
    <row r="2577" spans="1:14" s="1" customFormat="1" x14ac:dyDescent="0.35">
      <c r="A2577" s="1" t="s">
        <v>4492</v>
      </c>
      <c r="B2577" s="1" t="s">
        <v>2641</v>
      </c>
      <c r="C2577" s="1" t="s">
        <v>6221</v>
      </c>
      <c r="D2577" s="1" t="s">
        <v>6224</v>
      </c>
      <c r="E2577" s="1" t="str">
        <f>"2340"</f>
        <v>2340</v>
      </c>
      <c r="F2577" s="1" t="s">
        <v>1071</v>
      </c>
      <c r="G2577" s="1" t="s">
        <v>1072</v>
      </c>
      <c r="H2577" s="1" t="s">
        <v>15</v>
      </c>
      <c r="I2577" s="1" t="str">
        <f>"1"</f>
        <v>1</v>
      </c>
      <c r="J2577" s="3" t="str">
        <f>"5000"</f>
        <v>5000</v>
      </c>
      <c r="K2577" s="4">
        <v>46097</v>
      </c>
      <c r="L2577" s="4">
        <v>46100</v>
      </c>
      <c r="M2577" s="1" t="s">
        <v>6223</v>
      </c>
      <c r="N2577" s="1" t="s">
        <v>6222</v>
      </c>
    </row>
    <row r="2578" spans="1:14" s="1" customFormat="1" x14ac:dyDescent="0.35">
      <c r="A2578" s="1" t="s">
        <v>4492</v>
      </c>
      <c r="B2578" s="1" t="s">
        <v>2641</v>
      </c>
      <c r="C2578" s="1" t="s">
        <v>6221</v>
      </c>
      <c r="D2578" s="1" t="s">
        <v>6220</v>
      </c>
      <c r="E2578" s="1" t="str">
        <f>"2340"</f>
        <v>2340</v>
      </c>
      <c r="F2578" s="1" t="s">
        <v>1071</v>
      </c>
      <c r="G2578" s="1" t="s">
        <v>1072</v>
      </c>
      <c r="H2578" s="1" t="s">
        <v>15</v>
      </c>
      <c r="I2578" s="1" t="str">
        <f>"1"</f>
        <v>1</v>
      </c>
      <c r="J2578" s="3" t="str">
        <f>"5000"</f>
        <v>5000</v>
      </c>
      <c r="K2578" s="4">
        <v>46097</v>
      </c>
      <c r="L2578" s="4">
        <v>46100</v>
      </c>
      <c r="M2578" s="1" t="s">
        <v>6219</v>
      </c>
      <c r="N2578" s="1" t="s">
        <v>6218</v>
      </c>
    </row>
    <row r="2579" spans="1:14" s="1" customFormat="1" x14ac:dyDescent="0.35">
      <c r="A2579" s="1" t="s">
        <v>4492</v>
      </c>
      <c r="B2579" s="1" t="s">
        <v>4247</v>
      </c>
      <c r="C2579" s="1" t="s">
        <v>4266</v>
      </c>
      <c r="D2579" s="1" t="s">
        <v>6217</v>
      </c>
      <c r="E2579" s="1" t="str">
        <f>"1240"</f>
        <v>1240</v>
      </c>
      <c r="F2579" s="1" t="str">
        <f>"015403690"</f>
        <v>015403690</v>
      </c>
      <c r="G2579" s="1" t="s">
        <v>71</v>
      </c>
      <c r="H2579" s="1" t="s">
        <v>15</v>
      </c>
      <c r="I2579" s="1" t="str">
        <f>"1"</f>
        <v>1</v>
      </c>
      <c r="J2579" s="3" t="str">
        <f>"342"</f>
        <v>342</v>
      </c>
      <c r="K2579" s="4">
        <v>45975</v>
      </c>
      <c r="L2579" s="4">
        <v>46037</v>
      </c>
      <c r="M2579" s="1" t="s">
        <v>6216</v>
      </c>
      <c r="N2579" s="1" t="s">
        <v>6211</v>
      </c>
    </row>
    <row r="2580" spans="1:14" s="1" customFormat="1" x14ac:dyDescent="0.35">
      <c r="A2580" s="1" t="s">
        <v>4492</v>
      </c>
      <c r="B2580" s="1" t="s">
        <v>4247</v>
      </c>
      <c r="C2580" s="1" t="s">
        <v>4266</v>
      </c>
      <c r="D2580" s="1" t="s">
        <v>6215</v>
      </c>
      <c r="E2580" s="1" t="str">
        <f>"1240"</f>
        <v>1240</v>
      </c>
      <c r="F2580" s="1" t="str">
        <f>"015403690"</f>
        <v>015403690</v>
      </c>
      <c r="G2580" s="1" t="s">
        <v>71</v>
      </c>
      <c r="H2580" s="1" t="s">
        <v>15</v>
      </c>
      <c r="I2580" s="1" t="str">
        <f>"1"</f>
        <v>1</v>
      </c>
      <c r="J2580" s="3" t="str">
        <f>"342"</f>
        <v>342</v>
      </c>
      <c r="K2580" s="4">
        <v>45975</v>
      </c>
      <c r="L2580" s="4">
        <v>46037</v>
      </c>
      <c r="M2580" s="1" t="s">
        <v>6214</v>
      </c>
      <c r="N2580" s="1" t="s">
        <v>6211</v>
      </c>
    </row>
    <row r="2581" spans="1:14" s="1" customFormat="1" x14ac:dyDescent="0.35">
      <c r="A2581" s="1" t="s">
        <v>4492</v>
      </c>
      <c r="B2581" s="1" t="s">
        <v>4247</v>
      </c>
      <c r="C2581" s="1" t="s">
        <v>4266</v>
      </c>
      <c r="D2581" s="1" t="s">
        <v>6213</v>
      </c>
      <c r="E2581" s="1" t="str">
        <f>"1240"</f>
        <v>1240</v>
      </c>
      <c r="F2581" s="1" t="str">
        <f>"015403690"</f>
        <v>015403690</v>
      </c>
      <c r="G2581" s="1" t="s">
        <v>71</v>
      </c>
      <c r="H2581" s="1" t="s">
        <v>15</v>
      </c>
      <c r="I2581" s="1" t="str">
        <f>"1"</f>
        <v>1</v>
      </c>
      <c r="J2581" s="3" t="str">
        <f>"342"</f>
        <v>342</v>
      </c>
      <c r="K2581" s="4">
        <v>45975</v>
      </c>
      <c r="L2581" s="4">
        <v>46037</v>
      </c>
      <c r="M2581" s="1" t="s">
        <v>6212</v>
      </c>
      <c r="N2581" s="1" t="s">
        <v>6211</v>
      </c>
    </row>
    <row r="2582" spans="1:14" s="1" customFormat="1" x14ac:dyDescent="0.35">
      <c r="A2582" s="1" t="s">
        <v>4492</v>
      </c>
      <c r="B2582" s="1" t="s">
        <v>4247</v>
      </c>
      <c r="C2582" s="1" t="s">
        <v>4266</v>
      </c>
      <c r="D2582" s="1" t="s">
        <v>6210</v>
      </c>
      <c r="E2582" s="1" t="str">
        <f>"2320"</f>
        <v>2320</v>
      </c>
      <c r="F2582" s="1" t="s">
        <v>1664</v>
      </c>
      <c r="G2582" s="1" t="s">
        <v>1665</v>
      </c>
      <c r="H2582" s="1" t="s">
        <v>15</v>
      </c>
      <c r="I2582" s="1" t="str">
        <f>"1"</f>
        <v>1</v>
      </c>
      <c r="J2582" s="3" t="str">
        <f>"54826"</f>
        <v>54826</v>
      </c>
      <c r="K2582" s="4">
        <v>46055</v>
      </c>
      <c r="L2582" s="4">
        <v>46060</v>
      </c>
      <c r="M2582" s="1" t="s">
        <v>6209</v>
      </c>
      <c r="N2582" s="1" t="s">
        <v>6208</v>
      </c>
    </row>
    <row r="2583" spans="1:14" s="1" customFormat="1" x14ac:dyDescent="0.35">
      <c r="A2583" s="1" t="s">
        <v>4492</v>
      </c>
      <c r="B2583" s="1" t="s">
        <v>4247</v>
      </c>
      <c r="C2583" s="1" t="s">
        <v>4266</v>
      </c>
      <c r="D2583" s="1" t="s">
        <v>6207</v>
      </c>
      <c r="E2583" s="1" t="str">
        <f>"2340"</f>
        <v>2340</v>
      </c>
      <c r="F2583" s="1" t="s">
        <v>1071</v>
      </c>
      <c r="G2583" s="1" t="s">
        <v>1072</v>
      </c>
      <c r="H2583" s="1" t="s">
        <v>15</v>
      </c>
      <c r="I2583" s="1" t="str">
        <f>"4"</f>
        <v>4</v>
      </c>
      <c r="J2583" s="3">
        <v>14227.95</v>
      </c>
      <c r="K2583" s="4">
        <v>46062</v>
      </c>
      <c r="L2583" s="4">
        <v>46062</v>
      </c>
      <c r="M2583" s="1" t="s">
        <v>4524</v>
      </c>
      <c r="N2583" s="1" t="s">
        <v>6206</v>
      </c>
    </row>
    <row r="2584" spans="1:14" s="1" customFormat="1" x14ac:dyDescent="0.35">
      <c r="A2584" s="1" t="s">
        <v>4492</v>
      </c>
      <c r="B2584" s="1" t="s">
        <v>4247</v>
      </c>
      <c r="C2584" s="1" t="s">
        <v>4266</v>
      </c>
      <c r="D2584" s="1" t="s">
        <v>6205</v>
      </c>
      <c r="E2584" s="1" t="str">
        <f>"6230"</f>
        <v>6230</v>
      </c>
      <c r="F2584" s="1" t="s">
        <v>3594</v>
      </c>
      <c r="G2584" s="1" t="s">
        <v>3595</v>
      </c>
      <c r="H2584" s="1" t="s">
        <v>15</v>
      </c>
      <c r="I2584" s="1" t="str">
        <f>"1"</f>
        <v>1</v>
      </c>
      <c r="J2584" s="3" t="str">
        <f>"21"</f>
        <v>21</v>
      </c>
      <c r="K2584" s="4">
        <v>46093</v>
      </c>
      <c r="L2584" s="4">
        <v>46093</v>
      </c>
      <c r="N2584" s="1" t="s">
        <v>6204</v>
      </c>
    </row>
    <row r="2585" spans="1:14" s="1" customFormat="1" x14ac:dyDescent="0.35">
      <c r="A2585" s="1" t="s">
        <v>4492</v>
      </c>
      <c r="B2585" s="1" t="s">
        <v>1516</v>
      </c>
      <c r="C2585" s="1" t="s">
        <v>6203</v>
      </c>
      <c r="D2585" s="1" t="s">
        <v>6202</v>
      </c>
      <c r="E2585" s="1" t="str">
        <f>"6545"</f>
        <v>6545</v>
      </c>
      <c r="F2585" s="1" t="str">
        <f>"015300929"</f>
        <v>015300929</v>
      </c>
      <c r="G2585" s="1" t="s">
        <v>167</v>
      </c>
      <c r="H2585" s="1" t="s">
        <v>168</v>
      </c>
      <c r="I2585" s="1" t="str">
        <f>"30"</f>
        <v>30</v>
      </c>
      <c r="J2585" s="3">
        <v>48.71</v>
      </c>
      <c r="K2585" s="4">
        <v>46089</v>
      </c>
      <c r="L2585" s="4">
        <v>46095</v>
      </c>
      <c r="M2585" s="1" t="s">
        <v>6201</v>
      </c>
      <c r="N2585" s="1" t="s">
        <v>6200</v>
      </c>
    </row>
    <row r="2586" spans="1:14" s="1" customFormat="1" x14ac:dyDescent="0.35">
      <c r="A2586" s="1" t="s">
        <v>4492</v>
      </c>
      <c r="B2586" s="1" t="s">
        <v>1303</v>
      </c>
      <c r="C2586" s="1" t="s">
        <v>6199</v>
      </c>
      <c r="D2586" s="1" t="s">
        <v>6198</v>
      </c>
      <c r="E2586" s="1" t="str">
        <f>"4240"</f>
        <v>4240</v>
      </c>
      <c r="F2586" s="1" t="str">
        <f>"015045727"</f>
        <v>015045727</v>
      </c>
      <c r="G2586" s="1" t="s">
        <v>1354</v>
      </c>
      <c r="H2586" s="1" t="s">
        <v>15</v>
      </c>
      <c r="I2586" s="1" t="str">
        <f>"22"</f>
        <v>22</v>
      </c>
      <c r="J2586" s="3">
        <v>71.900000000000006</v>
      </c>
      <c r="K2586" s="4">
        <v>46059</v>
      </c>
      <c r="L2586" s="4">
        <v>46060</v>
      </c>
      <c r="M2586" s="1" t="s">
        <v>4524</v>
      </c>
      <c r="N2586" s="1" t="s">
        <v>6197</v>
      </c>
    </row>
    <row r="2587" spans="1:14" s="1" customFormat="1" x14ac:dyDescent="0.35">
      <c r="A2587" s="1" t="s">
        <v>4492</v>
      </c>
      <c r="B2587" s="1" t="s">
        <v>435</v>
      </c>
      <c r="C2587" s="1" t="s">
        <v>472</v>
      </c>
      <c r="D2587" s="1" t="s">
        <v>6196</v>
      </c>
      <c r="E2587" s="1" t="str">
        <f>"1240"</f>
        <v>1240</v>
      </c>
      <c r="F2587" s="1" t="str">
        <f>"016196561"</f>
        <v>016196561</v>
      </c>
      <c r="G2587" s="1" t="s">
        <v>5824</v>
      </c>
      <c r="H2587" s="1" t="s">
        <v>15</v>
      </c>
      <c r="I2587" s="1" t="str">
        <f>"1"</f>
        <v>1</v>
      </c>
      <c r="J2587" s="3" t="str">
        <f>"2469"</f>
        <v>2469</v>
      </c>
      <c r="K2587" s="4">
        <v>46040</v>
      </c>
      <c r="L2587" s="4">
        <v>46107</v>
      </c>
      <c r="M2587" s="1" t="s">
        <v>6195</v>
      </c>
      <c r="N2587" s="1" t="s">
        <v>6194</v>
      </c>
    </row>
    <row r="2588" spans="1:14" s="1" customFormat="1" x14ac:dyDescent="0.35">
      <c r="A2588" s="1" t="s">
        <v>4492</v>
      </c>
      <c r="B2588" s="1" t="s">
        <v>435</v>
      </c>
      <c r="C2588" s="1" t="s">
        <v>472</v>
      </c>
      <c r="D2588" s="1" t="s">
        <v>6193</v>
      </c>
      <c r="E2588" s="1" t="str">
        <f>"5855"</f>
        <v>5855</v>
      </c>
      <c r="F2588" s="1" t="str">
        <f>"015330555"</f>
        <v>015330555</v>
      </c>
      <c r="G2588" s="1" t="s">
        <v>476</v>
      </c>
      <c r="H2588" s="1" t="s">
        <v>15</v>
      </c>
      <c r="I2588" s="1" t="str">
        <f>"30"</f>
        <v>30</v>
      </c>
      <c r="J2588" s="3" t="str">
        <f>"1800"</f>
        <v>1800</v>
      </c>
      <c r="K2588" s="4">
        <v>46040</v>
      </c>
      <c r="L2588" s="4">
        <v>46108</v>
      </c>
      <c r="M2588" s="1" t="s">
        <v>6192</v>
      </c>
      <c r="N2588" s="1" t="s">
        <v>6191</v>
      </c>
    </row>
    <row r="2589" spans="1:14" s="1" customFormat="1" x14ac:dyDescent="0.35">
      <c r="A2589" s="1" t="s">
        <v>4492</v>
      </c>
      <c r="B2589" s="1" t="s">
        <v>435</v>
      </c>
      <c r="C2589" s="1" t="s">
        <v>472</v>
      </c>
      <c r="D2589" s="1" t="s">
        <v>6190</v>
      </c>
      <c r="E2589" s="1" t="str">
        <f>"5855"</f>
        <v>5855</v>
      </c>
      <c r="F2589" s="1" t="str">
        <f>"015485687"</f>
        <v>015485687</v>
      </c>
      <c r="G2589" s="1" t="s">
        <v>798</v>
      </c>
      <c r="H2589" s="1" t="s">
        <v>15</v>
      </c>
      <c r="I2589" s="1" t="str">
        <f>"30"</f>
        <v>30</v>
      </c>
      <c r="J2589" s="3" t="str">
        <f>"10402"</f>
        <v>10402</v>
      </c>
      <c r="K2589" s="4">
        <v>46043</v>
      </c>
      <c r="L2589" s="4">
        <v>46071</v>
      </c>
      <c r="M2589" s="1" t="s">
        <v>6189</v>
      </c>
      <c r="N2589" s="1" t="s">
        <v>6188</v>
      </c>
    </row>
    <row r="2590" spans="1:14" s="1" customFormat="1" x14ac:dyDescent="0.35">
      <c r="A2590" s="1" t="s">
        <v>4492</v>
      </c>
      <c r="B2590" s="1" t="s">
        <v>3822</v>
      </c>
      <c r="C2590" s="1" t="s">
        <v>4189</v>
      </c>
      <c r="D2590" s="1" t="s">
        <v>6187</v>
      </c>
      <c r="E2590" s="1" t="str">
        <f>"5180"</f>
        <v>5180</v>
      </c>
      <c r="F2590" s="1" t="str">
        <f>"015487634"</f>
        <v>015487634</v>
      </c>
      <c r="G2590" s="1" t="s">
        <v>1831</v>
      </c>
      <c r="H2590" s="1" t="s">
        <v>257</v>
      </c>
      <c r="I2590" s="1" t="str">
        <f>"2"</f>
        <v>2</v>
      </c>
      <c r="J2590" s="3" t="str">
        <f>"2048"</f>
        <v>2048</v>
      </c>
      <c r="K2590" s="4">
        <v>46084</v>
      </c>
      <c r="L2590" s="4">
        <v>46087</v>
      </c>
      <c r="M2590" s="1" t="s">
        <v>6186</v>
      </c>
      <c r="N2590" s="1" t="s">
        <v>6185</v>
      </c>
    </row>
    <row r="2591" spans="1:14" s="1" customFormat="1" x14ac:dyDescent="0.35">
      <c r="A2591" s="1" t="s">
        <v>4492</v>
      </c>
      <c r="B2591" s="1" t="s">
        <v>3822</v>
      </c>
      <c r="C2591" s="1" t="s">
        <v>4189</v>
      </c>
      <c r="D2591" s="1" t="s">
        <v>6184</v>
      </c>
      <c r="E2591" s="1" t="str">
        <f>"2310"</f>
        <v>2310</v>
      </c>
      <c r="F2591" s="1" t="str">
        <f>"016544105"</f>
        <v>016544105</v>
      </c>
      <c r="G2591" s="1" t="s">
        <v>232</v>
      </c>
      <c r="H2591" s="1" t="s">
        <v>15</v>
      </c>
      <c r="I2591" s="1" t="str">
        <f>"1"</f>
        <v>1</v>
      </c>
      <c r="J2591" s="3">
        <v>31905.14</v>
      </c>
      <c r="K2591" s="4">
        <v>46084</v>
      </c>
      <c r="L2591" s="4">
        <v>46087</v>
      </c>
      <c r="M2591" s="1" t="s">
        <v>6183</v>
      </c>
      <c r="N2591" s="1" t="s">
        <v>6182</v>
      </c>
    </row>
    <row r="2592" spans="1:14" s="1" customFormat="1" x14ac:dyDescent="0.35">
      <c r="A2592" s="1" t="s">
        <v>4492</v>
      </c>
      <c r="B2592" s="1" t="s">
        <v>2368</v>
      </c>
      <c r="C2592" s="1" t="s">
        <v>2568</v>
      </c>
      <c r="D2592" s="1" t="s">
        <v>6181</v>
      </c>
      <c r="E2592" s="1" t="str">
        <f>"2340"</f>
        <v>2340</v>
      </c>
      <c r="F2592" s="1" t="s">
        <v>1071</v>
      </c>
      <c r="G2592" s="1" t="s">
        <v>1072</v>
      </c>
      <c r="H2592" s="1" t="s">
        <v>15</v>
      </c>
      <c r="I2592" s="1" t="str">
        <f>"2"</f>
        <v>2</v>
      </c>
      <c r="J2592" s="3">
        <v>37739.58</v>
      </c>
      <c r="K2592" s="4">
        <v>46011</v>
      </c>
      <c r="L2592" s="4">
        <v>46025</v>
      </c>
      <c r="M2592" s="1" t="s">
        <v>6180</v>
      </c>
      <c r="N2592" s="1" t="s">
        <v>6179</v>
      </c>
    </row>
    <row r="2593" spans="1:14" s="1" customFormat="1" x14ac:dyDescent="0.35">
      <c r="A2593" s="1" t="s">
        <v>4492</v>
      </c>
      <c r="B2593" s="1" t="s">
        <v>2368</v>
      </c>
      <c r="C2593" s="1" t="s">
        <v>2568</v>
      </c>
      <c r="D2593" s="1" t="s">
        <v>6178</v>
      </c>
      <c r="E2593" s="1" t="str">
        <f>"2320"</f>
        <v>2320</v>
      </c>
      <c r="F2593" s="1" t="s">
        <v>100</v>
      </c>
      <c r="G2593" s="1" t="s">
        <v>101</v>
      </c>
      <c r="H2593" s="1" t="s">
        <v>15</v>
      </c>
      <c r="I2593" s="1" t="str">
        <f>"1"</f>
        <v>1</v>
      </c>
      <c r="J2593" s="3" t="str">
        <f>"33000"</f>
        <v>33000</v>
      </c>
      <c r="K2593" s="4">
        <v>46082</v>
      </c>
      <c r="L2593" s="4">
        <v>46095</v>
      </c>
      <c r="M2593" s="1" t="s">
        <v>6177</v>
      </c>
      <c r="N2593" s="1" t="s">
        <v>6176</v>
      </c>
    </row>
    <row r="2594" spans="1:14" s="1" customFormat="1" x14ac:dyDescent="0.35">
      <c r="A2594" s="1" t="s">
        <v>4492</v>
      </c>
      <c r="B2594" s="1" t="s">
        <v>2368</v>
      </c>
      <c r="C2594" s="1" t="s">
        <v>2568</v>
      </c>
      <c r="D2594" s="1" t="s">
        <v>6175</v>
      </c>
      <c r="E2594" s="1" t="str">
        <f>"4240"</f>
        <v>4240</v>
      </c>
      <c r="F2594" s="1" t="str">
        <f>"015387970"</f>
        <v>015387970</v>
      </c>
      <c r="G2594" s="1" t="s">
        <v>6174</v>
      </c>
      <c r="H2594" s="1" t="s">
        <v>6173</v>
      </c>
      <c r="I2594" s="1" t="str">
        <f>"14"</f>
        <v>14</v>
      </c>
      <c r="J2594" s="3">
        <v>143.19999999999999</v>
      </c>
      <c r="K2594" s="4">
        <v>46082</v>
      </c>
      <c r="L2594" s="4">
        <v>46087</v>
      </c>
      <c r="M2594" s="1" t="s">
        <v>6172</v>
      </c>
      <c r="N2594" s="1" t="s">
        <v>6171</v>
      </c>
    </row>
    <row r="2595" spans="1:14" s="1" customFormat="1" x14ac:dyDescent="0.35">
      <c r="A2595" s="1" t="s">
        <v>4492</v>
      </c>
      <c r="B2595" s="1" t="s">
        <v>1791</v>
      </c>
      <c r="C2595" s="1" t="s">
        <v>6167</v>
      </c>
      <c r="D2595" s="1" t="s">
        <v>6170</v>
      </c>
      <c r="E2595" s="1" t="str">
        <f>"1385"</f>
        <v>1385</v>
      </c>
      <c r="F2595" s="1" t="str">
        <f>"016274491"</f>
        <v>016274491</v>
      </c>
      <c r="G2595" s="1" t="s">
        <v>6169</v>
      </c>
      <c r="H2595" s="1" t="s">
        <v>15</v>
      </c>
      <c r="I2595" s="1" t="str">
        <f>"1"</f>
        <v>1</v>
      </c>
      <c r="J2595" s="3">
        <v>11556.33</v>
      </c>
      <c r="K2595" s="4">
        <v>45978</v>
      </c>
      <c r="L2595" s="4">
        <v>46044</v>
      </c>
      <c r="M2595" s="1" t="s">
        <v>6168</v>
      </c>
      <c r="N2595" s="1" t="s">
        <v>6164</v>
      </c>
    </row>
    <row r="2596" spans="1:14" s="1" customFormat="1" x14ac:dyDescent="0.35">
      <c r="A2596" s="1" t="s">
        <v>4492</v>
      </c>
      <c r="B2596" s="1" t="s">
        <v>1791</v>
      </c>
      <c r="C2596" s="1" t="s">
        <v>6167</v>
      </c>
      <c r="D2596" s="1" t="s">
        <v>6166</v>
      </c>
      <c r="E2596" s="1" t="str">
        <f>"2360"</f>
        <v>2360</v>
      </c>
      <c r="F2596" s="1" t="str">
        <f>"016651491"</f>
        <v>016651491</v>
      </c>
      <c r="G2596" s="1" t="s">
        <v>1275</v>
      </c>
      <c r="H2596" s="1" t="s">
        <v>15</v>
      </c>
      <c r="I2596" s="1" t="str">
        <f>"2"</f>
        <v>2</v>
      </c>
      <c r="J2596" s="3" t="str">
        <f>"17125"</f>
        <v>17125</v>
      </c>
      <c r="K2596" s="4">
        <v>45978</v>
      </c>
      <c r="L2596" s="4">
        <v>46027</v>
      </c>
      <c r="M2596" s="1" t="s">
        <v>6165</v>
      </c>
      <c r="N2596" s="1" t="s">
        <v>6164</v>
      </c>
    </row>
    <row r="2597" spans="1:14" s="1" customFormat="1" x14ac:dyDescent="0.35">
      <c r="A2597" s="1" t="s">
        <v>4492</v>
      </c>
      <c r="B2597" s="1" t="s">
        <v>1791</v>
      </c>
      <c r="C2597" s="1" t="s">
        <v>1888</v>
      </c>
      <c r="D2597" s="1" t="s">
        <v>6163</v>
      </c>
      <c r="E2597" s="1" t="str">
        <f>"2340"</f>
        <v>2340</v>
      </c>
      <c r="F2597" s="1" t="s">
        <v>1071</v>
      </c>
      <c r="G2597" s="1" t="s">
        <v>1072</v>
      </c>
      <c r="H2597" s="1" t="s">
        <v>15</v>
      </c>
      <c r="I2597" s="1" t="str">
        <f>"2"</f>
        <v>2</v>
      </c>
      <c r="J2597" s="3">
        <v>14227.95</v>
      </c>
      <c r="K2597" s="4">
        <v>46062</v>
      </c>
      <c r="L2597" s="4">
        <v>46062</v>
      </c>
      <c r="M2597" s="1" t="s">
        <v>4524</v>
      </c>
      <c r="N2597" s="1" t="s">
        <v>6162</v>
      </c>
    </row>
    <row r="2598" spans="1:14" s="1" customFormat="1" x14ac:dyDescent="0.35">
      <c r="A2598" s="1" t="s">
        <v>4492</v>
      </c>
      <c r="B2598" s="1" t="s">
        <v>1791</v>
      </c>
      <c r="C2598" s="1" t="s">
        <v>1888</v>
      </c>
      <c r="D2598" s="1" t="s">
        <v>6161</v>
      </c>
      <c r="E2598" s="1" t="str">
        <f>"1080"</f>
        <v>1080</v>
      </c>
      <c r="F2598" s="1" t="str">
        <f>"014572956"</f>
        <v>014572956</v>
      </c>
      <c r="G2598" s="1" t="s">
        <v>2705</v>
      </c>
      <c r="H2598" s="1" t="s">
        <v>15</v>
      </c>
      <c r="I2598" s="1" t="str">
        <f>"10"</f>
        <v>10</v>
      </c>
      <c r="J2598" s="3" t="str">
        <f>"3477"</f>
        <v>3477</v>
      </c>
      <c r="K2598" s="4">
        <v>46084</v>
      </c>
      <c r="L2598" s="4">
        <v>46087</v>
      </c>
      <c r="M2598" s="1" t="s">
        <v>6160</v>
      </c>
      <c r="N2598" s="1" t="s">
        <v>6159</v>
      </c>
    </row>
    <row r="2599" spans="1:14" s="1" customFormat="1" x14ac:dyDescent="0.35">
      <c r="A2599" s="1" t="s">
        <v>4492</v>
      </c>
      <c r="B2599" s="1" t="s">
        <v>1791</v>
      </c>
      <c r="C2599" s="1" t="s">
        <v>1888</v>
      </c>
      <c r="D2599" s="1" t="s">
        <v>6158</v>
      </c>
      <c r="E2599" s="1" t="str">
        <f>"4240"</f>
        <v>4240</v>
      </c>
      <c r="F2599" s="1" t="str">
        <f>"015835742"</f>
        <v>015835742</v>
      </c>
      <c r="G2599" s="1" t="s">
        <v>1404</v>
      </c>
      <c r="H2599" s="1" t="s">
        <v>15</v>
      </c>
      <c r="I2599" s="1" t="str">
        <f>"20"</f>
        <v>20</v>
      </c>
      <c r="J2599" s="3">
        <v>63.41</v>
      </c>
      <c r="K2599" s="4">
        <v>46084</v>
      </c>
      <c r="L2599" s="4">
        <v>46087</v>
      </c>
      <c r="M2599" s="1" t="s">
        <v>6157</v>
      </c>
      <c r="N2599" s="1" t="s">
        <v>6156</v>
      </c>
    </row>
    <row r="2600" spans="1:14" s="1" customFormat="1" x14ac:dyDescent="0.35">
      <c r="A2600" s="1" t="s">
        <v>4492</v>
      </c>
      <c r="B2600" s="1" t="s">
        <v>1791</v>
      </c>
      <c r="C2600" s="1" t="s">
        <v>1888</v>
      </c>
      <c r="D2600" s="1" t="s">
        <v>6155</v>
      </c>
      <c r="E2600" s="1" t="str">
        <f>"2320"</f>
        <v>2320</v>
      </c>
      <c r="F2600" s="1" t="s">
        <v>100</v>
      </c>
      <c r="G2600" s="1" t="s">
        <v>101</v>
      </c>
      <c r="H2600" s="1" t="s">
        <v>15</v>
      </c>
      <c r="I2600" s="1" t="str">
        <f>"1"</f>
        <v>1</v>
      </c>
      <c r="J2600" s="3" t="str">
        <f>"61735"</f>
        <v>61735</v>
      </c>
      <c r="K2600" s="4">
        <v>46095</v>
      </c>
      <c r="L2600" s="4">
        <v>46109</v>
      </c>
      <c r="M2600" s="1" t="s">
        <v>6154</v>
      </c>
      <c r="N2600" s="1" t="s">
        <v>6153</v>
      </c>
    </row>
    <row r="2601" spans="1:14" s="1" customFormat="1" x14ac:dyDescent="0.35">
      <c r="A2601" s="1" t="s">
        <v>4492</v>
      </c>
      <c r="B2601" s="1" t="s">
        <v>3356</v>
      </c>
      <c r="C2601" s="1" t="s">
        <v>3661</v>
      </c>
      <c r="D2601" s="1" t="s">
        <v>6152</v>
      </c>
      <c r="E2601" s="1" t="str">
        <f>"5180"</f>
        <v>5180</v>
      </c>
      <c r="F2601" s="1" t="str">
        <f>"015656434"</f>
        <v>015656434</v>
      </c>
      <c r="G2601" s="1" t="s">
        <v>1831</v>
      </c>
      <c r="H2601" s="1" t="s">
        <v>168</v>
      </c>
      <c r="I2601" s="1" t="str">
        <f>"1"</f>
        <v>1</v>
      </c>
      <c r="J2601" s="3">
        <v>11218.59</v>
      </c>
      <c r="K2601" s="4">
        <v>46055</v>
      </c>
      <c r="L2601" s="4">
        <v>46094</v>
      </c>
      <c r="M2601" s="1" t="s">
        <v>6151</v>
      </c>
      <c r="N2601" s="1" t="s">
        <v>6150</v>
      </c>
    </row>
    <row r="2602" spans="1:14" s="1" customFormat="1" x14ac:dyDescent="0.35">
      <c r="A2602" s="1" t="s">
        <v>4492</v>
      </c>
      <c r="B2602" s="1" t="s">
        <v>3356</v>
      </c>
      <c r="C2602" s="1" t="s">
        <v>3661</v>
      </c>
      <c r="D2602" s="1" t="s">
        <v>6149</v>
      </c>
      <c r="E2602" s="1" t="str">
        <f>"2340"</f>
        <v>2340</v>
      </c>
      <c r="F2602" s="1" t="s">
        <v>1071</v>
      </c>
      <c r="G2602" s="1" t="s">
        <v>1072</v>
      </c>
      <c r="H2602" s="1" t="s">
        <v>15</v>
      </c>
      <c r="I2602" s="1" t="str">
        <f>"1"</f>
        <v>1</v>
      </c>
      <c r="J2602" s="3" t="str">
        <f>"9000"</f>
        <v>9000</v>
      </c>
      <c r="K2602" s="4">
        <v>46099</v>
      </c>
      <c r="L2602" s="4">
        <v>46103</v>
      </c>
      <c r="M2602" s="1" t="s">
        <v>6148</v>
      </c>
      <c r="N2602" s="1" t="s">
        <v>6139</v>
      </c>
    </row>
    <row r="2603" spans="1:14" s="1" customFormat="1" x14ac:dyDescent="0.35">
      <c r="A2603" s="1" t="s">
        <v>4492</v>
      </c>
      <c r="B2603" s="1" t="s">
        <v>3356</v>
      </c>
      <c r="C2603" s="1" t="s">
        <v>3661</v>
      </c>
      <c r="D2603" s="1" t="s">
        <v>6147</v>
      </c>
      <c r="E2603" s="1" t="str">
        <f>"1550"</f>
        <v>1550</v>
      </c>
      <c r="F2603" s="1" t="str">
        <f>"015389256"</f>
        <v>015389256</v>
      </c>
      <c r="G2603" s="1" t="s">
        <v>1287</v>
      </c>
      <c r="H2603" s="1" t="s">
        <v>15</v>
      </c>
      <c r="I2603" s="1" t="str">
        <f>"1"</f>
        <v>1</v>
      </c>
      <c r="J2603" s="3" t="str">
        <f>"100000"</f>
        <v>100000</v>
      </c>
      <c r="K2603" s="4">
        <v>46099</v>
      </c>
      <c r="L2603" s="4">
        <v>46104</v>
      </c>
      <c r="M2603" s="1" t="s">
        <v>6146</v>
      </c>
      <c r="N2603" s="1" t="s">
        <v>6145</v>
      </c>
    </row>
    <row r="2604" spans="1:14" s="1" customFormat="1" x14ac:dyDescent="0.35">
      <c r="A2604" s="1" t="s">
        <v>4492</v>
      </c>
      <c r="B2604" s="1" t="s">
        <v>3356</v>
      </c>
      <c r="C2604" s="1" t="s">
        <v>3661</v>
      </c>
      <c r="D2604" s="1" t="s">
        <v>6144</v>
      </c>
      <c r="E2604" s="1" t="str">
        <f>"1095"</f>
        <v>1095</v>
      </c>
      <c r="F2604" s="1" t="str">
        <f>"015432189"</f>
        <v>015432189</v>
      </c>
      <c r="G2604" s="1" t="s">
        <v>704</v>
      </c>
      <c r="H2604" s="1" t="s">
        <v>15</v>
      </c>
      <c r="I2604" s="1" t="str">
        <f>"10"</f>
        <v>10</v>
      </c>
      <c r="J2604" s="3" t="str">
        <f>"959"</f>
        <v>959</v>
      </c>
      <c r="K2604" s="4">
        <v>46099</v>
      </c>
      <c r="L2604" s="4">
        <v>46104</v>
      </c>
      <c r="M2604" s="1" t="s">
        <v>6143</v>
      </c>
      <c r="N2604" s="1" t="s">
        <v>6142</v>
      </c>
    </row>
    <row r="2605" spans="1:14" s="1" customFormat="1" x14ac:dyDescent="0.35">
      <c r="A2605" s="1" t="s">
        <v>4492</v>
      </c>
      <c r="B2605" s="1" t="s">
        <v>3356</v>
      </c>
      <c r="C2605" s="1" t="s">
        <v>3661</v>
      </c>
      <c r="D2605" s="1" t="s">
        <v>6141</v>
      </c>
      <c r="E2605" s="1" t="str">
        <f>"2340"</f>
        <v>2340</v>
      </c>
      <c r="F2605" s="1" t="s">
        <v>1071</v>
      </c>
      <c r="G2605" s="1" t="s">
        <v>1072</v>
      </c>
      <c r="H2605" s="1" t="s">
        <v>15</v>
      </c>
      <c r="I2605" s="1" t="str">
        <f>"1"</f>
        <v>1</v>
      </c>
      <c r="J2605" s="3" t="str">
        <f>"5000"</f>
        <v>5000</v>
      </c>
      <c r="K2605" s="4">
        <v>46099</v>
      </c>
      <c r="L2605" s="4">
        <v>46101</v>
      </c>
      <c r="M2605" s="1" t="s">
        <v>6140</v>
      </c>
      <c r="N2605" s="1" t="s">
        <v>6139</v>
      </c>
    </row>
    <row r="2606" spans="1:14" s="1" customFormat="1" x14ac:dyDescent="0.35">
      <c r="A2606" s="1" t="s">
        <v>4492</v>
      </c>
      <c r="B2606" s="1" t="s">
        <v>1013</v>
      </c>
      <c r="C2606" s="1" t="s">
        <v>1083</v>
      </c>
      <c r="D2606" s="1" t="s">
        <v>6138</v>
      </c>
      <c r="E2606" s="1" t="str">
        <f>"2340"</f>
        <v>2340</v>
      </c>
      <c r="F2606" s="1" t="s">
        <v>2469</v>
      </c>
      <c r="G2606" s="1" t="s">
        <v>2470</v>
      </c>
      <c r="H2606" s="1" t="s">
        <v>15</v>
      </c>
      <c r="I2606" s="1" t="str">
        <f>"2"</f>
        <v>2</v>
      </c>
      <c r="J2606" s="3" t="str">
        <f>"1000"</f>
        <v>1000</v>
      </c>
      <c r="K2606" s="4">
        <v>45922</v>
      </c>
      <c r="L2606" s="4">
        <v>46031</v>
      </c>
      <c r="M2606" s="1" t="s">
        <v>6137</v>
      </c>
      <c r="N2606" s="1" t="s">
        <v>6136</v>
      </c>
    </row>
    <row r="2607" spans="1:14" s="1" customFormat="1" x14ac:dyDescent="0.35">
      <c r="A2607" s="1" t="s">
        <v>4492</v>
      </c>
      <c r="B2607" s="1" t="s">
        <v>1013</v>
      </c>
      <c r="C2607" s="1" t="s">
        <v>1083</v>
      </c>
      <c r="D2607" s="1" t="s">
        <v>6135</v>
      </c>
      <c r="E2607" s="1" t="str">
        <f>"6115"</f>
        <v>6115</v>
      </c>
      <c r="F2607" s="1" t="str">
        <f>"012747387"</f>
        <v>012747387</v>
      </c>
      <c r="G2607" s="1" t="s">
        <v>383</v>
      </c>
      <c r="H2607" s="1" t="s">
        <v>15</v>
      </c>
      <c r="I2607" s="1" t="str">
        <f>"2"</f>
        <v>2</v>
      </c>
      <c r="J2607" s="3">
        <v>12797.7</v>
      </c>
      <c r="K2607" s="4">
        <v>45929</v>
      </c>
      <c r="L2607" s="4">
        <v>46031</v>
      </c>
      <c r="M2607" s="1" t="s">
        <v>6134</v>
      </c>
      <c r="N2607" s="1" t="s">
        <v>6133</v>
      </c>
    </row>
    <row r="2608" spans="1:14" s="1" customFormat="1" x14ac:dyDescent="0.35">
      <c r="A2608" s="1" t="s">
        <v>4492</v>
      </c>
      <c r="B2608" s="1" t="s">
        <v>1013</v>
      </c>
      <c r="C2608" s="1" t="s">
        <v>1083</v>
      </c>
      <c r="D2608" s="1" t="s">
        <v>6132</v>
      </c>
      <c r="E2608" s="1" t="str">
        <f>"3438"</f>
        <v>3438</v>
      </c>
      <c r="F2608" s="1" t="s">
        <v>486</v>
      </c>
      <c r="G2608" s="1" t="s">
        <v>487</v>
      </c>
      <c r="H2608" s="1" t="s">
        <v>15</v>
      </c>
      <c r="I2608" s="1" t="str">
        <f>"2"</f>
        <v>2</v>
      </c>
      <c r="J2608" s="3" t="str">
        <f>"1000"</f>
        <v>1000</v>
      </c>
      <c r="K2608" s="4">
        <v>45980</v>
      </c>
      <c r="L2608" s="4">
        <v>46031</v>
      </c>
      <c r="M2608" s="1" t="s">
        <v>6131</v>
      </c>
      <c r="N2608" s="1" t="s">
        <v>6130</v>
      </c>
    </row>
    <row r="2609" spans="1:14" s="1" customFormat="1" x14ac:dyDescent="0.35">
      <c r="A2609" s="1" t="s">
        <v>4492</v>
      </c>
      <c r="B2609" s="1" t="s">
        <v>1013</v>
      </c>
      <c r="C2609" s="1" t="s">
        <v>1083</v>
      </c>
      <c r="D2609" s="1" t="s">
        <v>6129</v>
      </c>
      <c r="E2609" s="1" t="str">
        <f>"5965"</f>
        <v>5965</v>
      </c>
      <c r="F2609" s="1" t="str">
        <f>"013857813"</f>
        <v>013857813</v>
      </c>
      <c r="G2609" s="1" t="s">
        <v>209</v>
      </c>
      <c r="H2609" s="1" t="s">
        <v>15</v>
      </c>
      <c r="I2609" s="1" t="str">
        <f>"3"</f>
        <v>3</v>
      </c>
      <c r="J2609" s="3" t="str">
        <f>"1602"</f>
        <v>1602</v>
      </c>
      <c r="K2609" s="4">
        <v>45980</v>
      </c>
      <c r="L2609" s="4">
        <v>46031</v>
      </c>
      <c r="M2609" s="1" t="s">
        <v>6128</v>
      </c>
      <c r="N2609" s="1" t="s">
        <v>6127</v>
      </c>
    </row>
    <row r="2610" spans="1:14" s="1" customFormat="1" x14ac:dyDescent="0.35">
      <c r="A2610" s="1" t="s">
        <v>4492</v>
      </c>
      <c r="B2610" s="1" t="s">
        <v>1013</v>
      </c>
      <c r="C2610" s="1" t="s">
        <v>1083</v>
      </c>
      <c r="D2610" s="1" t="s">
        <v>6126</v>
      </c>
      <c r="E2610" s="1" t="str">
        <f>"2340"</f>
        <v>2340</v>
      </c>
      <c r="F2610" s="1" t="s">
        <v>1071</v>
      </c>
      <c r="G2610" s="1" t="s">
        <v>1072</v>
      </c>
      <c r="H2610" s="1" t="s">
        <v>15</v>
      </c>
      <c r="I2610" s="1" t="str">
        <f>"1"</f>
        <v>1</v>
      </c>
      <c r="J2610" s="3" t="str">
        <f>"20000"</f>
        <v>20000</v>
      </c>
      <c r="K2610" s="4">
        <v>45980</v>
      </c>
      <c r="L2610" s="4">
        <v>46031</v>
      </c>
      <c r="M2610" s="1" t="s">
        <v>6125</v>
      </c>
      <c r="N2610" s="1" t="s">
        <v>6124</v>
      </c>
    </row>
    <row r="2611" spans="1:14" s="1" customFormat="1" x14ac:dyDescent="0.35">
      <c r="A2611" s="1" t="s">
        <v>4492</v>
      </c>
      <c r="B2611" s="1" t="s">
        <v>1013</v>
      </c>
      <c r="C2611" s="1" t="s">
        <v>1083</v>
      </c>
      <c r="D2611" s="1" t="s">
        <v>6123</v>
      </c>
      <c r="E2611" s="1" t="str">
        <f>"3431"</f>
        <v>3431</v>
      </c>
      <c r="F2611" s="1" t="str">
        <f>"012462247"</f>
        <v>012462247</v>
      </c>
      <c r="G2611" s="1" t="s">
        <v>6122</v>
      </c>
      <c r="H2611" s="1" t="s">
        <v>15</v>
      </c>
      <c r="I2611" s="1" t="str">
        <f>"2"</f>
        <v>2</v>
      </c>
      <c r="J2611" s="3" t="str">
        <f>"13540"</f>
        <v>13540</v>
      </c>
      <c r="K2611" s="4">
        <v>45980</v>
      </c>
      <c r="L2611" s="4">
        <v>46031</v>
      </c>
      <c r="M2611" s="1" t="s">
        <v>6121</v>
      </c>
      <c r="N2611" s="1" t="s">
        <v>6120</v>
      </c>
    </row>
    <row r="2612" spans="1:14" s="1" customFormat="1" x14ac:dyDescent="0.35">
      <c r="A2612" s="1" t="s">
        <v>4492</v>
      </c>
      <c r="B2612" s="1" t="s">
        <v>1013</v>
      </c>
      <c r="C2612" s="1" t="s">
        <v>1083</v>
      </c>
      <c r="D2612" s="1" t="s">
        <v>6119</v>
      </c>
      <c r="E2612" s="1" t="str">
        <f>"6115"</f>
        <v>6115</v>
      </c>
      <c r="F2612" s="1" t="str">
        <f>"013134216"</f>
        <v>013134216</v>
      </c>
      <c r="G2612" s="1" t="s">
        <v>1218</v>
      </c>
      <c r="H2612" s="1" t="s">
        <v>15</v>
      </c>
      <c r="I2612" s="1" t="str">
        <f>"1"</f>
        <v>1</v>
      </c>
      <c r="J2612" s="3" t="str">
        <f>"33085"</f>
        <v>33085</v>
      </c>
      <c r="K2612" s="4">
        <v>45980</v>
      </c>
      <c r="L2612" s="4">
        <v>46044</v>
      </c>
      <c r="M2612" s="1" t="s">
        <v>6118</v>
      </c>
      <c r="N2612" s="1" t="s">
        <v>6117</v>
      </c>
    </row>
    <row r="2613" spans="1:14" s="1" customFormat="1" x14ac:dyDescent="0.35">
      <c r="A2613" s="1" t="s">
        <v>4492</v>
      </c>
      <c r="B2613" s="1" t="s">
        <v>1013</v>
      </c>
      <c r="C2613" s="1" t="s">
        <v>1083</v>
      </c>
      <c r="D2613" s="1" t="s">
        <v>6116</v>
      </c>
      <c r="E2613" s="1" t="str">
        <f>"2510"</f>
        <v>2510</v>
      </c>
      <c r="F2613" s="1" t="str">
        <f>"013306176"</f>
        <v>013306176</v>
      </c>
      <c r="G2613" s="1" t="s">
        <v>1136</v>
      </c>
      <c r="H2613" s="1" t="s">
        <v>15</v>
      </c>
      <c r="I2613" s="1" t="str">
        <f>"2"</f>
        <v>2</v>
      </c>
      <c r="J2613" s="3">
        <v>170.71</v>
      </c>
      <c r="K2613" s="4">
        <v>45992</v>
      </c>
      <c r="L2613" s="4">
        <v>46064</v>
      </c>
      <c r="M2613" s="1" t="s">
        <v>6115</v>
      </c>
      <c r="N2613" s="1" t="s">
        <v>6112</v>
      </c>
    </row>
    <row r="2614" spans="1:14" s="1" customFormat="1" x14ac:dyDescent="0.35">
      <c r="A2614" s="1" t="s">
        <v>4492</v>
      </c>
      <c r="B2614" s="1" t="s">
        <v>1013</v>
      </c>
      <c r="C2614" s="1" t="s">
        <v>1083</v>
      </c>
      <c r="D2614" s="1" t="s">
        <v>6114</v>
      </c>
      <c r="E2614" s="1" t="str">
        <f>"2510"</f>
        <v>2510</v>
      </c>
      <c r="F2614" s="1" t="str">
        <f>"013306175"</f>
        <v>013306175</v>
      </c>
      <c r="G2614" s="1" t="s">
        <v>1136</v>
      </c>
      <c r="H2614" s="1" t="s">
        <v>15</v>
      </c>
      <c r="I2614" s="1" t="str">
        <f>"6"</f>
        <v>6</v>
      </c>
      <c r="J2614" s="3">
        <v>165.08</v>
      </c>
      <c r="K2614" s="4">
        <v>45992</v>
      </c>
      <c r="L2614" s="4">
        <v>46064</v>
      </c>
      <c r="M2614" s="1" t="s">
        <v>6113</v>
      </c>
      <c r="N2614" s="1" t="s">
        <v>6112</v>
      </c>
    </row>
    <row r="2615" spans="1:14" s="1" customFormat="1" x14ac:dyDescent="0.35">
      <c r="A2615" s="1" t="s">
        <v>4492</v>
      </c>
      <c r="B2615" s="1" t="s">
        <v>1013</v>
      </c>
      <c r="C2615" s="1" t="s">
        <v>1083</v>
      </c>
      <c r="D2615" s="1" t="s">
        <v>6111</v>
      </c>
      <c r="E2615" s="1" t="str">
        <f>"1005"</f>
        <v>1005</v>
      </c>
      <c r="F2615" s="1" t="s">
        <v>2057</v>
      </c>
      <c r="G2615" s="1" t="s">
        <v>2058</v>
      </c>
      <c r="H2615" s="1" t="s">
        <v>15</v>
      </c>
      <c r="I2615" s="1" t="str">
        <f>"2"</f>
        <v>2</v>
      </c>
      <c r="J2615" s="3" t="str">
        <f>"1218"</f>
        <v>1218</v>
      </c>
      <c r="K2615" s="4">
        <v>45992</v>
      </c>
      <c r="L2615" s="4">
        <v>46064</v>
      </c>
      <c r="M2615" s="1" t="s">
        <v>6110</v>
      </c>
      <c r="N2615" s="1" t="s">
        <v>6109</v>
      </c>
    </row>
    <row r="2616" spans="1:14" s="1" customFormat="1" x14ac:dyDescent="0.35">
      <c r="A2616" s="1" t="s">
        <v>4492</v>
      </c>
      <c r="B2616" s="1" t="s">
        <v>1013</v>
      </c>
      <c r="C2616" s="1" t="s">
        <v>1083</v>
      </c>
      <c r="D2616" s="1" t="s">
        <v>6108</v>
      </c>
      <c r="E2616" s="1" t="str">
        <f>"6115"</f>
        <v>6115</v>
      </c>
      <c r="F2616" s="1" t="str">
        <f>"015456484"</f>
        <v>015456484</v>
      </c>
      <c r="G2616" s="1" t="s">
        <v>3716</v>
      </c>
      <c r="H2616" s="1" t="s">
        <v>15</v>
      </c>
      <c r="I2616" s="1" t="str">
        <f>"1"</f>
        <v>1</v>
      </c>
      <c r="J2616" s="3">
        <v>1699.31</v>
      </c>
      <c r="K2616" s="4">
        <v>45999</v>
      </c>
      <c r="L2616" s="4">
        <v>46031</v>
      </c>
      <c r="M2616" s="1" t="s">
        <v>6107</v>
      </c>
      <c r="N2616" s="1" t="s">
        <v>6106</v>
      </c>
    </row>
    <row r="2617" spans="1:14" s="1" customFormat="1" x14ac:dyDescent="0.35">
      <c r="A2617" s="1" t="s">
        <v>4492</v>
      </c>
      <c r="B2617" s="1" t="s">
        <v>1013</v>
      </c>
      <c r="C2617" s="1" t="s">
        <v>1083</v>
      </c>
      <c r="D2617" s="1" t="s">
        <v>6105</v>
      </c>
      <c r="E2617" s="1" t="str">
        <f>"6115"</f>
        <v>6115</v>
      </c>
      <c r="F2617" s="1" t="str">
        <f>"014351567"</f>
        <v>014351567</v>
      </c>
      <c r="G2617" s="1" t="s">
        <v>383</v>
      </c>
      <c r="H2617" s="1" t="s">
        <v>15</v>
      </c>
      <c r="I2617" s="1" t="str">
        <f>"2"</f>
        <v>2</v>
      </c>
      <c r="J2617" s="3">
        <v>4623.09</v>
      </c>
      <c r="K2617" s="4">
        <v>46005</v>
      </c>
      <c r="L2617" s="4">
        <v>46044</v>
      </c>
      <c r="M2617" s="1" t="s">
        <v>6104</v>
      </c>
      <c r="N2617" s="1" t="s">
        <v>6103</v>
      </c>
    </row>
    <row r="2618" spans="1:14" s="1" customFormat="1" x14ac:dyDescent="0.35">
      <c r="A2618" s="1" t="s">
        <v>4492</v>
      </c>
      <c r="B2618" s="1" t="s">
        <v>1013</v>
      </c>
      <c r="C2618" s="1" t="s">
        <v>1083</v>
      </c>
      <c r="D2618" s="1" t="s">
        <v>6102</v>
      </c>
      <c r="E2618" s="1" t="str">
        <f>"2330"</f>
        <v>2330</v>
      </c>
      <c r="F2618" s="1" t="s">
        <v>104</v>
      </c>
      <c r="G2618" s="1" t="s">
        <v>105</v>
      </c>
      <c r="H2618" s="1" t="s">
        <v>15</v>
      </c>
      <c r="I2618" s="1" t="str">
        <f>"1"</f>
        <v>1</v>
      </c>
      <c r="J2618" s="3" t="str">
        <f>"14000"</f>
        <v>14000</v>
      </c>
      <c r="K2618" s="4">
        <v>46028</v>
      </c>
      <c r="L2618" s="4">
        <v>46037</v>
      </c>
      <c r="M2618" s="1" t="s">
        <v>6101</v>
      </c>
      <c r="N2618" s="1" t="s">
        <v>6100</v>
      </c>
    </row>
    <row r="2619" spans="1:14" s="1" customFormat="1" x14ac:dyDescent="0.35">
      <c r="A2619" s="1" t="s">
        <v>4492</v>
      </c>
      <c r="B2619" s="1" t="s">
        <v>1013</v>
      </c>
      <c r="C2619" s="1" t="s">
        <v>1083</v>
      </c>
      <c r="D2619" s="1" t="s">
        <v>6099</v>
      </c>
      <c r="E2619" s="1" t="str">
        <f>"2320"</f>
        <v>2320</v>
      </c>
      <c r="F2619" s="1" t="str">
        <f>"011644815"</f>
        <v>011644815</v>
      </c>
      <c r="G2619" s="1" t="s">
        <v>930</v>
      </c>
      <c r="H2619" s="1" t="s">
        <v>15</v>
      </c>
      <c r="I2619" s="1" t="str">
        <f>"1"</f>
        <v>1</v>
      </c>
      <c r="J2619" s="3" t="str">
        <f>"5000"</f>
        <v>5000</v>
      </c>
      <c r="K2619" s="4">
        <v>46033</v>
      </c>
      <c r="L2619" s="4">
        <v>46066</v>
      </c>
      <c r="M2619" s="1" t="s">
        <v>6098</v>
      </c>
      <c r="N2619" s="1" t="s">
        <v>6097</v>
      </c>
    </row>
    <row r="2620" spans="1:14" s="1" customFormat="1" x14ac:dyDescent="0.35">
      <c r="A2620" s="1" t="s">
        <v>4492</v>
      </c>
      <c r="B2620" s="1" t="s">
        <v>1013</v>
      </c>
      <c r="C2620" s="1" t="s">
        <v>1083</v>
      </c>
      <c r="D2620" s="1" t="s">
        <v>6096</v>
      </c>
      <c r="E2620" s="1" t="str">
        <f>"2340"</f>
        <v>2340</v>
      </c>
      <c r="F2620" s="1" t="str">
        <f>"016495368"</f>
        <v>016495368</v>
      </c>
      <c r="G2620" s="1" t="s">
        <v>1926</v>
      </c>
      <c r="H2620" s="1" t="s">
        <v>15</v>
      </c>
      <c r="I2620" s="1" t="str">
        <f>"2"</f>
        <v>2</v>
      </c>
      <c r="J2620" s="3" t="str">
        <f>"34900"</f>
        <v>34900</v>
      </c>
      <c r="K2620" s="4">
        <v>46033</v>
      </c>
      <c r="L2620" s="4">
        <v>46066</v>
      </c>
      <c r="M2620" s="1" t="s">
        <v>6095</v>
      </c>
      <c r="N2620" s="1" t="s">
        <v>6094</v>
      </c>
    </row>
    <row r="2621" spans="1:14" s="1" customFormat="1" x14ac:dyDescent="0.35">
      <c r="A2621" s="1" t="s">
        <v>4492</v>
      </c>
      <c r="B2621" s="1" t="s">
        <v>1013</v>
      </c>
      <c r="C2621" s="1" t="s">
        <v>1083</v>
      </c>
      <c r="D2621" s="1" t="s">
        <v>6093</v>
      </c>
      <c r="E2621" s="1" t="str">
        <f>"2340"</f>
        <v>2340</v>
      </c>
      <c r="F2621" s="1" t="s">
        <v>179</v>
      </c>
      <c r="G2621" s="1" t="s">
        <v>180</v>
      </c>
      <c r="H2621" s="1" t="s">
        <v>15</v>
      </c>
      <c r="I2621" s="1" t="str">
        <f>"1"</f>
        <v>1</v>
      </c>
      <c r="J2621" s="3" t="str">
        <f>"1000"</f>
        <v>1000</v>
      </c>
      <c r="K2621" s="4">
        <v>46076</v>
      </c>
      <c r="L2621" s="4">
        <v>46108</v>
      </c>
      <c r="M2621" s="1" t="s">
        <v>6092</v>
      </c>
      <c r="N2621" s="1" t="s">
        <v>6091</v>
      </c>
    </row>
    <row r="2622" spans="1:14" s="1" customFormat="1" x14ac:dyDescent="0.35">
      <c r="A2622" s="1" t="s">
        <v>4492</v>
      </c>
      <c r="B2622" s="1" t="s">
        <v>1013</v>
      </c>
      <c r="C2622" s="1" t="s">
        <v>1083</v>
      </c>
      <c r="D2622" s="1" t="s">
        <v>6090</v>
      </c>
      <c r="E2622" s="1" t="str">
        <f>"5855"</f>
        <v>5855</v>
      </c>
      <c r="F2622" s="1" t="str">
        <f>"015847217"</f>
        <v>015847217</v>
      </c>
      <c r="G2622" s="1" t="s">
        <v>614</v>
      </c>
      <c r="H2622" s="1" t="s">
        <v>15</v>
      </c>
      <c r="I2622" s="1" t="str">
        <f>"5"</f>
        <v>5</v>
      </c>
      <c r="J2622" s="3" t="str">
        <f>"34084"</f>
        <v>34084</v>
      </c>
      <c r="K2622" s="4">
        <v>46086</v>
      </c>
      <c r="L2622" s="4">
        <v>46087</v>
      </c>
      <c r="M2622" s="1" t="s">
        <v>4524</v>
      </c>
      <c r="N2622" s="1" t="s">
        <v>6089</v>
      </c>
    </row>
    <row r="2623" spans="1:14" s="1" customFormat="1" x14ac:dyDescent="0.35">
      <c r="A2623" s="1" t="s">
        <v>4492</v>
      </c>
      <c r="B2623" s="1" t="s">
        <v>1013</v>
      </c>
      <c r="C2623" s="1" t="s">
        <v>1083</v>
      </c>
      <c r="D2623" s="1" t="s">
        <v>6088</v>
      </c>
      <c r="E2623" s="1" t="str">
        <f>"3590"</f>
        <v>3590</v>
      </c>
      <c r="F2623" s="1" t="s">
        <v>1052</v>
      </c>
      <c r="G2623" s="1" t="s">
        <v>1053</v>
      </c>
      <c r="H2623" s="1" t="s">
        <v>15</v>
      </c>
      <c r="I2623" s="1" t="str">
        <f>"1"</f>
        <v>1</v>
      </c>
      <c r="J2623" s="3" t="str">
        <f>"20000"</f>
        <v>20000</v>
      </c>
      <c r="K2623" s="4">
        <v>46082</v>
      </c>
      <c r="L2623" s="4">
        <v>46084</v>
      </c>
      <c r="M2623" s="1" t="s">
        <v>4524</v>
      </c>
      <c r="N2623" s="1" t="s">
        <v>6087</v>
      </c>
    </row>
    <row r="2624" spans="1:14" s="1" customFormat="1" x14ac:dyDescent="0.35">
      <c r="A2624" s="1" t="s">
        <v>4492</v>
      </c>
      <c r="B2624" s="1" t="s">
        <v>1013</v>
      </c>
      <c r="C2624" s="1" t="s">
        <v>1083</v>
      </c>
      <c r="D2624" s="1" t="s">
        <v>6086</v>
      </c>
      <c r="E2624" s="1" t="str">
        <f>"6115"</f>
        <v>6115</v>
      </c>
      <c r="F2624" s="1" t="str">
        <f>"013134216"</f>
        <v>013134216</v>
      </c>
      <c r="G2624" s="1" t="s">
        <v>1218</v>
      </c>
      <c r="H2624" s="1" t="s">
        <v>15</v>
      </c>
      <c r="I2624" s="1" t="str">
        <f>"1"</f>
        <v>1</v>
      </c>
      <c r="J2624" s="3" t="str">
        <f>"33085"</f>
        <v>33085</v>
      </c>
      <c r="K2624" s="4">
        <v>46086</v>
      </c>
      <c r="L2624" s="4">
        <v>46106</v>
      </c>
      <c r="M2624" s="1" t="s">
        <v>6085</v>
      </c>
      <c r="N2624" s="1" t="s">
        <v>6084</v>
      </c>
    </row>
    <row r="2625" spans="1:14" s="1" customFormat="1" x14ac:dyDescent="0.35">
      <c r="A2625" s="1" t="s">
        <v>4492</v>
      </c>
      <c r="B2625" s="1" t="s">
        <v>1013</v>
      </c>
      <c r="C2625" s="1" t="s">
        <v>1083</v>
      </c>
      <c r="D2625" s="1" t="s">
        <v>6083</v>
      </c>
      <c r="E2625" s="1" t="str">
        <f>"1940"</f>
        <v>1940</v>
      </c>
      <c r="F2625" s="1" t="s">
        <v>1898</v>
      </c>
      <c r="G2625" s="1" t="s">
        <v>1899</v>
      </c>
      <c r="H2625" s="1" t="s">
        <v>15</v>
      </c>
      <c r="I2625" s="1" t="str">
        <f>"1"</f>
        <v>1</v>
      </c>
      <c r="J2625" s="3" t="str">
        <f>"14981"</f>
        <v>14981</v>
      </c>
      <c r="K2625" s="4">
        <v>46087</v>
      </c>
      <c r="L2625" s="4">
        <v>46095</v>
      </c>
      <c r="M2625" s="1" t="s">
        <v>6082</v>
      </c>
      <c r="N2625" s="1" t="s">
        <v>6081</v>
      </c>
    </row>
    <row r="2626" spans="1:14" s="1" customFormat="1" x14ac:dyDescent="0.35">
      <c r="A2626" s="1" t="s">
        <v>4492</v>
      </c>
      <c r="B2626" s="1" t="s">
        <v>1013</v>
      </c>
      <c r="C2626" s="1" t="s">
        <v>1083</v>
      </c>
      <c r="D2626" s="1" t="s">
        <v>6080</v>
      </c>
      <c r="E2626" s="1" t="str">
        <f>"1940"</f>
        <v>1940</v>
      </c>
      <c r="F2626" s="1" t="s">
        <v>1898</v>
      </c>
      <c r="G2626" s="1" t="s">
        <v>1899</v>
      </c>
      <c r="H2626" s="1" t="s">
        <v>15</v>
      </c>
      <c r="I2626" s="1" t="str">
        <f>"1"</f>
        <v>1</v>
      </c>
      <c r="J2626" s="3" t="str">
        <f>"259000"</f>
        <v>259000</v>
      </c>
      <c r="K2626" s="4">
        <v>46096</v>
      </c>
      <c r="L2626" s="4">
        <v>46098</v>
      </c>
      <c r="M2626" s="1" t="s">
        <v>4524</v>
      </c>
      <c r="N2626" s="1" t="s">
        <v>6079</v>
      </c>
    </row>
    <row r="2627" spans="1:14" s="1" customFormat="1" x14ac:dyDescent="0.35">
      <c r="A2627" s="1" t="s">
        <v>4492</v>
      </c>
      <c r="B2627" s="1" t="s">
        <v>1013</v>
      </c>
      <c r="C2627" s="1" t="s">
        <v>1083</v>
      </c>
      <c r="D2627" s="1" t="s">
        <v>6078</v>
      </c>
      <c r="E2627" s="1" t="str">
        <f>"5855"</f>
        <v>5855</v>
      </c>
      <c r="F2627" s="1" t="str">
        <f>"015847217"</f>
        <v>015847217</v>
      </c>
      <c r="G2627" s="1" t="s">
        <v>614</v>
      </c>
      <c r="H2627" s="1" t="s">
        <v>15</v>
      </c>
      <c r="I2627" s="1" t="str">
        <f>"5"</f>
        <v>5</v>
      </c>
      <c r="J2627" s="3" t="str">
        <f>"34084"</f>
        <v>34084</v>
      </c>
      <c r="K2627" s="4">
        <v>46096</v>
      </c>
      <c r="L2627" s="4">
        <v>46100</v>
      </c>
      <c r="M2627" s="1" t="s">
        <v>6077</v>
      </c>
      <c r="N2627" s="1" t="s">
        <v>6076</v>
      </c>
    </row>
    <row r="2628" spans="1:14" s="1" customFormat="1" x14ac:dyDescent="0.35">
      <c r="A2628" s="1" t="s">
        <v>4492</v>
      </c>
      <c r="B2628" s="1" t="s">
        <v>1013</v>
      </c>
      <c r="C2628" s="1" t="s">
        <v>1083</v>
      </c>
      <c r="D2628" s="1" t="s">
        <v>6075</v>
      </c>
      <c r="E2628" s="1" t="str">
        <f>"5855"</f>
        <v>5855</v>
      </c>
      <c r="F2628" s="1" t="str">
        <f>"015847217"</f>
        <v>015847217</v>
      </c>
      <c r="G2628" s="1" t="s">
        <v>614</v>
      </c>
      <c r="H2628" s="1" t="s">
        <v>15</v>
      </c>
      <c r="I2628" s="1" t="str">
        <f>"5"</f>
        <v>5</v>
      </c>
      <c r="J2628" s="3" t="str">
        <f>"34084"</f>
        <v>34084</v>
      </c>
      <c r="K2628" s="4">
        <v>46101</v>
      </c>
      <c r="L2628" s="4">
        <v>46105</v>
      </c>
      <c r="M2628" s="1" t="s">
        <v>6074</v>
      </c>
      <c r="N2628" s="1" t="s">
        <v>6073</v>
      </c>
    </row>
    <row r="2629" spans="1:14" s="1" customFormat="1" x14ac:dyDescent="0.35">
      <c r="A2629" s="1" t="s">
        <v>4492</v>
      </c>
      <c r="B2629" s="1" t="s">
        <v>1453</v>
      </c>
      <c r="C2629" s="1" t="s">
        <v>1461</v>
      </c>
      <c r="D2629" s="1" t="s">
        <v>6072</v>
      </c>
      <c r="E2629" s="1" t="str">
        <f>"5855"</f>
        <v>5855</v>
      </c>
      <c r="F2629" s="1" t="str">
        <f>"015485687"</f>
        <v>015485687</v>
      </c>
      <c r="G2629" s="1" t="s">
        <v>798</v>
      </c>
      <c r="H2629" s="1" t="s">
        <v>15</v>
      </c>
      <c r="I2629" s="1" t="str">
        <f>"80"</f>
        <v>80</v>
      </c>
      <c r="J2629" s="3" t="str">
        <f>"10402"</f>
        <v>10402</v>
      </c>
      <c r="K2629" s="4">
        <v>46016</v>
      </c>
      <c r="L2629" s="4">
        <v>46025</v>
      </c>
      <c r="M2629" s="1" t="s">
        <v>4524</v>
      </c>
      <c r="N2629" s="1" t="s">
        <v>6071</v>
      </c>
    </row>
    <row r="2630" spans="1:14" s="1" customFormat="1" x14ac:dyDescent="0.35">
      <c r="A2630" s="1" t="s">
        <v>4492</v>
      </c>
      <c r="B2630" s="1" t="s">
        <v>1453</v>
      </c>
      <c r="C2630" s="1" t="s">
        <v>1461</v>
      </c>
      <c r="D2630" s="1" t="s">
        <v>6070</v>
      </c>
      <c r="E2630" s="1" t="str">
        <f>"8415"</f>
        <v>8415</v>
      </c>
      <c r="F2630" s="1" t="str">
        <f>"015841729"</f>
        <v>015841729</v>
      </c>
      <c r="G2630" s="1" t="s">
        <v>1477</v>
      </c>
      <c r="H2630" s="1" t="s">
        <v>15</v>
      </c>
      <c r="I2630" s="1" t="str">
        <f>"2"</f>
        <v>2</v>
      </c>
      <c r="J2630" s="3">
        <v>136.19999999999999</v>
      </c>
      <c r="K2630" s="4">
        <v>46019</v>
      </c>
      <c r="L2630" s="4">
        <v>46029</v>
      </c>
      <c r="M2630" s="1" t="s">
        <v>6069</v>
      </c>
      <c r="N2630" s="1" t="s">
        <v>1464</v>
      </c>
    </row>
    <row r="2631" spans="1:14" s="1" customFormat="1" x14ac:dyDescent="0.35">
      <c r="A2631" s="1" t="s">
        <v>4492</v>
      </c>
      <c r="B2631" s="1" t="s">
        <v>1453</v>
      </c>
      <c r="C2631" s="1" t="s">
        <v>1461</v>
      </c>
      <c r="D2631" s="1" t="s">
        <v>6068</v>
      </c>
      <c r="E2631" s="1" t="str">
        <f>"5855"</f>
        <v>5855</v>
      </c>
      <c r="F2631" s="1" t="str">
        <f>"015936375"</f>
        <v>015936375</v>
      </c>
      <c r="G2631" s="1" t="s">
        <v>1357</v>
      </c>
      <c r="H2631" s="1" t="s">
        <v>15</v>
      </c>
      <c r="I2631" s="1" t="str">
        <f>"13"</f>
        <v>13</v>
      </c>
      <c r="J2631" s="3">
        <v>668.29</v>
      </c>
      <c r="K2631" s="4">
        <v>46019</v>
      </c>
      <c r="L2631" s="4">
        <v>46028</v>
      </c>
      <c r="M2631" s="1" t="s">
        <v>6067</v>
      </c>
      <c r="N2631" s="1" t="s">
        <v>6066</v>
      </c>
    </row>
    <row r="2632" spans="1:14" s="1" customFormat="1" x14ac:dyDescent="0.35">
      <c r="A2632" s="1" t="s">
        <v>4492</v>
      </c>
      <c r="B2632" s="1" t="s">
        <v>1453</v>
      </c>
      <c r="C2632" s="1" t="s">
        <v>1461</v>
      </c>
      <c r="D2632" s="1" t="s">
        <v>6065</v>
      </c>
      <c r="E2632" s="1" t="str">
        <f>"8465"</f>
        <v>8465</v>
      </c>
      <c r="F2632" s="1" t="str">
        <f>"015571565"</f>
        <v>015571565</v>
      </c>
      <c r="G2632" s="1" t="s">
        <v>6064</v>
      </c>
      <c r="H2632" s="1" t="s">
        <v>15</v>
      </c>
      <c r="I2632" s="1" t="str">
        <f>"1"</f>
        <v>1</v>
      </c>
      <c r="J2632" s="3" t="str">
        <f>"34"</f>
        <v>34</v>
      </c>
      <c r="K2632" s="4">
        <v>46020</v>
      </c>
      <c r="L2632" s="4">
        <v>46030</v>
      </c>
      <c r="M2632" s="1" t="s">
        <v>6063</v>
      </c>
      <c r="N2632" s="1" t="s">
        <v>6062</v>
      </c>
    </row>
    <row r="2633" spans="1:14" s="1" customFormat="1" x14ac:dyDescent="0.35">
      <c r="A2633" s="1" t="s">
        <v>4492</v>
      </c>
      <c r="B2633" s="1" t="s">
        <v>1453</v>
      </c>
      <c r="C2633" s="1" t="s">
        <v>1461</v>
      </c>
      <c r="D2633" s="1" t="s">
        <v>6061</v>
      </c>
      <c r="E2633" s="1" t="str">
        <f>"8415"</f>
        <v>8415</v>
      </c>
      <c r="F2633" s="1" t="str">
        <f>"015840989"</f>
        <v>015840989</v>
      </c>
      <c r="G2633" s="1" t="s">
        <v>1463</v>
      </c>
      <c r="H2633" s="1" t="s">
        <v>15</v>
      </c>
      <c r="I2633" s="1" t="str">
        <f>"2"</f>
        <v>2</v>
      </c>
      <c r="J2633" s="3">
        <v>134.36000000000001</v>
      </c>
      <c r="K2633" s="4">
        <v>46036</v>
      </c>
      <c r="L2633" s="4">
        <v>46039</v>
      </c>
      <c r="M2633" s="1" t="s">
        <v>6060</v>
      </c>
      <c r="N2633" s="1" t="s">
        <v>1484</v>
      </c>
    </row>
    <row r="2634" spans="1:14" s="1" customFormat="1" x14ac:dyDescent="0.35">
      <c r="A2634" s="1" t="s">
        <v>4492</v>
      </c>
      <c r="B2634" s="1" t="s">
        <v>1453</v>
      </c>
      <c r="C2634" s="1" t="s">
        <v>1461</v>
      </c>
      <c r="D2634" s="1" t="s">
        <v>6059</v>
      </c>
      <c r="E2634" s="1" t="str">
        <f>"8415"</f>
        <v>8415</v>
      </c>
      <c r="F2634" s="1" t="str">
        <f>"015802497"</f>
        <v>015802497</v>
      </c>
      <c r="G2634" s="1" t="s">
        <v>22</v>
      </c>
      <c r="H2634" s="1" t="s">
        <v>47</v>
      </c>
      <c r="I2634" s="1" t="str">
        <f>"3"</f>
        <v>3</v>
      </c>
      <c r="J2634" s="3">
        <v>120.1</v>
      </c>
      <c r="K2634" s="4">
        <v>46078</v>
      </c>
      <c r="L2634" s="4">
        <v>46088</v>
      </c>
      <c r="M2634" s="1" t="s">
        <v>6058</v>
      </c>
      <c r="N2634" s="1" t="s">
        <v>1464</v>
      </c>
    </row>
    <row r="2635" spans="1:14" s="1" customFormat="1" x14ac:dyDescent="0.35">
      <c r="A2635" s="1" t="s">
        <v>4492</v>
      </c>
      <c r="B2635" s="1" t="s">
        <v>1453</v>
      </c>
      <c r="C2635" s="1" t="s">
        <v>1461</v>
      </c>
      <c r="D2635" s="1" t="s">
        <v>6057</v>
      </c>
      <c r="E2635" s="1" t="str">
        <f>"8415"</f>
        <v>8415</v>
      </c>
      <c r="F2635" s="1" t="str">
        <f>"015802502"</f>
        <v>015802502</v>
      </c>
      <c r="G2635" s="1" t="s">
        <v>22</v>
      </c>
      <c r="H2635" s="1" t="s">
        <v>47</v>
      </c>
      <c r="I2635" s="1" t="str">
        <f>"2"</f>
        <v>2</v>
      </c>
      <c r="J2635" s="3">
        <v>120.1</v>
      </c>
      <c r="K2635" s="4">
        <v>46078</v>
      </c>
      <c r="L2635" s="4">
        <v>46088</v>
      </c>
      <c r="M2635" s="1" t="s">
        <v>6056</v>
      </c>
      <c r="N2635" s="1" t="s">
        <v>1464</v>
      </c>
    </row>
    <row r="2636" spans="1:14" s="1" customFormat="1" x14ac:dyDescent="0.35">
      <c r="A2636" s="1" t="s">
        <v>4492</v>
      </c>
      <c r="B2636" s="1" t="s">
        <v>1453</v>
      </c>
      <c r="C2636" s="1" t="s">
        <v>1461</v>
      </c>
      <c r="D2636" s="1" t="s">
        <v>6055</v>
      </c>
      <c r="E2636" s="1" t="str">
        <f>"8415"</f>
        <v>8415</v>
      </c>
      <c r="F2636" s="1" t="str">
        <f>"015802861"</f>
        <v>015802861</v>
      </c>
      <c r="G2636" s="1" t="s">
        <v>18</v>
      </c>
      <c r="H2636" s="1" t="s">
        <v>15</v>
      </c>
      <c r="I2636" s="1" t="str">
        <f>"1"</f>
        <v>1</v>
      </c>
      <c r="J2636" s="3">
        <v>146.81</v>
      </c>
      <c r="K2636" s="4">
        <v>46078</v>
      </c>
      <c r="L2636" s="4">
        <v>46088</v>
      </c>
      <c r="M2636" s="1" t="s">
        <v>6054</v>
      </c>
      <c r="N2636" s="1" t="s">
        <v>1464</v>
      </c>
    </row>
    <row r="2637" spans="1:14" s="1" customFormat="1" x14ac:dyDescent="0.35">
      <c r="A2637" s="1" t="s">
        <v>4492</v>
      </c>
      <c r="B2637" s="1" t="s">
        <v>1453</v>
      </c>
      <c r="C2637" s="1" t="s">
        <v>1461</v>
      </c>
      <c r="D2637" s="1" t="s">
        <v>6053</v>
      </c>
      <c r="E2637" s="1" t="str">
        <f>"8415"</f>
        <v>8415</v>
      </c>
      <c r="F2637" s="1" t="str">
        <f>"015802854"</f>
        <v>015802854</v>
      </c>
      <c r="G2637" s="1" t="s">
        <v>18</v>
      </c>
      <c r="H2637" s="1" t="s">
        <v>15</v>
      </c>
      <c r="I2637" s="1" t="str">
        <f>"3"</f>
        <v>3</v>
      </c>
      <c r="J2637" s="3">
        <v>146.83000000000001</v>
      </c>
      <c r="K2637" s="4">
        <v>46078</v>
      </c>
      <c r="L2637" s="4">
        <v>46088</v>
      </c>
      <c r="M2637" s="1" t="s">
        <v>6052</v>
      </c>
      <c r="N2637" s="1" t="s">
        <v>1464</v>
      </c>
    </row>
    <row r="2638" spans="1:14" s="1" customFormat="1" x14ac:dyDescent="0.35">
      <c r="A2638" s="1" t="s">
        <v>4492</v>
      </c>
      <c r="B2638" s="1" t="s">
        <v>1453</v>
      </c>
      <c r="C2638" s="1" t="s">
        <v>1461</v>
      </c>
      <c r="D2638" s="1" t="s">
        <v>6051</v>
      </c>
      <c r="E2638" s="1" t="str">
        <f>"5895"</f>
        <v>5895</v>
      </c>
      <c r="F2638" s="1" t="str">
        <f>"015984531"</f>
        <v>015984531</v>
      </c>
      <c r="G2638" s="1" t="s">
        <v>1373</v>
      </c>
      <c r="H2638" s="1" t="s">
        <v>168</v>
      </c>
      <c r="I2638" s="1" t="str">
        <f>"22"</f>
        <v>22</v>
      </c>
      <c r="J2638" s="3">
        <v>763.74</v>
      </c>
      <c r="K2638" s="4">
        <v>46086</v>
      </c>
      <c r="L2638" s="4">
        <v>46087</v>
      </c>
      <c r="M2638" s="1" t="s">
        <v>4524</v>
      </c>
      <c r="N2638" s="1" t="s">
        <v>6050</v>
      </c>
    </row>
    <row r="2639" spans="1:14" s="1" customFormat="1" x14ac:dyDescent="0.35">
      <c r="A2639" s="1" t="s">
        <v>4492</v>
      </c>
      <c r="B2639" s="1" t="s">
        <v>1453</v>
      </c>
      <c r="C2639" s="1" t="s">
        <v>1461</v>
      </c>
      <c r="D2639" s="1" t="s">
        <v>6049</v>
      </c>
      <c r="E2639" s="1" t="str">
        <f>"8415"</f>
        <v>8415</v>
      </c>
      <c r="F2639" s="1" t="str">
        <f>"015841036"</f>
        <v>015841036</v>
      </c>
      <c r="G2639" s="1" t="s">
        <v>1463</v>
      </c>
      <c r="H2639" s="1" t="s">
        <v>15</v>
      </c>
      <c r="I2639" s="1" t="str">
        <f>"1"</f>
        <v>1</v>
      </c>
      <c r="J2639" s="3">
        <v>134.36000000000001</v>
      </c>
      <c r="K2639" s="4">
        <v>46086</v>
      </c>
      <c r="L2639" s="4">
        <v>46090</v>
      </c>
      <c r="M2639" s="1" t="s">
        <v>4524</v>
      </c>
      <c r="N2639" s="1" t="s">
        <v>1464</v>
      </c>
    </row>
    <row r="2640" spans="1:14" s="1" customFormat="1" x14ac:dyDescent="0.35">
      <c r="A2640" s="1" t="s">
        <v>4492</v>
      </c>
      <c r="B2640" s="1" t="s">
        <v>1453</v>
      </c>
      <c r="C2640" s="1" t="s">
        <v>1461</v>
      </c>
      <c r="D2640" s="1" t="s">
        <v>6048</v>
      </c>
      <c r="E2640" s="1" t="str">
        <f>"8415"</f>
        <v>8415</v>
      </c>
      <c r="F2640" s="1" t="str">
        <f>"015841010"</f>
        <v>015841010</v>
      </c>
      <c r="G2640" s="1" t="s">
        <v>1463</v>
      </c>
      <c r="H2640" s="1" t="s">
        <v>15</v>
      </c>
      <c r="I2640" s="1" t="str">
        <f>"1"</f>
        <v>1</v>
      </c>
      <c r="J2640" s="3">
        <v>134.36000000000001</v>
      </c>
      <c r="K2640" s="4">
        <v>46086</v>
      </c>
      <c r="L2640" s="4">
        <v>46090</v>
      </c>
      <c r="M2640" s="1" t="s">
        <v>4524</v>
      </c>
      <c r="N2640" s="1" t="s">
        <v>1464</v>
      </c>
    </row>
    <row r="2641" spans="1:14" s="1" customFormat="1" x14ac:dyDescent="0.35">
      <c r="A2641" s="1" t="s">
        <v>4492</v>
      </c>
      <c r="B2641" s="1" t="s">
        <v>1453</v>
      </c>
      <c r="C2641" s="1" t="s">
        <v>1461</v>
      </c>
      <c r="D2641" s="1" t="s">
        <v>6047</v>
      </c>
      <c r="E2641" s="1" t="str">
        <f>"8415"</f>
        <v>8415</v>
      </c>
      <c r="F2641" s="1" t="str">
        <f>"015841007"</f>
        <v>015841007</v>
      </c>
      <c r="G2641" s="1" t="s">
        <v>1463</v>
      </c>
      <c r="H2641" s="1" t="s">
        <v>15</v>
      </c>
      <c r="I2641" s="1" t="str">
        <f>"1"</f>
        <v>1</v>
      </c>
      <c r="J2641" s="3">
        <v>134.36000000000001</v>
      </c>
      <c r="K2641" s="4">
        <v>46086</v>
      </c>
      <c r="L2641" s="4">
        <v>46090</v>
      </c>
      <c r="M2641" s="1" t="s">
        <v>4524</v>
      </c>
      <c r="N2641" s="1" t="s">
        <v>1464</v>
      </c>
    </row>
    <row r="2642" spans="1:14" s="1" customFormat="1" x14ac:dyDescent="0.35">
      <c r="A2642" s="1" t="s">
        <v>4492</v>
      </c>
      <c r="B2642" s="1" t="s">
        <v>1453</v>
      </c>
      <c r="C2642" s="1" t="s">
        <v>1461</v>
      </c>
      <c r="D2642" s="1" t="s">
        <v>6046</v>
      </c>
      <c r="E2642" s="1" t="str">
        <f>"8415"</f>
        <v>8415</v>
      </c>
      <c r="F2642" s="1" t="str">
        <f>"015841045"</f>
        <v>015841045</v>
      </c>
      <c r="G2642" s="1" t="s">
        <v>1463</v>
      </c>
      <c r="H2642" s="1" t="s">
        <v>15</v>
      </c>
      <c r="I2642" s="1" t="str">
        <f>"1"</f>
        <v>1</v>
      </c>
      <c r="J2642" s="3">
        <v>134.36000000000001</v>
      </c>
      <c r="K2642" s="4">
        <v>46086</v>
      </c>
      <c r="L2642" s="4">
        <v>46090</v>
      </c>
      <c r="M2642" s="1" t="s">
        <v>4524</v>
      </c>
      <c r="N2642" s="1" t="s">
        <v>1464</v>
      </c>
    </row>
    <row r="2643" spans="1:14" s="1" customFormat="1" x14ac:dyDescent="0.35">
      <c r="A2643" s="1" t="s">
        <v>4492</v>
      </c>
      <c r="B2643" s="1" t="s">
        <v>1453</v>
      </c>
      <c r="C2643" s="1" t="s">
        <v>1461</v>
      </c>
      <c r="D2643" s="1" t="s">
        <v>6045</v>
      </c>
      <c r="E2643" s="1" t="str">
        <f>"1240"</f>
        <v>1240</v>
      </c>
      <c r="F2643" s="1" t="str">
        <f>"016920791"</f>
        <v>016920791</v>
      </c>
      <c r="G2643" s="1" t="s">
        <v>6044</v>
      </c>
      <c r="H2643" s="1" t="s">
        <v>15</v>
      </c>
      <c r="I2643" s="1" t="str">
        <f>"4"</f>
        <v>4</v>
      </c>
      <c r="J2643" s="3" t="str">
        <f>"1500"</f>
        <v>1500</v>
      </c>
      <c r="K2643" s="4">
        <v>46105</v>
      </c>
      <c r="L2643" s="4">
        <v>46108</v>
      </c>
      <c r="M2643" s="1" t="s">
        <v>6043</v>
      </c>
      <c r="N2643" s="1" t="s">
        <v>6042</v>
      </c>
    </row>
    <row r="2644" spans="1:14" s="1" customFormat="1" x14ac:dyDescent="0.35">
      <c r="A2644" s="1" t="s">
        <v>4492</v>
      </c>
      <c r="B2644" s="1" t="s">
        <v>319</v>
      </c>
      <c r="C2644" s="1" t="s">
        <v>6034</v>
      </c>
      <c r="D2644" s="1" t="s">
        <v>6041</v>
      </c>
      <c r="E2644" s="1" t="str">
        <f>"4120"</f>
        <v>4120</v>
      </c>
      <c r="F2644" s="1" t="str">
        <f>"013933717"</f>
        <v>013933717</v>
      </c>
      <c r="G2644" s="1" t="s">
        <v>1088</v>
      </c>
      <c r="H2644" s="1" t="s">
        <v>15</v>
      </c>
      <c r="I2644" s="1" t="str">
        <f>"1"</f>
        <v>1</v>
      </c>
      <c r="J2644" s="3">
        <v>2173.04</v>
      </c>
      <c r="K2644" s="4">
        <v>46052</v>
      </c>
      <c r="L2644" s="4">
        <v>46059</v>
      </c>
      <c r="M2644" s="1" t="s">
        <v>6040</v>
      </c>
      <c r="N2644" s="1" t="s">
        <v>6039</v>
      </c>
    </row>
    <row r="2645" spans="1:14" s="1" customFormat="1" x14ac:dyDescent="0.35">
      <c r="A2645" s="1" t="s">
        <v>4492</v>
      </c>
      <c r="B2645" s="1" t="s">
        <v>319</v>
      </c>
      <c r="C2645" s="1" t="s">
        <v>6034</v>
      </c>
      <c r="D2645" s="1" t="s">
        <v>6038</v>
      </c>
      <c r="E2645" s="1" t="str">
        <f>"4120"</f>
        <v>4120</v>
      </c>
      <c r="F2645" s="1" t="str">
        <f>"013933717"</f>
        <v>013933717</v>
      </c>
      <c r="G2645" s="1" t="s">
        <v>1088</v>
      </c>
      <c r="H2645" s="1" t="s">
        <v>15</v>
      </c>
      <c r="I2645" s="1" t="str">
        <f>"1"</f>
        <v>1</v>
      </c>
      <c r="J2645" s="3">
        <v>2173.04</v>
      </c>
      <c r="K2645" s="4">
        <v>46052</v>
      </c>
      <c r="L2645" s="4">
        <v>46059</v>
      </c>
      <c r="M2645" s="1" t="s">
        <v>6037</v>
      </c>
      <c r="N2645" s="1" t="s">
        <v>6031</v>
      </c>
    </row>
    <row r="2646" spans="1:14" s="1" customFormat="1" x14ac:dyDescent="0.35">
      <c r="A2646" s="1" t="s">
        <v>4492</v>
      </c>
      <c r="B2646" s="1" t="s">
        <v>319</v>
      </c>
      <c r="C2646" s="1" t="s">
        <v>6034</v>
      </c>
      <c r="D2646" s="1" t="s">
        <v>6036</v>
      </c>
      <c r="E2646" s="1" t="str">
        <f>"4120"</f>
        <v>4120</v>
      </c>
      <c r="F2646" s="1" t="str">
        <f>"013933717"</f>
        <v>013933717</v>
      </c>
      <c r="G2646" s="1" t="s">
        <v>1088</v>
      </c>
      <c r="H2646" s="1" t="s">
        <v>15</v>
      </c>
      <c r="I2646" s="1" t="str">
        <f>"1"</f>
        <v>1</v>
      </c>
      <c r="J2646" s="3">
        <v>2173.04</v>
      </c>
      <c r="K2646" s="4">
        <v>46052</v>
      </c>
      <c r="L2646" s="4">
        <v>46059</v>
      </c>
      <c r="M2646" s="1" t="s">
        <v>6035</v>
      </c>
      <c r="N2646" s="1" t="s">
        <v>6031</v>
      </c>
    </row>
    <row r="2647" spans="1:14" s="1" customFormat="1" x14ac:dyDescent="0.35">
      <c r="A2647" s="1" t="s">
        <v>4492</v>
      </c>
      <c r="B2647" s="1" t="s">
        <v>319</v>
      </c>
      <c r="C2647" s="1" t="s">
        <v>6034</v>
      </c>
      <c r="D2647" s="1" t="s">
        <v>6033</v>
      </c>
      <c r="E2647" s="1" t="str">
        <f>"4120"</f>
        <v>4120</v>
      </c>
      <c r="F2647" s="1" t="str">
        <f>"013933717"</f>
        <v>013933717</v>
      </c>
      <c r="G2647" s="1" t="s">
        <v>1088</v>
      </c>
      <c r="H2647" s="1" t="s">
        <v>15</v>
      </c>
      <c r="I2647" s="1" t="str">
        <f>"1"</f>
        <v>1</v>
      </c>
      <c r="J2647" s="3">
        <v>2173.04</v>
      </c>
      <c r="K2647" s="4">
        <v>46052</v>
      </c>
      <c r="L2647" s="4">
        <v>46059</v>
      </c>
      <c r="M2647" s="1" t="s">
        <v>6032</v>
      </c>
      <c r="N2647" s="1" t="s">
        <v>6031</v>
      </c>
    </row>
    <row r="2648" spans="1:14" s="1" customFormat="1" x14ac:dyDescent="0.35">
      <c r="A2648" s="1" t="s">
        <v>4492</v>
      </c>
      <c r="B2648" s="1" t="s">
        <v>1989</v>
      </c>
      <c r="C2648" s="1" t="s">
        <v>6023</v>
      </c>
      <c r="D2648" s="1" t="s">
        <v>6030</v>
      </c>
      <c r="E2648" s="1" t="str">
        <f>"2310"</f>
        <v>2310</v>
      </c>
      <c r="F2648" s="1" t="str">
        <f>"016544105"</f>
        <v>016544105</v>
      </c>
      <c r="G2648" s="1" t="s">
        <v>232</v>
      </c>
      <c r="H2648" s="1" t="s">
        <v>15</v>
      </c>
      <c r="I2648" s="1" t="str">
        <f>"1"</f>
        <v>1</v>
      </c>
      <c r="J2648" s="3">
        <v>31905.14</v>
      </c>
      <c r="K2648" s="4">
        <v>46011</v>
      </c>
      <c r="L2648" s="4">
        <v>46036</v>
      </c>
      <c r="M2648" s="1" t="s">
        <v>6029</v>
      </c>
      <c r="N2648" s="1" t="s">
        <v>6024</v>
      </c>
    </row>
    <row r="2649" spans="1:14" s="1" customFormat="1" x14ac:dyDescent="0.35">
      <c r="A2649" s="1" t="s">
        <v>4492</v>
      </c>
      <c r="B2649" s="1" t="s">
        <v>1989</v>
      </c>
      <c r="C2649" s="1" t="s">
        <v>6023</v>
      </c>
      <c r="D2649" s="1" t="s">
        <v>6028</v>
      </c>
      <c r="E2649" s="1" t="str">
        <f>"2310"</f>
        <v>2310</v>
      </c>
      <c r="F2649" s="1" t="str">
        <f>"016544105"</f>
        <v>016544105</v>
      </c>
      <c r="G2649" s="1" t="s">
        <v>232</v>
      </c>
      <c r="H2649" s="1" t="s">
        <v>15</v>
      </c>
      <c r="I2649" s="1" t="str">
        <f>"1"</f>
        <v>1</v>
      </c>
      <c r="J2649" s="3">
        <v>31905.14</v>
      </c>
      <c r="K2649" s="4">
        <v>46011</v>
      </c>
      <c r="L2649" s="4">
        <v>46025</v>
      </c>
      <c r="M2649" s="1" t="s">
        <v>6027</v>
      </c>
      <c r="N2649" s="1" t="s">
        <v>6024</v>
      </c>
    </row>
    <row r="2650" spans="1:14" s="1" customFormat="1" x14ac:dyDescent="0.35">
      <c r="A2650" s="1" t="s">
        <v>4492</v>
      </c>
      <c r="B2650" s="1" t="s">
        <v>1989</v>
      </c>
      <c r="C2650" s="1" t="s">
        <v>6023</v>
      </c>
      <c r="D2650" s="1" t="s">
        <v>6026</v>
      </c>
      <c r="E2650" s="1" t="str">
        <f>"2310"</f>
        <v>2310</v>
      </c>
      <c r="F2650" s="1" t="str">
        <f>"016544105"</f>
        <v>016544105</v>
      </c>
      <c r="G2650" s="1" t="s">
        <v>232</v>
      </c>
      <c r="H2650" s="1" t="s">
        <v>15</v>
      </c>
      <c r="I2650" s="1" t="str">
        <f>"1"</f>
        <v>1</v>
      </c>
      <c r="J2650" s="3">
        <v>31905.14</v>
      </c>
      <c r="K2650" s="4">
        <v>46011</v>
      </c>
      <c r="L2650" s="4">
        <v>46036</v>
      </c>
      <c r="M2650" s="1" t="s">
        <v>6025</v>
      </c>
      <c r="N2650" s="1" t="s">
        <v>6024</v>
      </c>
    </row>
    <row r="2651" spans="1:14" s="1" customFormat="1" x14ac:dyDescent="0.35">
      <c r="A2651" s="1" t="s">
        <v>4492</v>
      </c>
      <c r="B2651" s="1" t="s">
        <v>1989</v>
      </c>
      <c r="C2651" s="1" t="s">
        <v>6023</v>
      </c>
      <c r="D2651" s="1" t="s">
        <v>6022</v>
      </c>
      <c r="E2651" s="1" t="str">
        <f>"2340"</f>
        <v>2340</v>
      </c>
      <c r="F2651" s="1" t="s">
        <v>1071</v>
      </c>
      <c r="G2651" s="1" t="s">
        <v>1072</v>
      </c>
      <c r="H2651" s="1" t="s">
        <v>15</v>
      </c>
      <c r="I2651" s="1" t="str">
        <f>"1"</f>
        <v>1</v>
      </c>
      <c r="J2651" s="3" t="str">
        <f>"5000"</f>
        <v>5000</v>
      </c>
      <c r="K2651" s="4">
        <v>46095</v>
      </c>
      <c r="L2651" s="4">
        <v>46100</v>
      </c>
      <c r="M2651" s="1" t="s">
        <v>6021</v>
      </c>
      <c r="N2651" s="1" t="s">
        <v>6020</v>
      </c>
    </row>
    <row r="2652" spans="1:14" s="1" customFormat="1" x14ac:dyDescent="0.35">
      <c r="A2652" s="1" t="s">
        <v>4492</v>
      </c>
      <c r="B2652" s="1" t="s">
        <v>3822</v>
      </c>
      <c r="C2652" s="1" t="s">
        <v>6019</v>
      </c>
      <c r="D2652" s="1" t="s">
        <v>6018</v>
      </c>
      <c r="E2652" s="1" t="str">
        <f>"2320"</f>
        <v>2320</v>
      </c>
      <c r="F2652" s="1" t="s">
        <v>4526</v>
      </c>
      <c r="G2652" s="1" t="s">
        <v>4525</v>
      </c>
      <c r="H2652" s="1" t="s">
        <v>15</v>
      </c>
      <c r="I2652" s="1" t="str">
        <f>"1"</f>
        <v>1</v>
      </c>
      <c r="J2652" s="3">
        <v>610434.26</v>
      </c>
      <c r="K2652" s="4">
        <v>46056</v>
      </c>
      <c r="L2652" s="4">
        <v>46056</v>
      </c>
      <c r="M2652" s="1" t="s">
        <v>4524</v>
      </c>
      <c r="N2652" s="1" t="s">
        <v>6017</v>
      </c>
    </row>
    <row r="2653" spans="1:14" s="1" customFormat="1" x14ac:dyDescent="0.35">
      <c r="A2653" s="1" t="s">
        <v>4492</v>
      </c>
      <c r="B2653" s="1" t="s">
        <v>1013</v>
      </c>
      <c r="C2653" s="1" t="s">
        <v>6016</v>
      </c>
      <c r="D2653" s="1" t="s">
        <v>6015</v>
      </c>
      <c r="E2653" s="1" t="str">
        <f>"2320"</f>
        <v>2320</v>
      </c>
      <c r="F2653" s="1" t="s">
        <v>4526</v>
      </c>
      <c r="G2653" s="1" t="s">
        <v>4525</v>
      </c>
      <c r="H2653" s="1" t="s">
        <v>15</v>
      </c>
      <c r="I2653" s="1" t="str">
        <f>"1"</f>
        <v>1</v>
      </c>
      <c r="J2653" s="3">
        <v>610434.26</v>
      </c>
      <c r="K2653" s="4">
        <v>46055</v>
      </c>
      <c r="L2653" s="4">
        <v>46056</v>
      </c>
      <c r="M2653" s="1" t="s">
        <v>4524</v>
      </c>
      <c r="N2653" s="1" t="s">
        <v>6014</v>
      </c>
    </row>
    <row r="2654" spans="1:14" s="1" customFormat="1" x14ac:dyDescent="0.35">
      <c r="A2654" s="1" t="s">
        <v>4492</v>
      </c>
      <c r="B2654" s="1" t="s">
        <v>3356</v>
      </c>
      <c r="C2654" s="1" t="s">
        <v>3666</v>
      </c>
      <c r="D2654" s="1" t="s">
        <v>6013</v>
      </c>
      <c r="E2654" s="1" t="str">
        <f>"8415"</f>
        <v>8415</v>
      </c>
      <c r="F2654" s="1" t="str">
        <f>"015386680"</f>
        <v>015386680</v>
      </c>
      <c r="G2654" s="1" t="s">
        <v>22</v>
      </c>
      <c r="H2654" s="1" t="s">
        <v>15</v>
      </c>
      <c r="I2654" s="1" t="str">
        <f>"16"</f>
        <v>16</v>
      </c>
      <c r="J2654" s="3">
        <v>93.46</v>
      </c>
      <c r="K2654" s="4">
        <v>45997</v>
      </c>
      <c r="L2654" s="4">
        <v>46044</v>
      </c>
      <c r="M2654" s="1" t="s">
        <v>6012</v>
      </c>
      <c r="N2654" s="1" t="s">
        <v>6011</v>
      </c>
    </row>
    <row r="2655" spans="1:14" s="1" customFormat="1" x14ac:dyDescent="0.35">
      <c r="A2655" s="1" t="s">
        <v>4492</v>
      </c>
      <c r="B2655" s="1" t="s">
        <v>3356</v>
      </c>
      <c r="C2655" s="1" t="s">
        <v>3666</v>
      </c>
      <c r="D2655" s="1" t="s">
        <v>6010</v>
      </c>
      <c r="E2655" s="1" t="str">
        <f>"8415"</f>
        <v>8415</v>
      </c>
      <c r="F2655" s="1" t="str">
        <f>"015387764"</f>
        <v>015387764</v>
      </c>
      <c r="G2655" s="1" t="s">
        <v>18</v>
      </c>
      <c r="H2655" s="1" t="s">
        <v>15</v>
      </c>
      <c r="I2655" s="1" t="str">
        <f>"8"</f>
        <v>8</v>
      </c>
      <c r="J2655" s="3">
        <v>111.26</v>
      </c>
      <c r="K2655" s="4">
        <v>45997</v>
      </c>
      <c r="L2655" s="4">
        <v>46044</v>
      </c>
      <c r="M2655" s="1" t="s">
        <v>6009</v>
      </c>
      <c r="N2655" s="1" t="s">
        <v>6008</v>
      </c>
    </row>
    <row r="2656" spans="1:14" s="1" customFormat="1" x14ac:dyDescent="0.35">
      <c r="A2656" s="1" t="s">
        <v>4492</v>
      </c>
      <c r="B2656" s="1" t="s">
        <v>3356</v>
      </c>
      <c r="C2656" s="1" t="s">
        <v>3666</v>
      </c>
      <c r="D2656" s="1" t="s">
        <v>6007</v>
      </c>
      <c r="E2656" s="1" t="str">
        <f>"3805"</f>
        <v>3805</v>
      </c>
      <c r="F2656" s="1" t="s">
        <v>1020</v>
      </c>
      <c r="G2656" s="1" t="s">
        <v>1021</v>
      </c>
      <c r="H2656" s="1" t="s">
        <v>15</v>
      </c>
      <c r="I2656" s="1" t="str">
        <f>"1"</f>
        <v>1</v>
      </c>
      <c r="J2656" s="3">
        <v>22983.5</v>
      </c>
      <c r="K2656" s="4">
        <v>45997</v>
      </c>
      <c r="L2656" s="4">
        <v>46027</v>
      </c>
      <c r="M2656" s="1" t="s">
        <v>6006</v>
      </c>
      <c r="N2656" s="1" t="s">
        <v>6005</v>
      </c>
    </row>
    <row r="2657" spans="1:14" s="1" customFormat="1" x14ac:dyDescent="0.35">
      <c r="A2657" s="1" t="s">
        <v>4492</v>
      </c>
      <c r="B2657" s="1" t="s">
        <v>3356</v>
      </c>
      <c r="C2657" s="1" t="s">
        <v>3666</v>
      </c>
      <c r="D2657" s="1" t="s">
        <v>6004</v>
      </c>
      <c r="E2657" s="1" t="str">
        <f>"4240"</f>
        <v>4240</v>
      </c>
      <c r="F2657" s="1" t="str">
        <f>"015184626"</f>
        <v>015184626</v>
      </c>
      <c r="G2657" s="1" t="s">
        <v>1690</v>
      </c>
      <c r="H2657" s="1" t="s">
        <v>15</v>
      </c>
      <c r="I2657" s="1" t="str">
        <f>"6"</f>
        <v>6</v>
      </c>
      <c r="J2657" s="3">
        <v>6334.95</v>
      </c>
      <c r="K2657" s="4">
        <v>45997</v>
      </c>
      <c r="L2657" s="4">
        <v>46027</v>
      </c>
      <c r="M2657" s="1" t="s">
        <v>6003</v>
      </c>
      <c r="N2657" s="1" t="s">
        <v>6002</v>
      </c>
    </row>
    <row r="2658" spans="1:14" s="1" customFormat="1" x14ac:dyDescent="0.35">
      <c r="A2658" s="1" t="s">
        <v>4492</v>
      </c>
      <c r="B2658" s="1" t="s">
        <v>3356</v>
      </c>
      <c r="C2658" s="1" t="s">
        <v>3666</v>
      </c>
      <c r="D2658" s="1" t="s">
        <v>6001</v>
      </c>
      <c r="E2658" s="1" t="str">
        <f>"1940"</f>
        <v>1940</v>
      </c>
      <c r="F2658" s="1" t="s">
        <v>1898</v>
      </c>
      <c r="G2658" s="1" t="s">
        <v>1899</v>
      </c>
      <c r="H2658" s="1" t="s">
        <v>15</v>
      </c>
      <c r="I2658" s="1" t="str">
        <f>"1"</f>
        <v>1</v>
      </c>
      <c r="J2658" s="3" t="str">
        <f>"8000"</f>
        <v>8000</v>
      </c>
      <c r="K2658" s="4">
        <v>46005</v>
      </c>
      <c r="L2658" s="4">
        <v>46044</v>
      </c>
      <c r="M2658" s="1" t="s">
        <v>6000</v>
      </c>
      <c r="N2658" s="1" t="s">
        <v>5999</v>
      </c>
    </row>
    <row r="2659" spans="1:14" s="1" customFormat="1" x14ac:dyDescent="0.35">
      <c r="A2659" s="1" t="s">
        <v>4492</v>
      </c>
      <c r="B2659" s="1" t="s">
        <v>3356</v>
      </c>
      <c r="C2659" s="1" t="s">
        <v>3666</v>
      </c>
      <c r="D2659" s="1" t="s">
        <v>5998</v>
      </c>
      <c r="E2659" s="1" t="str">
        <f>"4210"</f>
        <v>4210</v>
      </c>
      <c r="F2659" s="1" t="s">
        <v>5997</v>
      </c>
      <c r="G2659" s="1" t="s">
        <v>5996</v>
      </c>
      <c r="H2659" s="1" t="s">
        <v>15</v>
      </c>
      <c r="I2659" s="1" t="str">
        <f>"3"</f>
        <v>3</v>
      </c>
      <c r="J2659" s="3" t="str">
        <f>"3383"</f>
        <v>3383</v>
      </c>
      <c r="K2659" s="4">
        <v>46005</v>
      </c>
      <c r="L2659" s="4">
        <v>46064</v>
      </c>
      <c r="M2659" s="1" t="s">
        <v>5995</v>
      </c>
      <c r="N2659" s="1" t="s">
        <v>5994</v>
      </c>
    </row>
    <row r="2660" spans="1:14" s="1" customFormat="1" x14ac:dyDescent="0.35">
      <c r="A2660" s="1" t="s">
        <v>4492</v>
      </c>
      <c r="B2660" s="1" t="s">
        <v>3356</v>
      </c>
      <c r="C2660" s="1" t="s">
        <v>3666</v>
      </c>
      <c r="D2660" s="1" t="s">
        <v>5993</v>
      </c>
      <c r="E2660" s="1" t="str">
        <f>"3805"</f>
        <v>3805</v>
      </c>
      <c r="F2660" s="1" t="s">
        <v>1020</v>
      </c>
      <c r="G2660" s="1" t="s">
        <v>1021</v>
      </c>
      <c r="H2660" s="1" t="s">
        <v>15</v>
      </c>
      <c r="I2660" s="1" t="str">
        <f>"1"</f>
        <v>1</v>
      </c>
      <c r="J2660" s="3" t="str">
        <f>"5625"</f>
        <v>5625</v>
      </c>
      <c r="K2660" s="4">
        <v>46005</v>
      </c>
      <c r="L2660" s="4">
        <v>46090</v>
      </c>
      <c r="M2660" s="1" t="s">
        <v>5992</v>
      </c>
      <c r="N2660" s="1" t="s">
        <v>5991</v>
      </c>
    </row>
    <row r="2661" spans="1:14" s="1" customFormat="1" x14ac:dyDescent="0.35">
      <c r="A2661" s="1" t="s">
        <v>4492</v>
      </c>
      <c r="B2661" s="1" t="s">
        <v>3356</v>
      </c>
      <c r="C2661" s="1" t="s">
        <v>3666</v>
      </c>
      <c r="D2661" s="1" t="s">
        <v>5990</v>
      </c>
      <c r="E2661" s="1" t="str">
        <f>"7025"</f>
        <v>7025</v>
      </c>
      <c r="F2661" s="1" t="str">
        <f>"015366572"</f>
        <v>015366572</v>
      </c>
      <c r="G2661" s="1" t="s">
        <v>5989</v>
      </c>
      <c r="H2661" s="1" t="s">
        <v>15</v>
      </c>
      <c r="I2661" s="1" t="str">
        <f>"1"</f>
        <v>1</v>
      </c>
      <c r="J2661" s="3" t="str">
        <f>"1839"</f>
        <v>1839</v>
      </c>
      <c r="K2661" s="4">
        <v>46005</v>
      </c>
      <c r="L2661" s="4">
        <v>46048</v>
      </c>
      <c r="M2661" s="1" t="s">
        <v>5988</v>
      </c>
      <c r="N2661" s="1" t="s">
        <v>5987</v>
      </c>
    </row>
    <row r="2662" spans="1:14" s="1" customFormat="1" x14ac:dyDescent="0.35">
      <c r="A2662" s="1" t="s">
        <v>4492</v>
      </c>
      <c r="B2662" s="1" t="s">
        <v>3356</v>
      </c>
      <c r="C2662" s="1" t="s">
        <v>3666</v>
      </c>
      <c r="D2662" s="1" t="s">
        <v>5986</v>
      </c>
      <c r="E2662" s="1" t="str">
        <f>"2340"</f>
        <v>2340</v>
      </c>
      <c r="F2662" s="1" t="str">
        <f>"016495368"</f>
        <v>016495368</v>
      </c>
      <c r="G2662" s="1" t="s">
        <v>1926</v>
      </c>
      <c r="H2662" s="1" t="s">
        <v>15</v>
      </c>
      <c r="I2662" s="1" t="str">
        <f>"1"</f>
        <v>1</v>
      </c>
      <c r="J2662" s="3" t="str">
        <f>"34900"</f>
        <v>34900</v>
      </c>
      <c r="K2662" s="4">
        <v>46018</v>
      </c>
      <c r="L2662" s="4">
        <v>46028</v>
      </c>
      <c r="M2662" s="1" t="s">
        <v>5985</v>
      </c>
      <c r="N2662" s="1" t="s">
        <v>5984</v>
      </c>
    </row>
    <row r="2663" spans="1:14" s="1" customFormat="1" x14ac:dyDescent="0.35">
      <c r="A2663" s="1" t="s">
        <v>4492</v>
      </c>
      <c r="B2663" s="1" t="s">
        <v>3356</v>
      </c>
      <c r="C2663" s="1" t="s">
        <v>3666</v>
      </c>
      <c r="D2663" s="1" t="s">
        <v>5983</v>
      </c>
      <c r="E2663" s="1" t="str">
        <f>"2330"</f>
        <v>2330</v>
      </c>
      <c r="F2663" s="1" t="str">
        <f>"001331731"</f>
        <v>001331731</v>
      </c>
      <c r="G2663" s="1" t="s">
        <v>3505</v>
      </c>
      <c r="H2663" s="1" t="s">
        <v>15</v>
      </c>
      <c r="I2663" s="1" t="str">
        <f>"1"</f>
        <v>1</v>
      </c>
      <c r="J2663" s="3" t="str">
        <f>"20007"</f>
        <v>20007</v>
      </c>
      <c r="K2663" s="4">
        <v>46036</v>
      </c>
      <c r="L2663" s="4">
        <v>46064</v>
      </c>
      <c r="M2663" s="1" t="s">
        <v>5982</v>
      </c>
      <c r="N2663" s="1" t="s">
        <v>5981</v>
      </c>
    </row>
    <row r="2664" spans="1:14" s="1" customFormat="1" x14ac:dyDescent="0.35">
      <c r="A2664" s="1" t="s">
        <v>4492</v>
      </c>
      <c r="B2664" s="1" t="s">
        <v>3356</v>
      </c>
      <c r="C2664" s="1" t="s">
        <v>3666</v>
      </c>
      <c r="D2664" s="1" t="s">
        <v>5980</v>
      </c>
      <c r="E2664" s="1" t="str">
        <f>"7105"</f>
        <v>7105</v>
      </c>
      <c r="F2664" s="1" t="str">
        <f>"009350422"</f>
        <v>009350422</v>
      </c>
      <c r="G2664" s="1" t="s">
        <v>887</v>
      </c>
      <c r="H2664" s="1" t="s">
        <v>15</v>
      </c>
      <c r="I2664" s="1" t="str">
        <f>"6"</f>
        <v>6</v>
      </c>
      <c r="J2664" s="3">
        <v>133.93</v>
      </c>
      <c r="K2664" s="4">
        <v>46039</v>
      </c>
      <c r="L2664" s="4">
        <v>46043</v>
      </c>
      <c r="M2664" s="1" t="s">
        <v>5979</v>
      </c>
      <c r="N2664" s="1" t="s">
        <v>5978</v>
      </c>
    </row>
    <row r="2665" spans="1:14" s="1" customFormat="1" x14ac:dyDescent="0.35">
      <c r="A2665" s="1" t="s">
        <v>4492</v>
      </c>
      <c r="B2665" s="1" t="s">
        <v>3356</v>
      </c>
      <c r="C2665" s="1" t="s">
        <v>3666</v>
      </c>
      <c r="D2665" s="1" t="s">
        <v>5977</v>
      </c>
      <c r="E2665" s="1" t="str">
        <f>"7025"</f>
        <v>7025</v>
      </c>
      <c r="F2665" s="1" t="s">
        <v>5976</v>
      </c>
      <c r="G2665" s="1" t="s">
        <v>5975</v>
      </c>
      <c r="H2665" s="1" t="s">
        <v>15</v>
      </c>
      <c r="I2665" s="1" t="str">
        <f>"1"</f>
        <v>1</v>
      </c>
      <c r="J2665" s="3" t="str">
        <f>"2000"</f>
        <v>2000</v>
      </c>
      <c r="K2665" s="4">
        <v>46039</v>
      </c>
      <c r="L2665" s="4">
        <v>46051</v>
      </c>
      <c r="M2665" s="1" t="s">
        <v>5974</v>
      </c>
      <c r="N2665" s="1" t="s">
        <v>5973</v>
      </c>
    </row>
    <row r="2666" spans="1:14" s="1" customFormat="1" x14ac:dyDescent="0.35">
      <c r="A2666" s="1" t="s">
        <v>4492</v>
      </c>
      <c r="B2666" s="1" t="s">
        <v>3356</v>
      </c>
      <c r="C2666" s="1" t="s">
        <v>3666</v>
      </c>
      <c r="D2666" s="1" t="s">
        <v>5972</v>
      </c>
      <c r="E2666" s="1" t="str">
        <f>"2310"</f>
        <v>2310</v>
      </c>
      <c r="F2666" s="1" t="str">
        <f>"010907741"</f>
        <v>010907741</v>
      </c>
      <c r="G2666" s="1" t="s">
        <v>710</v>
      </c>
      <c r="H2666" s="1" t="s">
        <v>15</v>
      </c>
      <c r="I2666" s="1" t="str">
        <f>"1"</f>
        <v>1</v>
      </c>
      <c r="J2666" s="3" t="str">
        <f>"30027"</f>
        <v>30027</v>
      </c>
      <c r="K2666" s="4">
        <v>46039</v>
      </c>
      <c r="L2666" s="4">
        <v>46055</v>
      </c>
      <c r="M2666" s="1" t="s">
        <v>5971</v>
      </c>
      <c r="N2666" s="1" t="s">
        <v>5970</v>
      </c>
    </row>
    <row r="2667" spans="1:14" s="1" customFormat="1" x14ac:dyDescent="0.35">
      <c r="A2667" s="1" t="s">
        <v>4492</v>
      </c>
      <c r="B2667" s="1" t="s">
        <v>3356</v>
      </c>
      <c r="C2667" s="1" t="s">
        <v>3666</v>
      </c>
      <c r="D2667" s="1" t="s">
        <v>5969</v>
      </c>
      <c r="E2667" s="1" t="str">
        <f>"2310"</f>
        <v>2310</v>
      </c>
      <c r="F2667" s="1" t="str">
        <f>"010907741"</f>
        <v>010907741</v>
      </c>
      <c r="G2667" s="1" t="s">
        <v>710</v>
      </c>
      <c r="H2667" s="1" t="s">
        <v>15</v>
      </c>
      <c r="I2667" s="1" t="str">
        <f>"1"</f>
        <v>1</v>
      </c>
      <c r="J2667" s="3" t="str">
        <f>"30027"</f>
        <v>30027</v>
      </c>
      <c r="K2667" s="4">
        <v>46039</v>
      </c>
      <c r="L2667" s="4">
        <v>46055</v>
      </c>
      <c r="M2667" s="1" t="s">
        <v>5968</v>
      </c>
      <c r="N2667" s="1" t="s">
        <v>5967</v>
      </c>
    </row>
    <row r="2668" spans="1:14" s="1" customFormat="1" x14ac:dyDescent="0.35">
      <c r="A2668" s="1" t="s">
        <v>4492</v>
      </c>
      <c r="B2668" s="1" t="s">
        <v>3356</v>
      </c>
      <c r="C2668" s="1" t="s">
        <v>3666</v>
      </c>
      <c r="D2668" s="1" t="s">
        <v>5966</v>
      </c>
      <c r="E2668" s="1" t="str">
        <f>"6115"</f>
        <v>6115</v>
      </c>
      <c r="F2668" s="1" t="str">
        <f>"015652312"</f>
        <v>015652312</v>
      </c>
      <c r="G2668" s="1" t="s">
        <v>3629</v>
      </c>
      <c r="H2668" s="1" t="s">
        <v>15</v>
      </c>
      <c r="I2668" s="1" t="str">
        <f>"1"</f>
        <v>1</v>
      </c>
      <c r="J2668" s="3" t="str">
        <f>"5328"</f>
        <v>5328</v>
      </c>
      <c r="K2668" s="4">
        <v>46039</v>
      </c>
      <c r="L2668" s="4">
        <v>46071</v>
      </c>
      <c r="M2668" s="1" t="s">
        <v>5965</v>
      </c>
      <c r="N2668" s="1" t="s">
        <v>5964</v>
      </c>
    </row>
    <row r="2669" spans="1:14" s="1" customFormat="1" x14ac:dyDescent="0.35">
      <c r="A2669" s="1" t="s">
        <v>4492</v>
      </c>
      <c r="B2669" s="1" t="s">
        <v>3356</v>
      </c>
      <c r="C2669" s="1" t="s">
        <v>3666</v>
      </c>
      <c r="D2669" s="1" t="s">
        <v>5963</v>
      </c>
      <c r="E2669" s="1" t="str">
        <f>"6230"</f>
        <v>6230</v>
      </c>
      <c r="F2669" s="1" t="str">
        <f>"015880856"</f>
        <v>015880856</v>
      </c>
      <c r="G2669" s="1" t="s">
        <v>5962</v>
      </c>
      <c r="H2669" s="1" t="s">
        <v>257</v>
      </c>
      <c r="I2669" s="1" t="str">
        <f>"1"</f>
        <v>1</v>
      </c>
      <c r="J2669" s="3">
        <v>1722.24</v>
      </c>
      <c r="K2669" s="4">
        <v>46039</v>
      </c>
      <c r="L2669" s="4">
        <v>46046</v>
      </c>
      <c r="M2669" s="1" t="s">
        <v>5961</v>
      </c>
      <c r="N2669" s="1" t="s">
        <v>5960</v>
      </c>
    </row>
    <row r="2670" spans="1:14" s="1" customFormat="1" x14ac:dyDescent="0.35">
      <c r="A2670" s="1" t="s">
        <v>4492</v>
      </c>
      <c r="B2670" s="1" t="s">
        <v>3356</v>
      </c>
      <c r="C2670" s="1" t="s">
        <v>3666</v>
      </c>
      <c r="D2670" s="1" t="s">
        <v>5959</v>
      </c>
      <c r="E2670" s="1" t="str">
        <f>"2320"</f>
        <v>2320</v>
      </c>
      <c r="F2670" s="1" t="str">
        <f>"011513177"</f>
        <v>011513177</v>
      </c>
      <c r="G2670" s="1" t="s">
        <v>1765</v>
      </c>
      <c r="H2670" s="1" t="s">
        <v>15</v>
      </c>
      <c r="I2670" s="1" t="str">
        <f>"1"</f>
        <v>1</v>
      </c>
      <c r="J2670" s="3" t="str">
        <f>"29693"</f>
        <v>29693</v>
      </c>
      <c r="K2670" s="4">
        <v>46039</v>
      </c>
      <c r="L2670" s="4">
        <v>46099</v>
      </c>
      <c r="M2670" s="1" t="s">
        <v>5958</v>
      </c>
      <c r="N2670" s="1" t="s">
        <v>5957</v>
      </c>
    </row>
    <row r="2671" spans="1:14" s="1" customFormat="1" x14ac:dyDescent="0.35">
      <c r="A2671" s="1" t="s">
        <v>4492</v>
      </c>
      <c r="B2671" s="1" t="s">
        <v>3356</v>
      </c>
      <c r="C2671" s="1" t="s">
        <v>3666</v>
      </c>
      <c r="D2671" s="1" t="s">
        <v>5956</v>
      </c>
      <c r="E2671" s="1" t="str">
        <f>"2310"</f>
        <v>2310</v>
      </c>
      <c r="F2671" s="1" t="str">
        <f>"014998019"</f>
        <v>014998019</v>
      </c>
      <c r="G2671" s="1" t="s">
        <v>4671</v>
      </c>
      <c r="H2671" s="1" t="s">
        <v>15</v>
      </c>
      <c r="I2671" s="1" t="str">
        <f>"1"</f>
        <v>1</v>
      </c>
      <c r="J2671" s="3" t="str">
        <f>"165000"</f>
        <v>165000</v>
      </c>
      <c r="K2671" s="4">
        <v>46044</v>
      </c>
      <c r="L2671" s="4">
        <v>46045</v>
      </c>
      <c r="N2671" s="1" t="s">
        <v>5955</v>
      </c>
    </row>
    <row r="2672" spans="1:14" s="1" customFormat="1" x14ac:dyDescent="0.35">
      <c r="A2672" s="1" t="s">
        <v>4492</v>
      </c>
      <c r="B2672" s="1" t="s">
        <v>3356</v>
      </c>
      <c r="C2672" s="1" t="s">
        <v>3666</v>
      </c>
      <c r="D2672" s="1" t="s">
        <v>5954</v>
      </c>
      <c r="E2672" s="1" t="str">
        <f>"2320"</f>
        <v>2320</v>
      </c>
      <c r="F2672" s="1" t="str">
        <f>"010907882"</f>
        <v>010907882</v>
      </c>
      <c r="G2672" s="1" t="s">
        <v>930</v>
      </c>
      <c r="H2672" s="1" t="s">
        <v>15</v>
      </c>
      <c r="I2672" s="1" t="str">
        <f>"1"</f>
        <v>1</v>
      </c>
      <c r="J2672" s="3" t="str">
        <f>"9408"</f>
        <v>9408</v>
      </c>
      <c r="K2672" s="4">
        <v>46046</v>
      </c>
      <c r="L2672" s="4">
        <v>46055</v>
      </c>
      <c r="M2672" s="1" t="s">
        <v>5953</v>
      </c>
      <c r="N2672" s="1" t="s">
        <v>5952</v>
      </c>
    </row>
    <row r="2673" spans="1:14" s="1" customFormat="1" x14ac:dyDescent="0.35">
      <c r="A2673" s="1" t="s">
        <v>4492</v>
      </c>
      <c r="B2673" s="1" t="s">
        <v>3356</v>
      </c>
      <c r="C2673" s="1" t="s">
        <v>3666</v>
      </c>
      <c r="D2673" s="1" t="s">
        <v>5951</v>
      </c>
      <c r="E2673" s="1" t="str">
        <f>"2310"</f>
        <v>2310</v>
      </c>
      <c r="F2673" s="1" t="s">
        <v>4332</v>
      </c>
      <c r="G2673" s="1" t="s">
        <v>4333</v>
      </c>
      <c r="H2673" s="1" t="s">
        <v>15</v>
      </c>
      <c r="I2673" s="1" t="str">
        <f>"1"</f>
        <v>1</v>
      </c>
      <c r="J2673" s="3" t="str">
        <f>"20000"</f>
        <v>20000</v>
      </c>
      <c r="K2673" s="4">
        <v>46046</v>
      </c>
      <c r="L2673" s="4">
        <v>46060</v>
      </c>
      <c r="M2673" s="1" t="s">
        <v>5950</v>
      </c>
      <c r="N2673" s="1" t="s">
        <v>5949</v>
      </c>
    </row>
    <row r="2674" spans="1:14" s="1" customFormat="1" x14ac:dyDescent="0.35">
      <c r="A2674" s="1" t="s">
        <v>4492</v>
      </c>
      <c r="B2674" s="1" t="s">
        <v>3356</v>
      </c>
      <c r="C2674" s="1" t="s">
        <v>3666</v>
      </c>
      <c r="D2674" s="1" t="s">
        <v>5948</v>
      </c>
      <c r="E2674" s="1" t="str">
        <f>"3510"</f>
        <v>3510</v>
      </c>
      <c r="F2674" s="1" t="str">
        <f>"016212316"</f>
        <v>016212316</v>
      </c>
      <c r="G2674" s="1" t="s">
        <v>5947</v>
      </c>
      <c r="H2674" s="1" t="s">
        <v>15</v>
      </c>
      <c r="I2674" s="1" t="str">
        <f>"1"</f>
        <v>1</v>
      </c>
      <c r="J2674" s="3">
        <v>2976.03</v>
      </c>
      <c r="K2674" s="4">
        <v>46056</v>
      </c>
      <c r="L2674" s="4">
        <v>46056</v>
      </c>
      <c r="M2674" s="1" t="s">
        <v>4524</v>
      </c>
      <c r="N2674" s="1" t="s">
        <v>5946</v>
      </c>
    </row>
    <row r="2675" spans="1:14" s="1" customFormat="1" x14ac:dyDescent="0.35">
      <c r="A2675" s="1" t="s">
        <v>4492</v>
      </c>
      <c r="B2675" s="1" t="s">
        <v>3356</v>
      </c>
      <c r="C2675" s="1" t="s">
        <v>3666</v>
      </c>
      <c r="D2675" s="1" t="s">
        <v>5945</v>
      </c>
      <c r="E2675" s="1" t="str">
        <f>"2310"</f>
        <v>2310</v>
      </c>
      <c r="F2675" s="1" t="str">
        <f>"010907739"</f>
        <v>010907739</v>
      </c>
      <c r="G2675" s="1" t="s">
        <v>710</v>
      </c>
      <c r="H2675" s="1" t="s">
        <v>15</v>
      </c>
      <c r="I2675" s="1" t="str">
        <f>"1"</f>
        <v>1</v>
      </c>
      <c r="J2675" s="3" t="str">
        <f>"9176"</f>
        <v>9176</v>
      </c>
      <c r="K2675" s="4">
        <v>46056</v>
      </c>
      <c r="L2675" s="4">
        <v>46067</v>
      </c>
      <c r="M2675" s="1" t="s">
        <v>5944</v>
      </c>
      <c r="N2675" s="1" t="s">
        <v>3668</v>
      </c>
    </row>
    <row r="2676" spans="1:14" s="1" customFormat="1" x14ac:dyDescent="0.35">
      <c r="A2676" s="1" t="s">
        <v>4492</v>
      </c>
      <c r="B2676" s="1" t="s">
        <v>3356</v>
      </c>
      <c r="C2676" s="1" t="s">
        <v>3666</v>
      </c>
      <c r="D2676" s="1" t="s">
        <v>5943</v>
      </c>
      <c r="E2676" s="1" t="str">
        <f>"2310"</f>
        <v>2310</v>
      </c>
      <c r="F2676" s="1" t="str">
        <f>"010907739"</f>
        <v>010907739</v>
      </c>
      <c r="G2676" s="1" t="s">
        <v>710</v>
      </c>
      <c r="H2676" s="1" t="s">
        <v>15</v>
      </c>
      <c r="I2676" s="1" t="str">
        <f>"1"</f>
        <v>1</v>
      </c>
      <c r="J2676" s="3" t="str">
        <f>"9176"</f>
        <v>9176</v>
      </c>
      <c r="K2676" s="4">
        <v>46056</v>
      </c>
      <c r="L2676" s="4">
        <v>46067</v>
      </c>
      <c r="M2676" s="1" t="s">
        <v>5942</v>
      </c>
      <c r="N2676" s="1" t="s">
        <v>3668</v>
      </c>
    </row>
    <row r="2677" spans="1:14" s="1" customFormat="1" x14ac:dyDescent="0.35">
      <c r="A2677" s="1" t="s">
        <v>4492</v>
      </c>
      <c r="B2677" s="1" t="s">
        <v>3356</v>
      </c>
      <c r="C2677" s="1" t="s">
        <v>3666</v>
      </c>
      <c r="D2677" s="1" t="s">
        <v>5941</v>
      </c>
      <c r="E2677" s="1" t="str">
        <f>"2310"</f>
        <v>2310</v>
      </c>
      <c r="F2677" s="1" t="str">
        <f>"010907739"</f>
        <v>010907739</v>
      </c>
      <c r="G2677" s="1" t="s">
        <v>710</v>
      </c>
      <c r="H2677" s="1" t="s">
        <v>15</v>
      </c>
      <c r="I2677" s="1" t="str">
        <f>"1"</f>
        <v>1</v>
      </c>
      <c r="J2677" s="3" t="str">
        <f>"9176"</f>
        <v>9176</v>
      </c>
      <c r="K2677" s="4">
        <v>46056</v>
      </c>
      <c r="L2677" s="4">
        <v>46067</v>
      </c>
      <c r="M2677" s="1" t="s">
        <v>5940</v>
      </c>
      <c r="N2677" s="1" t="s">
        <v>3668</v>
      </c>
    </row>
    <row r="2678" spans="1:14" s="1" customFormat="1" x14ac:dyDescent="0.35">
      <c r="A2678" s="1" t="s">
        <v>4492</v>
      </c>
      <c r="B2678" s="1" t="s">
        <v>3356</v>
      </c>
      <c r="C2678" s="1" t="s">
        <v>3666</v>
      </c>
      <c r="D2678" s="1" t="s">
        <v>5939</v>
      </c>
      <c r="E2678" s="1" t="str">
        <f>"2340"</f>
        <v>2340</v>
      </c>
      <c r="F2678" s="1" t="s">
        <v>179</v>
      </c>
      <c r="G2678" s="1" t="s">
        <v>180</v>
      </c>
      <c r="H2678" s="1" t="s">
        <v>15</v>
      </c>
      <c r="I2678" s="1" t="str">
        <f>"1"</f>
        <v>1</v>
      </c>
      <c r="J2678" s="3" t="str">
        <f>"250"</f>
        <v>250</v>
      </c>
      <c r="K2678" s="4">
        <v>46056</v>
      </c>
      <c r="L2678" s="4">
        <v>46059</v>
      </c>
      <c r="M2678" s="1" t="s">
        <v>5938</v>
      </c>
      <c r="N2678" s="1" t="s">
        <v>5937</v>
      </c>
    </row>
    <row r="2679" spans="1:14" s="1" customFormat="1" x14ac:dyDescent="0.35">
      <c r="A2679" s="1" t="s">
        <v>4492</v>
      </c>
      <c r="B2679" s="1" t="s">
        <v>3356</v>
      </c>
      <c r="C2679" s="1" t="s">
        <v>3666</v>
      </c>
      <c r="D2679" s="1" t="s">
        <v>5936</v>
      </c>
      <c r="E2679" s="1" t="str">
        <f>"6230"</f>
        <v>6230</v>
      </c>
      <c r="F2679" s="1" t="str">
        <f>"015894822"</f>
        <v>015894822</v>
      </c>
      <c r="G2679" s="1" t="s">
        <v>1571</v>
      </c>
      <c r="H2679" s="1" t="s">
        <v>15</v>
      </c>
      <c r="I2679" s="1" t="str">
        <f>"16"</f>
        <v>16</v>
      </c>
      <c r="J2679" s="3">
        <v>647.44000000000005</v>
      </c>
      <c r="K2679" s="4">
        <v>46060</v>
      </c>
      <c r="L2679" s="4">
        <v>46067</v>
      </c>
      <c r="M2679" s="1" t="s">
        <v>5935</v>
      </c>
      <c r="N2679" s="1" t="s">
        <v>5934</v>
      </c>
    </row>
    <row r="2680" spans="1:14" s="1" customFormat="1" x14ac:dyDescent="0.35">
      <c r="A2680" s="1" t="s">
        <v>4492</v>
      </c>
      <c r="B2680" s="1" t="s">
        <v>3356</v>
      </c>
      <c r="C2680" s="1" t="s">
        <v>3666</v>
      </c>
      <c r="D2680" s="1" t="s">
        <v>5933</v>
      </c>
      <c r="E2680" s="1" t="str">
        <f>"4933"</f>
        <v>4933</v>
      </c>
      <c r="F2680" s="1" t="str">
        <f>"016323964"</f>
        <v>016323964</v>
      </c>
      <c r="G2680" s="1" t="s">
        <v>3549</v>
      </c>
      <c r="H2680" s="1" t="s">
        <v>257</v>
      </c>
      <c r="I2680" s="1" t="str">
        <f>"1"</f>
        <v>1</v>
      </c>
      <c r="J2680" s="3" t="str">
        <f>"28245"</f>
        <v>28245</v>
      </c>
      <c r="K2680" s="4">
        <v>46060</v>
      </c>
      <c r="L2680" s="4">
        <v>46093</v>
      </c>
      <c r="M2680" s="1" t="s">
        <v>5932</v>
      </c>
      <c r="N2680" s="1" t="s">
        <v>5931</v>
      </c>
    </row>
    <row r="2681" spans="1:14" s="1" customFormat="1" x14ac:dyDescent="0.35">
      <c r="A2681" s="1" t="s">
        <v>4492</v>
      </c>
      <c r="B2681" s="1" t="s">
        <v>3356</v>
      </c>
      <c r="C2681" s="1" t="s">
        <v>3666</v>
      </c>
      <c r="D2681" s="1" t="s">
        <v>5930</v>
      </c>
      <c r="E2681" s="1" t="str">
        <f>"8405"</f>
        <v>8405</v>
      </c>
      <c r="F2681" s="1" t="str">
        <f>"016071111"</f>
        <v>016071111</v>
      </c>
      <c r="G2681" s="1" t="s">
        <v>893</v>
      </c>
      <c r="H2681" s="1" t="s">
        <v>15</v>
      </c>
      <c r="I2681" s="1" t="str">
        <f>"1"</f>
        <v>1</v>
      </c>
      <c r="J2681" s="3">
        <v>67.42</v>
      </c>
      <c r="K2681" s="4">
        <v>46060</v>
      </c>
      <c r="L2681" s="4">
        <v>46093</v>
      </c>
      <c r="M2681" s="1" t="s">
        <v>5929</v>
      </c>
      <c r="N2681" s="1" t="s">
        <v>5928</v>
      </c>
    </row>
    <row r="2682" spans="1:14" s="1" customFormat="1" x14ac:dyDescent="0.35">
      <c r="A2682" s="1" t="s">
        <v>4492</v>
      </c>
      <c r="B2682" s="1" t="s">
        <v>3356</v>
      </c>
      <c r="C2682" s="1" t="s">
        <v>3666</v>
      </c>
      <c r="D2682" s="1" t="s">
        <v>5927</v>
      </c>
      <c r="E2682" s="1" t="str">
        <f>"4210"</f>
        <v>4210</v>
      </c>
      <c r="F2682" s="1" t="s">
        <v>2721</v>
      </c>
      <c r="G2682" s="1" t="s">
        <v>2722</v>
      </c>
      <c r="H2682" s="1" t="s">
        <v>15</v>
      </c>
      <c r="I2682" s="1" t="str">
        <f>"6"</f>
        <v>6</v>
      </c>
      <c r="J2682" s="3" t="str">
        <f>"500"</f>
        <v>500</v>
      </c>
      <c r="K2682" s="4">
        <v>46060</v>
      </c>
      <c r="L2682" s="4">
        <v>46064</v>
      </c>
      <c r="M2682" s="1" t="s">
        <v>5926</v>
      </c>
      <c r="N2682" s="1" t="s">
        <v>5925</v>
      </c>
    </row>
    <row r="2683" spans="1:14" s="1" customFormat="1" x14ac:dyDescent="0.35">
      <c r="A2683" s="1" t="s">
        <v>4492</v>
      </c>
      <c r="B2683" s="1" t="s">
        <v>3356</v>
      </c>
      <c r="C2683" s="1" t="s">
        <v>3666</v>
      </c>
      <c r="D2683" s="1" t="s">
        <v>5924</v>
      </c>
      <c r="E2683" s="1" t="str">
        <f>"5410"</f>
        <v>5410</v>
      </c>
      <c r="F2683" s="1" t="str">
        <f>"014358951"</f>
        <v>014358951</v>
      </c>
      <c r="G2683" s="1" t="s">
        <v>3840</v>
      </c>
      <c r="H2683" s="1" t="s">
        <v>15</v>
      </c>
      <c r="I2683" s="1" t="str">
        <f>"1"</f>
        <v>1</v>
      </c>
      <c r="J2683" s="3">
        <v>15653.4</v>
      </c>
      <c r="K2683" s="4">
        <v>46060</v>
      </c>
      <c r="L2683" s="4">
        <v>46111</v>
      </c>
      <c r="M2683" s="1" t="s">
        <v>5923</v>
      </c>
      <c r="N2683" s="1" t="s">
        <v>5921</v>
      </c>
    </row>
    <row r="2684" spans="1:14" s="1" customFormat="1" x14ac:dyDescent="0.35">
      <c r="A2684" s="1" t="s">
        <v>4492</v>
      </c>
      <c r="B2684" s="1" t="s">
        <v>3356</v>
      </c>
      <c r="C2684" s="1" t="s">
        <v>3666</v>
      </c>
      <c r="D2684" s="1" t="s">
        <v>5922</v>
      </c>
      <c r="E2684" s="1" t="str">
        <f>"5410"</f>
        <v>5410</v>
      </c>
      <c r="F2684" s="1" t="str">
        <f>"014358951"</f>
        <v>014358951</v>
      </c>
      <c r="G2684" s="1" t="s">
        <v>3840</v>
      </c>
      <c r="H2684" s="1" t="s">
        <v>15</v>
      </c>
      <c r="I2684" s="1" t="str">
        <f>"1"</f>
        <v>1</v>
      </c>
      <c r="J2684" s="3">
        <v>15653.4</v>
      </c>
      <c r="K2684" s="4">
        <v>46060</v>
      </c>
      <c r="L2684" s="4">
        <v>46062</v>
      </c>
      <c r="M2684" s="1" t="s">
        <v>4556</v>
      </c>
      <c r="N2684" s="1" t="s">
        <v>5921</v>
      </c>
    </row>
    <row r="2685" spans="1:14" s="1" customFormat="1" x14ac:dyDescent="0.35">
      <c r="A2685" s="1" t="s">
        <v>4492</v>
      </c>
      <c r="B2685" s="1" t="s">
        <v>3356</v>
      </c>
      <c r="C2685" s="1" t="s">
        <v>3666</v>
      </c>
      <c r="D2685" s="1" t="s">
        <v>5920</v>
      </c>
      <c r="E2685" s="1" t="str">
        <f>"8440"</f>
        <v>8440</v>
      </c>
      <c r="F2685" s="1" t="str">
        <f>"013878509"</f>
        <v>013878509</v>
      </c>
      <c r="G2685" s="1" t="s">
        <v>3058</v>
      </c>
      <c r="H2685" s="1" t="s">
        <v>15</v>
      </c>
      <c r="I2685" s="1" t="str">
        <f>"32"</f>
        <v>32</v>
      </c>
      <c r="J2685" s="3">
        <v>2.7</v>
      </c>
      <c r="K2685" s="4">
        <v>46060</v>
      </c>
      <c r="L2685" s="4">
        <v>46093</v>
      </c>
      <c r="M2685" s="1" t="s">
        <v>5919</v>
      </c>
      <c r="N2685" s="1" t="s">
        <v>5918</v>
      </c>
    </row>
    <row r="2686" spans="1:14" s="1" customFormat="1" x14ac:dyDescent="0.35">
      <c r="A2686" s="1" t="s">
        <v>4492</v>
      </c>
      <c r="B2686" s="1" t="s">
        <v>3356</v>
      </c>
      <c r="C2686" s="1" t="s">
        <v>3666</v>
      </c>
      <c r="D2686" s="1" t="s">
        <v>5917</v>
      </c>
      <c r="E2686" s="1" t="str">
        <f>"8410"</f>
        <v>8410</v>
      </c>
      <c r="F2686" s="1" t="str">
        <f>"013088670"</f>
        <v>013088670</v>
      </c>
      <c r="G2686" s="1" t="s">
        <v>5916</v>
      </c>
      <c r="H2686" s="1" t="s">
        <v>15</v>
      </c>
      <c r="I2686" s="1" t="str">
        <f>"16"</f>
        <v>16</v>
      </c>
      <c r="J2686" s="3">
        <v>108.94</v>
      </c>
      <c r="K2686" s="4">
        <v>46060</v>
      </c>
      <c r="L2686" s="4">
        <v>46093</v>
      </c>
      <c r="M2686" s="1" t="s">
        <v>5915</v>
      </c>
      <c r="N2686" s="1" t="s">
        <v>5914</v>
      </c>
    </row>
    <row r="2687" spans="1:14" s="1" customFormat="1" x14ac:dyDescent="0.35">
      <c r="A2687" s="1" t="s">
        <v>4492</v>
      </c>
      <c r="B2687" s="1" t="s">
        <v>3356</v>
      </c>
      <c r="C2687" s="1" t="s">
        <v>3666</v>
      </c>
      <c r="D2687" s="1" t="s">
        <v>5913</v>
      </c>
      <c r="E2687" s="1" t="str">
        <f>"2330"</f>
        <v>2330</v>
      </c>
      <c r="F2687" s="1" t="s">
        <v>91</v>
      </c>
      <c r="G2687" s="1" t="s">
        <v>92</v>
      </c>
      <c r="H2687" s="1" t="s">
        <v>15</v>
      </c>
      <c r="I2687" s="1" t="str">
        <f>"1"</f>
        <v>1</v>
      </c>
      <c r="J2687" s="3" t="str">
        <f>"20000"</f>
        <v>20000</v>
      </c>
      <c r="K2687" s="4">
        <v>46082</v>
      </c>
      <c r="L2687" s="4">
        <v>46088</v>
      </c>
      <c r="M2687" s="1" t="s">
        <v>5912</v>
      </c>
      <c r="N2687" s="1" t="s">
        <v>5911</v>
      </c>
    </row>
    <row r="2688" spans="1:14" s="1" customFormat="1" x14ac:dyDescent="0.35">
      <c r="A2688" s="1" t="s">
        <v>4492</v>
      </c>
      <c r="B2688" s="1" t="s">
        <v>3356</v>
      </c>
      <c r="C2688" s="1" t="s">
        <v>3666</v>
      </c>
      <c r="D2688" s="1" t="s">
        <v>5910</v>
      </c>
      <c r="E2688" s="1" t="str">
        <f>"2310"</f>
        <v>2310</v>
      </c>
      <c r="F2688" s="1" t="s">
        <v>4332</v>
      </c>
      <c r="G2688" s="1" t="s">
        <v>4333</v>
      </c>
      <c r="H2688" s="1" t="s">
        <v>15</v>
      </c>
      <c r="I2688" s="1" t="str">
        <f>"1"</f>
        <v>1</v>
      </c>
      <c r="J2688" s="3" t="str">
        <f>"20000"</f>
        <v>20000</v>
      </c>
      <c r="K2688" s="4">
        <v>46082</v>
      </c>
      <c r="L2688" s="4">
        <v>46095</v>
      </c>
      <c r="M2688" s="1" t="s">
        <v>5909</v>
      </c>
      <c r="N2688" s="1" t="s">
        <v>5908</v>
      </c>
    </row>
    <row r="2689" spans="1:14" s="1" customFormat="1" x14ac:dyDescent="0.35">
      <c r="A2689" s="1" t="s">
        <v>4492</v>
      </c>
      <c r="B2689" s="1" t="s">
        <v>3356</v>
      </c>
      <c r="C2689" s="1" t="s">
        <v>3666</v>
      </c>
      <c r="D2689" s="1" t="s">
        <v>5907</v>
      </c>
      <c r="E2689" s="1" t="str">
        <f>"8465"</f>
        <v>8465</v>
      </c>
      <c r="F2689" s="1" t="str">
        <f>"009734807"</f>
        <v>009734807</v>
      </c>
      <c r="G2689" s="1" t="s">
        <v>3069</v>
      </c>
      <c r="H2689" s="1" t="s">
        <v>15</v>
      </c>
      <c r="I2689" s="1" t="str">
        <f>"16"</f>
        <v>16</v>
      </c>
      <c r="J2689" s="3">
        <v>91.05</v>
      </c>
      <c r="K2689" s="4">
        <v>46088</v>
      </c>
      <c r="L2689" s="4">
        <v>46103</v>
      </c>
      <c r="M2689" s="1" t="s">
        <v>5906</v>
      </c>
      <c r="N2689" s="1" t="s">
        <v>5905</v>
      </c>
    </row>
    <row r="2690" spans="1:14" s="1" customFormat="1" x14ac:dyDescent="0.35">
      <c r="A2690" s="1" t="s">
        <v>4492</v>
      </c>
      <c r="B2690" s="1" t="s">
        <v>3356</v>
      </c>
      <c r="C2690" s="1" t="s">
        <v>3666</v>
      </c>
      <c r="D2690" s="1" t="s">
        <v>5904</v>
      </c>
      <c r="E2690" s="1" t="str">
        <f>"2330"</f>
        <v>2330</v>
      </c>
      <c r="F2690" s="1" t="s">
        <v>104</v>
      </c>
      <c r="G2690" s="1" t="s">
        <v>105</v>
      </c>
      <c r="H2690" s="1" t="s">
        <v>15</v>
      </c>
      <c r="I2690" s="1" t="str">
        <f>"1"</f>
        <v>1</v>
      </c>
      <c r="J2690" s="3" t="str">
        <f>"14555"</f>
        <v>14555</v>
      </c>
      <c r="K2690" s="4">
        <v>46096</v>
      </c>
      <c r="L2690" s="4">
        <v>46103</v>
      </c>
      <c r="M2690" s="1" t="s">
        <v>5903</v>
      </c>
      <c r="N2690" s="1" t="s">
        <v>5902</v>
      </c>
    </row>
    <row r="2691" spans="1:14" s="1" customFormat="1" x14ac:dyDescent="0.35">
      <c r="A2691" s="1" t="s">
        <v>4492</v>
      </c>
      <c r="B2691" s="1" t="s">
        <v>3356</v>
      </c>
      <c r="C2691" s="1" t="s">
        <v>3666</v>
      </c>
      <c r="D2691" s="1" t="s">
        <v>5901</v>
      </c>
      <c r="E2691" s="1" t="str">
        <f>"2330"</f>
        <v>2330</v>
      </c>
      <c r="F2691" s="1" t="s">
        <v>104</v>
      </c>
      <c r="G2691" s="1" t="s">
        <v>105</v>
      </c>
      <c r="H2691" s="1" t="s">
        <v>15</v>
      </c>
      <c r="I2691" s="1" t="str">
        <f>"1"</f>
        <v>1</v>
      </c>
      <c r="J2691" s="3" t="str">
        <f>"6396"</f>
        <v>6396</v>
      </c>
      <c r="K2691" s="4">
        <v>46096</v>
      </c>
      <c r="L2691" s="4">
        <v>46098</v>
      </c>
      <c r="M2691" s="1" t="s">
        <v>4524</v>
      </c>
      <c r="N2691" s="1" t="s">
        <v>5900</v>
      </c>
    </row>
    <row r="2692" spans="1:14" s="1" customFormat="1" x14ac:dyDescent="0.35">
      <c r="A2692" s="1" t="s">
        <v>4492</v>
      </c>
      <c r="B2692" s="1" t="s">
        <v>3356</v>
      </c>
      <c r="C2692" s="1" t="s">
        <v>3666</v>
      </c>
      <c r="D2692" s="1" t="s">
        <v>5899</v>
      </c>
      <c r="E2692" s="1" t="str">
        <f>"2330"</f>
        <v>2330</v>
      </c>
      <c r="F2692" s="1" t="s">
        <v>104</v>
      </c>
      <c r="G2692" s="1" t="s">
        <v>105</v>
      </c>
      <c r="H2692" s="1" t="s">
        <v>15</v>
      </c>
      <c r="I2692" s="1" t="str">
        <f>"1"</f>
        <v>1</v>
      </c>
      <c r="J2692" s="3" t="str">
        <f>"5500"</f>
        <v>5500</v>
      </c>
      <c r="K2692" s="4">
        <v>46096</v>
      </c>
      <c r="L2692" s="4">
        <v>46103</v>
      </c>
      <c r="M2692" s="1" t="s">
        <v>5898</v>
      </c>
      <c r="N2692" s="1" t="s">
        <v>5897</v>
      </c>
    </row>
    <row r="2693" spans="1:14" s="1" customFormat="1" x14ac:dyDescent="0.35">
      <c r="A2693" s="1" t="s">
        <v>4492</v>
      </c>
      <c r="B2693" s="1" t="s">
        <v>3356</v>
      </c>
      <c r="C2693" s="1" t="s">
        <v>3666</v>
      </c>
      <c r="D2693" s="1" t="s">
        <v>5896</v>
      </c>
      <c r="E2693" s="1" t="str">
        <f>"2320"</f>
        <v>2320</v>
      </c>
      <c r="F2693" s="1" t="str">
        <f>"013614773"</f>
        <v>013614773</v>
      </c>
      <c r="G2693" s="1" t="s">
        <v>3645</v>
      </c>
      <c r="H2693" s="1" t="s">
        <v>15</v>
      </c>
      <c r="I2693" s="1" t="str">
        <f>"1"</f>
        <v>1</v>
      </c>
      <c r="J2693" s="3" t="str">
        <f>"58000"</f>
        <v>58000</v>
      </c>
      <c r="K2693" s="4">
        <v>46096</v>
      </c>
      <c r="L2693" s="4">
        <v>46109</v>
      </c>
      <c r="M2693" s="1" t="s">
        <v>5895</v>
      </c>
      <c r="N2693" s="1" t="s">
        <v>5894</v>
      </c>
    </row>
    <row r="2694" spans="1:14" s="1" customFormat="1" x14ac:dyDescent="0.35">
      <c r="A2694" s="1" t="s">
        <v>4492</v>
      </c>
      <c r="B2694" s="1" t="s">
        <v>3356</v>
      </c>
      <c r="C2694" s="1" t="s">
        <v>3666</v>
      </c>
      <c r="D2694" s="1" t="s">
        <v>5893</v>
      </c>
      <c r="E2694" s="1" t="str">
        <f>"2310"</f>
        <v>2310</v>
      </c>
      <c r="F2694" s="1" t="s">
        <v>4332</v>
      </c>
      <c r="G2694" s="1" t="s">
        <v>4333</v>
      </c>
      <c r="H2694" s="1" t="s">
        <v>15</v>
      </c>
      <c r="I2694" s="1" t="str">
        <f>"1"</f>
        <v>1</v>
      </c>
      <c r="J2694" s="3" t="str">
        <f>"81369"</f>
        <v>81369</v>
      </c>
      <c r="K2694" s="4">
        <v>46096</v>
      </c>
      <c r="L2694" s="4">
        <v>46109</v>
      </c>
      <c r="M2694" s="1" t="s">
        <v>5892</v>
      </c>
      <c r="N2694" s="1" t="s">
        <v>5891</v>
      </c>
    </row>
    <row r="2695" spans="1:14" s="1" customFormat="1" x14ac:dyDescent="0.35">
      <c r="A2695" s="1" t="s">
        <v>4492</v>
      </c>
      <c r="B2695" s="1" t="s">
        <v>3356</v>
      </c>
      <c r="C2695" s="1" t="s">
        <v>3666</v>
      </c>
      <c r="D2695" s="1" t="s">
        <v>5890</v>
      </c>
      <c r="E2695" s="1" t="str">
        <f>"7025"</f>
        <v>7025</v>
      </c>
      <c r="F2695" s="1" t="s">
        <v>5889</v>
      </c>
      <c r="G2695" s="1" t="s">
        <v>5888</v>
      </c>
      <c r="H2695" s="1" t="s">
        <v>15</v>
      </c>
      <c r="I2695" s="1" t="str">
        <f>"10"</f>
        <v>10</v>
      </c>
      <c r="J2695" s="3">
        <v>129.99</v>
      </c>
      <c r="K2695" s="4">
        <v>46109</v>
      </c>
      <c r="L2695" s="4">
        <v>46110</v>
      </c>
      <c r="M2695" s="1" t="s">
        <v>4524</v>
      </c>
      <c r="N2695" s="1" t="s">
        <v>5887</v>
      </c>
    </row>
    <row r="2696" spans="1:14" s="1" customFormat="1" x14ac:dyDescent="0.35">
      <c r="A2696" s="1" t="s">
        <v>4492</v>
      </c>
      <c r="B2696" s="1" t="s">
        <v>4247</v>
      </c>
      <c r="C2696" s="1" t="s">
        <v>4271</v>
      </c>
      <c r="D2696" s="1" t="s">
        <v>5886</v>
      </c>
      <c r="E2696" s="1" t="str">
        <f>"2320"</f>
        <v>2320</v>
      </c>
      <c r="F2696" s="1" t="s">
        <v>100</v>
      </c>
      <c r="G2696" s="1" t="s">
        <v>101</v>
      </c>
      <c r="H2696" s="1" t="s">
        <v>15</v>
      </c>
      <c r="I2696" s="1" t="str">
        <f>"1"</f>
        <v>1</v>
      </c>
      <c r="J2696" s="3" t="str">
        <f>"17574"</f>
        <v>17574</v>
      </c>
      <c r="K2696" s="4">
        <v>45929</v>
      </c>
      <c r="L2696" s="4">
        <v>46026</v>
      </c>
      <c r="M2696" s="1" t="s">
        <v>5885</v>
      </c>
      <c r="N2696" s="1" t="s">
        <v>5884</v>
      </c>
    </row>
    <row r="2697" spans="1:14" s="1" customFormat="1" x14ac:dyDescent="0.35">
      <c r="A2697" s="1" t="s">
        <v>4492</v>
      </c>
      <c r="B2697" s="1" t="s">
        <v>4247</v>
      </c>
      <c r="C2697" s="1" t="s">
        <v>4271</v>
      </c>
      <c r="D2697" s="1" t="s">
        <v>5883</v>
      </c>
      <c r="E2697" s="1" t="str">
        <f>"7110"</f>
        <v>7110</v>
      </c>
      <c r="F2697" s="1" t="s">
        <v>5882</v>
      </c>
      <c r="G2697" s="1" t="s">
        <v>5881</v>
      </c>
      <c r="H2697" s="1" t="s">
        <v>15</v>
      </c>
      <c r="I2697" s="1" t="str">
        <f>"1"</f>
        <v>1</v>
      </c>
      <c r="J2697" s="3" t="str">
        <f>"1500"</f>
        <v>1500</v>
      </c>
      <c r="K2697" s="4">
        <v>46070</v>
      </c>
      <c r="L2697" s="4">
        <v>46106</v>
      </c>
      <c r="M2697" s="1" t="s">
        <v>5880</v>
      </c>
      <c r="N2697" s="1" t="s">
        <v>5879</v>
      </c>
    </row>
    <row r="2698" spans="1:14" s="1" customFormat="1" x14ac:dyDescent="0.35">
      <c r="A2698" s="1" t="s">
        <v>4492</v>
      </c>
      <c r="B2698" s="1" t="s">
        <v>4247</v>
      </c>
      <c r="C2698" s="1" t="s">
        <v>4271</v>
      </c>
      <c r="D2698" s="1" t="s">
        <v>5878</v>
      </c>
      <c r="E2698" s="1" t="str">
        <f>"4310"</f>
        <v>4310</v>
      </c>
      <c r="F2698" s="1" t="s">
        <v>3332</v>
      </c>
      <c r="G2698" s="1" t="s">
        <v>3333</v>
      </c>
      <c r="H2698" s="1" t="s">
        <v>15</v>
      </c>
      <c r="I2698" s="1" t="str">
        <f>"1"</f>
        <v>1</v>
      </c>
      <c r="J2698" s="3" t="str">
        <f>"500"</f>
        <v>500</v>
      </c>
      <c r="K2698" s="4">
        <v>46070</v>
      </c>
      <c r="L2698" s="4">
        <v>46087</v>
      </c>
      <c r="M2698" s="1" t="s">
        <v>5877</v>
      </c>
      <c r="N2698" s="1" t="s">
        <v>5876</v>
      </c>
    </row>
    <row r="2699" spans="1:14" s="1" customFormat="1" x14ac:dyDescent="0.35">
      <c r="A2699" s="1" t="s">
        <v>4492</v>
      </c>
      <c r="B2699" s="1" t="s">
        <v>5804</v>
      </c>
      <c r="C2699" s="1" t="s">
        <v>5803</v>
      </c>
      <c r="D2699" s="1" t="s">
        <v>5875</v>
      </c>
      <c r="E2699" s="1" t="str">
        <f>"5855"</f>
        <v>5855</v>
      </c>
      <c r="F2699" s="1" t="str">
        <f>"015959294"</f>
        <v>015959294</v>
      </c>
      <c r="G2699" s="1" t="s">
        <v>1188</v>
      </c>
      <c r="H2699" s="1" t="s">
        <v>15</v>
      </c>
      <c r="I2699" s="1" t="str">
        <f>"1"</f>
        <v>1</v>
      </c>
      <c r="J2699" s="3" t="str">
        <f>"18055"</f>
        <v>18055</v>
      </c>
      <c r="K2699" s="4">
        <v>46044</v>
      </c>
      <c r="L2699" s="4">
        <v>46047</v>
      </c>
      <c r="M2699" s="1" t="s">
        <v>4524</v>
      </c>
      <c r="N2699" s="1" t="s">
        <v>5874</v>
      </c>
    </row>
    <row r="2700" spans="1:14" s="1" customFormat="1" x14ac:dyDescent="0.35">
      <c r="A2700" s="1" t="s">
        <v>4492</v>
      </c>
      <c r="B2700" s="1" t="s">
        <v>5804</v>
      </c>
      <c r="C2700" s="1" t="s">
        <v>5803</v>
      </c>
      <c r="D2700" s="1" t="s">
        <v>5873</v>
      </c>
      <c r="E2700" s="1" t="str">
        <f>"5855"</f>
        <v>5855</v>
      </c>
      <c r="F2700" s="1" t="str">
        <f>"015330555"</f>
        <v>015330555</v>
      </c>
      <c r="G2700" s="1" t="s">
        <v>476</v>
      </c>
      <c r="H2700" s="1" t="s">
        <v>15</v>
      </c>
      <c r="I2700" s="1" t="str">
        <f>"1"</f>
        <v>1</v>
      </c>
      <c r="J2700" s="3" t="str">
        <f>"1800"</f>
        <v>1800</v>
      </c>
      <c r="K2700" s="4">
        <v>46044</v>
      </c>
      <c r="L2700" s="4">
        <v>46071</v>
      </c>
      <c r="M2700" s="1" t="s">
        <v>5872</v>
      </c>
      <c r="N2700" s="1" t="s">
        <v>5871</v>
      </c>
    </row>
    <row r="2701" spans="1:14" s="1" customFormat="1" x14ac:dyDescent="0.35">
      <c r="A2701" s="1" t="s">
        <v>4492</v>
      </c>
      <c r="B2701" s="1" t="s">
        <v>5804</v>
      </c>
      <c r="C2701" s="1" t="s">
        <v>5803</v>
      </c>
      <c r="D2701" s="1" t="s">
        <v>5870</v>
      </c>
      <c r="E2701" s="1" t="str">
        <f>"5855"</f>
        <v>5855</v>
      </c>
      <c r="F2701" s="1" t="str">
        <f>"015345931"</f>
        <v>015345931</v>
      </c>
      <c r="G2701" s="1" t="s">
        <v>742</v>
      </c>
      <c r="H2701" s="1" t="s">
        <v>15</v>
      </c>
      <c r="I2701" s="1" t="str">
        <f>"13"</f>
        <v>13</v>
      </c>
      <c r="J2701" s="3" t="str">
        <f>"970"</f>
        <v>970</v>
      </c>
      <c r="K2701" s="4">
        <v>46044</v>
      </c>
      <c r="L2701" s="4">
        <v>46097</v>
      </c>
      <c r="M2701" s="1" t="s">
        <v>5869</v>
      </c>
      <c r="N2701" s="1" t="s">
        <v>5868</v>
      </c>
    </row>
    <row r="2702" spans="1:14" s="1" customFormat="1" x14ac:dyDescent="0.35">
      <c r="A2702" s="1" t="s">
        <v>4492</v>
      </c>
      <c r="B2702" s="1" t="s">
        <v>5804</v>
      </c>
      <c r="C2702" s="1" t="s">
        <v>5803</v>
      </c>
      <c r="D2702" s="1" t="s">
        <v>5867</v>
      </c>
      <c r="E2702" s="1" t="str">
        <f>"5855"</f>
        <v>5855</v>
      </c>
      <c r="F2702" s="1" t="str">
        <f>"015485687"</f>
        <v>015485687</v>
      </c>
      <c r="G2702" s="1" t="s">
        <v>798</v>
      </c>
      <c r="H2702" s="1" t="s">
        <v>15</v>
      </c>
      <c r="I2702" s="1" t="str">
        <f>"1"</f>
        <v>1</v>
      </c>
      <c r="J2702" s="3" t="str">
        <f>"10402"</f>
        <v>10402</v>
      </c>
      <c r="K2702" s="4">
        <v>46044</v>
      </c>
      <c r="L2702" s="4">
        <v>46055</v>
      </c>
      <c r="M2702" s="1" t="s">
        <v>5866</v>
      </c>
      <c r="N2702" s="1" t="s">
        <v>5865</v>
      </c>
    </row>
    <row r="2703" spans="1:14" s="1" customFormat="1" x14ac:dyDescent="0.35">
      <c r="A2703" s="1" t="s">
        <v>4492</v>
      </c>
      <c r="B2703" s="1" t="s">
        <v>5804</v>
      </c>
      <c r="C2703" s="1" t="s">
        <v>5803</v>
      </c>
      <c r="D2703" s="1" t="s">
        <v>5864</v>
      </c>
      <c r="E2703" s="1" t="str">
        <f>"5855"</f>
        <v>5855</v>
      </c>
      <c r="F2703" s="1" t="str">
        <f>"015485687"</f>
        <v>015485687</v>
      </c>
      <c r="G2703" s="1" t="s">
        <v>798</v>
      </c>
      <c r="H2703" s="1" t="s">
        <v>15</v>
      </c>
      <c r="I2703" s="1" t="str">
        <f>"46"</f>
        <v>46</v>
      </c>
      <c r="J2703" s="3" t="str">
        <f>"10402"</f>
        <v>10402</v>
      </c>
      <c r="K2703" s="4">
        <v>46044</v>
      </c>
      <c r="L2703" s="4">
        <v>46055</v>
      </c>
      <c r="M2703" s="1" t="s">
        <v>5863</v>
      </c>
      <c r="N2703" s="1" t="s">
        <v>5862</v>
      </c>
    </row>
    <row r="2704" spans="1:14" s="1" customFormat="1" x14ac:dyDescent="0.35">
      <c r="A2704" s="1" t="s">
        <v>4492</v>
      </c>
      <c r="B2704" s="1" t="s">
        <v>5804</v>
      </c>
      <c r="C2704" s="1" t="s">
        <v>5803</v>
      </c>
      <c r="D2704" s="1" t="s">
        <v>5861</v>
      </c>
      <c r="E2704" s="1" t="str">
        <f>"5855"</f>
        <v>5855</v>
      </c>
      <c r="F2704" s="1" t="s">
        <v>2510</v>
      </c>
      <c r="G2704" s="1" t="s">
        <v>2511</v>
      </c>
      <c r="H2704" s="1" t="s">
        <v>15</v>
      </c>
      <c r="I2704" s="1" t="str">
        <f>"3"</f>
        <v>3</v>
      </c>
      <c r="J2704" s="3" t="str">
        <f>"15794"</f>
        <v>15794</v>
      </c>
      <c r="K2704" s="4">
        <v>46047</v>
      </c>
      <c r="L2704" s="4">
        <v>46049</v>
      </c>
      <c r="M2704" s="1" t="s">
        <v>5860</v>
      </c>
      <c r="N2704" s="1" t="s">
        <v>5859</v>
      </c>
    </row>
    <row r="2705" spans="1:14" s="1" customFormat="1" x14ac:dyDescent="0.35">
      <c r="A2705" s="1" t="s">
        <v>4492</v>
      </c>
      <c r="B2705" s="1" t="s">
        <v>5804</v>
      </c>
      <c r="C2705" s="1" t="s">
        <v>5803</v>
      </c>
      <c r="D2705" s="1" t="s">
        <v>5858</v>
      </c>
      <c r="E2705" s="1" t="str">
        <f>"1240"</f>
        <v>1240</v>
      </c>
      <c r="F2705" s="1" t="s">
        <v>1364</v>
      </c>
      <c r="G2705" s="1" t="s">
        <v>1365</v>
      </c>
      <c r="H2705" s="1" t="s">
        <v>15</v>
      </c>
      <c r="I2705" s="1" t="str">
        <f>"9"</f>
        <v>9</v>
      </c>
      <c r="J2705" s="3" t="str">
        <f>"800"</f>
        <v>800</v>
      </c>
      <c r="K2705" s="4">
        <v>46047</v>
      </c>
      <c r="L2705" s="4">
        <v>46092</v>
      </c>
      <c r="M2705" s="1" t="s">
        <v>5857</v>
      </c>
      <c r="N2705" s="1" t="s">
        <v>5856</v>
      </c>
    </row>
    <row r="2706" spans="1:14" s="1" customFormat="1" x14ac:dyDescent="0.35">
      <c r="A2706" s="1" t="s">
        <v>4492</v>
      </c>
      <c r="B2706" s="1" t="s">
        <v>5804</v>
      </c>
      <c r="C2706" s="1" t="s">
        <v>5803</v>
      </c>
      <c r="D2706" s="1" t="s">
        <v>5855</v>
      </c>
      <c r="E2706" s="1" t="str">
        <f>"5855"</f>
        <v>5855</v>
      </c>
      <c r="F2706" s="1" t="s">
        <v>2510</v>
      </c>
      <c r="G2706" s="1" t="s">
        <v>2511</v>
      </c>
      <c r="H2706" s="1" t="s">
        <v>15</v>
      </c>
      <c r="I2706" s="1" t="str">
        <f>"3"</f>
        <v>3</v>
      </c>
      <c r="J2706" s="3" t="str">
        <f>"15794"</f>
        <v>15794</v>
      </c>
      <c r="K2706" s="4">
        <v>46047</v>
      </c>
      <c r="L2706" s="4">
        <v>46049</v>
      </c>
      <c r="M2706" s="1" t="s">
        <v>5854</v>
      </c>
      <c r="N2706" s="1" t="s">
        <v>5853</v>
      </c>
    </row>
    <row r="2707" spans="1:14" s="1" customFormat="1" x14ac:dyDescent="0.35">
      <c r="A2707" s="1" t="s">
        <v>4492</v>
      </c>
      <c r="B2707" s="1" t="s">
        <v>5804</v>
      </c>
      <c r="C2707" s="1" t="s">
        <v>5803</v>
      </c>
      <c r="D2707" s="1" t="s">
        <v>5852</v>
      </c>
      <c r="E2707" s="1" t="str">
        <f>"1240"</f>
        <v>1240</v>
      </c>
      <c r="F2707" s="1" t="s">
        <v>1364</v>
      </c>
      <c r="G2707" s="1" t="s">
        <v>1365</v>
      </c>
      <c r="H2707" s="1" t="s">
        <v>15</v>
      </c>
      <c r="I2707" s="1" t="str">
        <f>"9"</f>
        <v>9</v>
      </c>
      <c r="J2707" s="3" t="str">
        <f>"800"</f>
        <v>800</v>
      </c>
      <c r="K2707" s="4">
        <v>46047</v>
      </c>
      <c r="L2707" s="4">
        <v>46060</v>
      </c>
      <c r="M2707" s="1" t="s">
        <v>5851</v>
      </c>
      <c r="N2707" s="1" t="s">
        <v>5850</v>
      </c>
    </row>
    <row r="2708" spans="1:14" s="1" customFormat="1" x14ac:dyDescent="0.35">
      <c r="A2708" s="1" t="s">
        <v>4492</v>
      </c>
      <c r="B2708" s="1" t="s">
        <v>5804</v>
      </c>
      <c r="C2708" s="1" t="s">
        <v>5803</v>
      </c>
      <c r="D2708" s="1" t="s">
        <v>5849</v>
      </c>
      <c r="E2708" s="1" t="str">
        <f>"1240"</f>
        <v>1240</v>
      </c>
      <c r="F2708" s="1" t="s">
        <v>1364</v>
      </c>
      <c r="G2708" s="1" t="s">
        <v>1365</v>
      </c>
      <c r="H2708" s="1" t="s">
        <v>15</v>
      </c>
      <c r="I2708" s="1" t="str">
        <f>"1"</f>
        <v>1</v>
      </c>
      <c r="J2708" s="3" t="str">
        <f>"2000"</f>
        <v>2000</v>
      </c>
      <c r="K2708" s="4">
        <v>46064</v>
      </c>
      <c r="L2708" s="4">
        <v>46068</v>
      </c>
      <c r="M2708" s="1" t="s">
        <v>4524</v>
      </c>
      <c r="N2708" s="1" t="s">
        <v>5848</v>
      </c>
    </row>
    <row r="2709" spans="1:14" s="1" customFormat="1" x14ac:dyDescent="0.35">
      <c r="A2709" s="1" t="s">
        <v>4492</v>
      </c>
      <c r="B2709" s="1" t="s">
        <v>5804</v>
      </c>
      <c r="C2709" s="1" t="s">
        <v>5803</v>
      </c>
      <c r="D2709" s="1" t="s">
        <v>5847</v>
      </c>
      <c r="E2709" s="1" t="str">
        <f>"8465"</f>
        <v>8465</v>
      </c>
      <c r="F2709" s="1" t="str">
        <f>"015802779"</f>
        <v>015802779</v>
      </c>
      <c r="G2709" s="1" t="s">
        <v>5846</v>
      </c>
      <c r="H2709" s="1" t="s">
        <v>15</v>
      </c>
      <c r="I2709" s="1" t="str">
        <f>"1"</f>
        <v>1</v>
      </c>
      <c r="J2709" s="3">
        <v>102.52</v>
      </c>
      <c r="K2709" s="4">
        <v>46064</v>
      </c>
      <c r="L2709" s="4">
        <v>46074</v>
      </c>
      <c r="M2709" s="1" t="s">
        <v>4524</v>
      </c>
      <c r="N2709" s="1" t="s">
        <v>5845</v>
      </c>
    </row>
    <row r="2710" spans="1:14" s="1" customFormat="1" x14ac:dyDescent="0.35">
      <c r="A2710" s="1" t="s">
        <v>4492</v>
      </c>
      <c r="B2710" s="1" t="s">
        <v>5804</v>
      </c>
      <c r="C2710" s="1" t="s">
        <v>5803</v>
      </c>
      <c r="D2710" s="1" t="s">
        <v>5844</v>
      </c>
      <c r="E2710" s="1" t="str">
        <f>"1240"</f>
        <v>1240</v>
      </c>
      <c r="F2710" s="1" t="str">
        <f>"015766134"</f>
        <v>015766134</v>
      </c>
      <c r="G2710" s="1" t="s">
        <v>71</v>
      </c>
      <c r="H2710" s="1" t="s">
        <v>15</v>
      </c>
      <c r="I2710" s="1" t="str">
        <f>"10"</f>
        <v>10</v>
      </c>
      <c r="J2710" s="3" t="str">
        <f>"589"</f>
        <v>589</v>
      </c>
      <c r="K2710" s="4">
        <v>46064</v>
      </c>
      <c r="L2710" s="4">
        <v>46074</v>
      </c>
      <c r="M2710" s="1" t="s">
        <v>4524</v>
      </c>
      <c r="N2710" s="1" t="s">
        <v>5843</v>
      </c>
    </row>
    <row r="2711" spans="1:14" s="1" customFormat="1" x14ac:dyDescent="0.35">
      <c r="A2711" s="1" t="s">
        <v>4492</v>
      </c>
      <c r="B2711" s="1" t="s">
        <v>5804</v>
      </c>
      <c r="C2711" s="1" t="s">
        <v>5803</v>
      </c>
      <c r="D2711" s="1" t="s">
        <v>5842</v>
      </c>
      <c r="E2711" s="1" t="str">
        <f>"1080"</f>
        <v>1080</v>
      </c>
      <c r="F2711" s="1" t="str">
        <f>"014750696"</f>
        <v>014750696</v>
      </c>
      <c r="G2711" s="1" t="s">
        <v>2705</v>
      </c>
      <c r="H2711" s="1" t="s">
        <v>15</v>
      </c>
      <c r="I2711" s="1" t="str">
        <f>"16"</f>
        <v>16</v>
      </c>
      <c r="J2711" s="3" t="str">
        <f>"1204"</f>
        <v>1204</v>
      </c>
      <c r="K2711" s="4">
        <v>46064</v>
      </c>
      <c r="L2711" s="4">
        <v>46075</v>
      </c>
      <c r="M2711" s="1" t="s">
        <v>4524</v>
      </c>
      <c r="N2711" s="1" t="s">
        <v>5841</v>
      </c>
    </row>
    <row r="2712" spans="1:14" s="1" customFormat="1" x14ac:dyDescent="0.35">
      <c r="A2712" s="1" t="s">
        <v>4492</v>
      </c>
      <c r="B2712" s="1" t="s">
        <v>5804</v>
      </c>
      <c r="C2712" s="1" t="s">
        <v>5803</v>
      </c>
      <c r="D2712" s="1" t="s">
        <v>5840</v>
      </c>
      <c r="E2712" s="1" t="str">
        <f>"5855"</f>
        <v>5855</v>
      </c>
      <c r="F2712" s="1" t="str">
        <f>"014732904"</f>
        <v>014732904</v>
      </c>
      <c r="G2712" s="1" t="s">
        <v>5839</v>
      </c>
      <c r="H2712" s="1" t="s">
        <v>15</v>
      </c>
      <c r="I2712" s="1" t="str">
        <f>"23"</f>
        <v>23</v>
      </c>
      <c r="J2712" s="3" t="str">
        <f>"14802"</f>
        <v>14802</v>
      </c>
      <c r="K2712" s="4">
        <v>46069</v>
      </c>
      <c r="L2712" s="4">
        <v>46075</v>
      </c>
      <c r="M2712" s="1" t="s">
        <v>4524</v>
      </c>
      <c r="N2712" s="1" t="s">
        <v>5838</v>
      </c>
    </row>
    <row r="2713" spans="1:14" s="1" customFormat="1" x14ac:dyDescent="0.35">
      <c r="A2713" s="1" t="s">
        <v>4492</v>
      </c>
      <c r="B2713" s="1" t="s">
        <v>5804</v>
      </c>
      <c r="C2713" s="1" t="s">
        <v>5803</v>
      </c>
      <c r="D2713" s="1" t="s">
        <v>5837</v>
      </c>
      <c r="E2713" s="1" t="str">
        <f>"5855"</f>
        <v>5855</v>
      </c>
      <c r="F2713" s="1" t="str">
        <f>"015847217"</f>
        <v>015847217</v>
      </c>
      <c r="G2713" s="1" t="s">
        <v>614</v>
      </c>
      <c r="H2713" s="1" t="s">
        <v>15</v>
      </c>
      <c r="I2713" s="1" t="str">
        <f>"16"</f>
        <v>16</v>
      </c>
      <c r="J2713" s="3" t="str">
        <f>"34084"</f>
        <v>34084</v>
      </c>
      <c r="K2713" s="4">
        <v>46069</v>
      </c>
      <c r="L2713" s="4">
        <v>46072</v>
      </c>
      <c r="M2713" s="1" t="s">
        <v>4524</v>
      </c>
      <c r="N2713" s="1" t="s">
        <v>5836</v>
      </c>
    </row>
    <row r="2714" spans="1:14" s="1" customFormat="1" x14ac:dyDescent="0.35">
      <c r="A2714" s="1" t="s">
        <v>4492</v>
      </c>
      <c r="B2714" s="1" t="s">
        <v>5804</v>
      </c>
      <c r="C2714" s="1" t="s">
        <v>5803</v>
      </c>
      <c r="D2714" s="1" t="s">
        <v>5835</v>
      </c>
      <c r="E2714" s="1" t="str">
        <f>"5855"</f>
        <v>5855</v>
      </c>
      <c r="F2714" s="1" t="str">
        <f>"015485687"</f>
        <v>015485687</v>
      </c>
      <c r="G2714" s="1" t="s">
        <v>798</v>
      </c>
      <c r="H2714" s="1" t="s">
        <v>15</v>
      </c>
      <c r="I2714" s="1" t="str">
        <f>"10"</f>
        <v>10</v>
      </c>
      <c r="J2714" s="3" t="str">
        <f>"10402"</f>
        <v>10402</v>
      </c>
      <c r="K2714" s="4">
        <v>46069</v>
      </c>
      <c r="L2714" s="4">
        <v>46071</v>
      </c>
      <c r="N2714" s="1" t="s">
        <v>5834</v>
      </c>
    </row>
    <row r="2715" spans="1:14" s="1" customFormat="1" x14ac:dyDescent="0.35">
      <c r="A2715" s="1" t="s">
        <v>4492</v>
      </c>
      <c r="B2715" s="1" t="s">
        <v>5804</v>
      </c>
      <c r="C2715" s="1" t="s">
        <v>5803</v>
      </c>
      <c r="D2715" s="1" t="s">
        <v>5833</v>
      </c>
      <c r="E2715" s="1" t="str">
        <f>"5855"</f>
        <v>5855</v>
      </c>
      <c r="F2715" s="1" t="str">
        <f>"015847217"</f>
        <v>015847217</v>
      </c>
      <c r="G2715" s="1" t="s">
        <v>614</v>
      </c>
      <c r="H2715" s="1" t="s">
        <v>15</v>
      </c>
      <c r="I2715" s="1" t="str">
        <f>"16"</f>
        <v>16</v>
      </c>
      <c r="J2715" s="3" t="str">
        <f>"34084"</f>
        <v>34084</v>
      </c>
      <c r="K2715" s="4">
        <v>46070</v>
      </c>
      <c r="L2715" s="4">
        <v>46072</v>
      </c>
      <c r="M2715" s="1" t="s">
        <v>4524</v>
      </c>
      <c r="N2715" s="1" t="s">
        <v>5832</v>
      </c>
    </row>
    <row r="2716" spans="1:14" s="1" customFormat="1" x14ac:dyDescent="0.35">
      <c r="A2716" s="1" t="s">
        <v>4492</v>
      </c>
      <c r="B2716" s="1" t="s">
        <v>5804</v>
      </c>
      <c r="C2716" s="1" t="s">
        <v>5803</v>
      </c>
      <c r="D2716" s="1" t="s">
        <v>5831</v>
      </c>
      <c r="E2716" s="1" t="str">
        <f>"1990"</f>
        <v>1990</v>
      </c>
      <c r="F2716" s="1" t="s">
        <v>5830</v>
      </c>
      <c r="G2716" s="1" t="s">
        <v>5829</v>
      </c>
      <c r="H2716" s="1" t="s">
        <v>15</v>
      </c>
      <c r="I2716" s="1" t="str">
        <f>"1"</f>
        <v>1</v>
      </c>
      <c r="J2716" s="3" t="str">
        <f>"42624"</f>
        <v>42624</v>
      </c>
      <c r="K2716" s="4">
        <v>46070</v>
      </c>
      <c r="L2716" s="4">
        <v>46082</v>
      </c>
      <c r="M2716" s="1" t="s">
        <v>4524</v>
      </c>
      <c r="N2716" s="1" t="s">
        <v>5828</v>
      </c>
    </row>
    <row r="2717" spans="1:14" s="1" customFormat="1" x14ac:dyDescent="0.35">
      <c r="A2717" s="1" t="s">
        <v>4492</v>
      </c>
      <c r="B2717" s="1" t="s">
        <v>5804</v>
      </c>
      <c r="C2717" s="1" t="s">
        <v>5803</v>
      </c>
      <c r="D2717" s="1" t="s">
        <v>5827</v>
      </c>
      <c r="E2717" s="1" t="str">
        <f>"5855"</f>
        <v>5855</v>
      </c>
      <c r="F2717" s="1" t="str">
        <f>"015847217"</f>
        <v>015847217</v>
      </c>
      <c r="G2717" s="1" t="s">
        <v>614</v>
      </c>
      <c r="H2717" s="1" t="s">
        <v>15</v>
      </c>
      <c r="I2717" s="1" t="str">
        <f>"5"</f>
        <v>5</v>
      </c>
      <c r="J2717" s="3" t="str">
        <f>"34084"</f>
        <v>34084</v>
      </c>
      <c r="K2717" s="4">
        <v>46087</v>
      </c>
      <c r="L2717" s="4">
        <v>46087</v>
      </c>
      <c r="M2717" s="1" t="s">
        <v>4524</v>
      </c>
      <c r="N2717" s="1" t="s">
        <v>5826</v>
      </c>
    </row>
    <row r="2718" spans="1:14" s="1" customFormat="1" x14ac:dyDescent="0.35">
      <c r="A2718" s="1" t="s">
        <v>4492</v>
      </c>
      <c r="B2718" s="1" t="s">
        <v>5804</v>
      </c>
      <c r="C2718" s="1" t="s">
        <v>5803</v>
      </c>
      <c r="D2718" s="1" t="s">
        <v>5825</v>
      </c>
      <c r="E2718" s="1" t="str">
        <f>"1240"</f>
        <v>1240</v>
      </c>
      <c r="F2718" s="1" t="str">
        <f>"015515736"</f>
        <v>015515736</v>
      </c>
      <c r="G2718" s="1" t="s">
        <v>5824</v>
      </c>
      <c r="H2718" s="1" t="s">
        <v>15</v>
      </c>
      <c r="I2718" s="1" t="str">
        <f>"4"</f>
        <v>4</v>
      </c>
      <c r="J2718" s="3" t="str">
        <f>"687"</f>
        <v>687</v>
      </c>
      <c r="K2718" s="4">
        <v>46084</v>
      </c>
      <c r="L2718" s="4">
        <v>46087</v>
      </c>
      <c r="M2718" s="1" t="s">
        <v>5823</v>
      </c>
      <c r="N2718" s="1" t="s">
        <v>5822</v>
      </c>
    </row>
    <row r="2719" spans="1:14" s="1" customFormat="1" x14ac:dyDescent="0.35">
      <c r="A2719" s="1" t="s">
        <v>4492</v>
      </c>
      <c r="B2719" s="1" t="s">
        <v>5804</v>
      </c>
      <c r="C2719" s="1" t="s">
        <v>5803</v>
      </c>
      <c r="D2719" s="1" t="s">
        <v>5821</v>
      </c>
      <c r="E2719" s="1" t="str">
        <f>"5855"</f>
        <v>5855</v>
      </c>
      <c r="F2719" s="1" t="str">
        <f>"015345931"</f>
        <v>015345931</v>
      </c>
      <c r="G2719" s="1" t="s">
        <v>742</v>
      </c>
      <c r="H2719" s="1" t="s">
        <v>15</v>
      </c>
      <c r="I2719" s="1" t="str">
        <f>"18"</f>
        <v>18</v>
      </c>
      <c r="J2719" s="3" t="str">
        <f>"970"</f>
        <v>970</v>
      </c>
      <c r="K2719" s="4">
        <v>46084</v>
      </c>
      <c r="L2719" s="4">
        <v>46087</v>
      </c>
      <c r="M2719" s="1" t="s">
        <v>5820</v>
      </c>
      <c r="N2719" s="1" t="s">
        <v>5819</v>
      </c>
    </row>
    <row r="2720" spans="1:14" s="1" customFormat="1" x14ac:dyDescent="0.35">
      <c r="A2720" s="1" t="s">
        <v>4492</v>
      </c>
      <c r="B2720" s="1" t="s">
        <v>5804</v>
      </c>
      <c r="C2720" s="1" t="s">
        <v>5803</v>
      </c>
      <c r="D2720" s="1" t="s">
        <v>5818</v>
      </c>
      <c r="E2720" s="1" t="str">
        <f>"1240"</f>
        <v>1240</v>
      </c>
      <c r="F2720" s="1" t="s">
        <v>1364</v>
      </c>
      <c r="G2720" s="1" t="s">
        <v>1365</v>
      </c>
      <c r="H2720" s="1" t="s">
        <v>15</v>
      </c>
      <c r="I2720" s="1" t="str">
        <f>"2"</f>
        <v>2</v>
      </c>
      <c r="J2720" s="3" t="str">
        <f>"150"</f>
        <v>150</v>
      </c>
      <c r="K2720" s="4">
        <v>46084</v>
      </c>
      <c r="L2720" s="4">
        <v>46087</v>
      </c>
      <c r="M2720" s="1" t="s">
        <v>5817</v>
      </c>
      <c r="N2720" s="1" t="s">
        <v>5816</v>
      </c>
    </row>
    <row r="2721" spans="1:14" s="1" customFormat="1" x14ac:dyDescent="0.35">
      <c r="A2721" s="1" t="s">
        <v>4492</v>
      </c>
      <c r="B2721" s="1" t="s">
        <v>5804</v>
      </c>
      <c r="C2721" s="1" t="s">
        <v>5803</v>
      </c>
      <c r="D2721" s="1" t="s">
        <v>5815</v>
      </c>
      <c r="E2721" s="1" t="str">
        <f>"5855"</f>
        <v>5855</v>
      </c>
      <c r="F2721" s="1" t="str">
        <f>"016002918"</f>
        <v>016002918</v>
      </c>
      <c r="G2721" s="1" t="s">
        <v>5814</v>
      </c>
      <c r="H2721" s="1" t="s">
        <v>15</v>
      </c>
      <c r="I2721" s="1" t="str">
        <f>"1"</f>
        <v>1</v>
      </c>
      <c r="J2721" s="3" t="str">
        <f>"27000"</f>
        <v>27000</v>
      </c>
      <c r="K2721" s="4">
        <v>46084</v>
      </c>
      <c r="L2721" s="4">
        <v>46087</v>
      </c>
      <c r="M2721" s="1" t="s">
        <v>5813</v>
      </c>
      <c r="N2721" s="1" t="s">
        <v>5812</v>
      </c>
    </row>
    <row r="2722" spans="1:14" s="1" customFormat="1" x14ac:dyDescent="0.35">
      <c r="A2722" s="1" t="s">
        <v>4492</v>
      </c>
      <c r="B2722" s="1" t="s">
        <v>5804</v>
      </c>
      <c r="C2722" s="1" t="s">
        <v>5803</v>
      </c>
      <c r="D2722" s="1" t="s">
        <v>5811</v>
      </c>
      <c r="E2722" s="1" t="str">
        <f>"1240"</f>
        <v>1240</v>
      </c>
      <c r="F2722" s="1" t="s">
        <v>1364</v>
      </c>
      <c r="G2722" s="1" t="s">
        <v>1365</v>
      </c>
      <c r="H2722" s="1" t="s">
        <v>15</v>
      </c>
      <c r="I2722" s="1" t="str">
        <f>"4"</f>
        <v>4</v>
      </c>
      <c r="J2722" s="3" t="str">
        <f>"700"</f>
        <v>700</v>
      </c>
      <c r="K2722" s="4">
        <v>46094</v>
      </c>
      <c r="L2722" s="4">
        <v>46095</v>
      </c>
      <c r="M2722" s="1" t="s">
        <v>4524</v>
      </c>
      <c r="N2722" s="1" t="s">
        <v>5810</v>
      </c>
    </row>
    <row r="2723" spans="1:14" s="1" customFormat="1" x14ac:dyDescent="0.35">
      <c r="A2723" s="1" t="s">
        <v>4492</v>
      </c>
      <c r="B2723" s="1" t="s">
        <v>5804</v>
      </c>
      <c r="C2723" s="1" t="s">
        <v>5803</v>
      </c>
      <c r="D2723" s="1" t="s">
        <v>5809</v>
      </c>
      <c r="E2723" s="1" t="str">
        <f>"1940"</f>
        <v>1940</v>
      </c>
      <c r="F2723" s="1" t="s">
        <v>1898</v>
      </c>
      <c r="G2723" s="1" t="s">
        <v>1899</v>
      </c>
      <c r="H2723" s="1" t="s">
        <v>15</v>
      </c>
      <c r="I2723" s="1" t="str">
        <f>"1"</f>
        <v>1</v>
      </c>
      <c r="J2723" s="3" t="str">
        <f>"259000"</f>
        <v>259000</v>
      </c>
      <c r="K2723" s="4">
        <v>46096</v>
      </c>
      <c r="L2723" s="4">
        <v>46098</v>
      </c>
      <c r="M2723" s="1" t="s">
        <v>4524</v>
      </c>
      <c r="N2723" s="1" t="s">
        <v>5808</v>
      </c>
    </row>
    <row r="2724" spans="1:14" s="1" customFormat="1" x14ac:dyDescent="0.35">
      <c r="A2724" s="1" t="s">
        <v>4492</v>
      </c>
      <c r="B2724" s="1" t="s">
        <v>5804</v>
      </c>
      <c r="C2724" s="1" t="s">
        <v>5803</v>
      </c>
      <c r="D2724" s="1" t="s">
        <v>5807</v>
      </c>
      <c r="E2724" s="1" t="str">
        <f>"1240"</f>
        <v>1240</v>
      </c>
      <c r="F2724" s="1" t="str">
        <f>"015403690"</f>
        <v>015403690</v>
      </c>
      <c r="G2724" s="1" t="s">
        <v>71</v>
      </c>
      <c r="H2724" s="1" t="s">
        <v>15</v>
      </c>
      <c r="I2724" s="1" t="str">
        <f>"14"</f>
        <v>14</v>
      </c>
      <c r="J2724" s="3" t="str">
        <f>"340"</f>
        <v>340</v>
      </c>
      <c r="K2724" s="4">
        <v>46087</v>
      </c>
      <c r="L2724" s="4">
        <v>46087</v>
      </c>
      <c r="M2724" s="1" t="s">
        <v>4524</v>
      </c>
      <c r="N2724" s="1" t="s">
        <v>5805</v>
      </c>
    </row>
    <row r="2725" spans="1:14" s="1" customFormat="1" x14ac:dyDescent="0.35">
      <c r="A2725" s="1" t="s">
        <v>4492</v>
      </c>
      <c r="B2725" s="1" t="s">
        <v>5804</v>
      </c>
      <c r="C2725" s="1" t="s">
        <v>5803</v>
      </c>
      <c r="D2725" s="1" t="s">
        <v>5806</v>
      </c>
      <c r="E2725" s="1" t="str">
        <f>"1240"</f>
        <v>1240</v>
      </c>
      <c r="F2725" s="1" t="str">
        <f>"015403690"</f>
        <v>015403690</v>
      </c>
      <c r="G2725" s="1" t="s">
        <v>71</v>
      </c>
      <c r="H2725" s="1" t="s">
        <v>15</v>
      </c>
      <c r="I2725" s="1" t="str">
        <f>"14"</f>
        <v>14</v>
      </c>
      <c r="J2725" s="3" t="str">
        <f>"340"</f>
        <v>340</v>
      </c>
      <c r="K2725" s="4">
        <v>46087</v>
      </c>
      <c r="L2725" s="4">
        <v>46087</v>
      </c>
      <c r="M2725" s="1" t="s">
        <v>4524</v>
      </c>
      <c r="N2725" s="1" t="s">
        <v>5805</v>
      </c>
    </row>
    <row r="2726" spans="1:14" s="1" customFormat="1" x14ac:dyDescent="0.35">
      <c r="A2726" s="1" t="s">
        <v>4492</v>
      </c>
      <c r="B2726" s="1" t="s">
        <v>5804</v>
      </c>
      <c r="C2726" s="1" t="s">
        <v>5803</v>
      </c>
      <c r="D2726" s="1" t="s">
        <v>5802</v>
      </c>
      <c r="E2726" s="1" t="str">
        <f>"1240"</f>
        <v>1240</v>
      </c>
      <c r="F2726" s="1" t="str">
        <f>"015544488"</f>
        <v>015544488</v>
      </c>
      <c r="G2726" s="1" t="s">
        <v>5801</v>
      </c>
      <c r="H2726" s="1" t="s">
        <v>15</v>
      </c>
      <c r="I2726" s="1" t="str">
        <f>"4"</f>
        <v>4</v>
      </c>
      <c r="J2726" s="3" t="str">
        <f>"379"</f>
        <v>379</v>
      </c>
      <c r="K2726" s="4">
        <v>46096</v>
      </c>
      <c r="L2726" s="4">
        <v>46100</v>
      </c>
      <c r="M2726" s="1" t="s">
        <v>5800</v>
      </c>
      <c r="N2726" s="1" t="s">
        <v>5799</v>
      </c>
    </row>
    <row r="2727" spans="1:14" s="1" customFormat="1" x14ac:dyDescent="0.35">
      <c r="A2727" s="1" t="s">
        <v>4492</v>
      </c>
      <c r="B2727" s="1" t="s">
        <v>2641</v>
      </c>
      <c r="C2727" s="1" t="s">
        <v>3124</v>
      </c>
      <c r="D2727" s="1" t="s">
        <v>5798</v>
      </c>
      <c r="E2727" s="1" t="str">
        <f>"5965"</f>
        <v>5965</v>
      </c>
      <c r="F2727" s="1" t="str">
        <f>"016640961"</f>
        <v>016640961</v>
      </c>
      <c r="G2727" s="1" t="s">
        <v>5797</v>
      </c>
      <c r="H2727" s="1" t="s">
        <v>168</v>
      </c>
      <c r="I2727" s="1" t="str">
        <f>"100"</f>
        <v>100</v>
      </c>
      <c r="J2727" s="3">
        <v>555.16999999999996</v>
      </c>
      <c r="K2727" s="4">
        <v>45995</v>
      </c>
      <c r="L2727" s="4">
        <v>46031</v>
      </c>
      <c r="M2727" s="1" t="s">
        <v>5796</v>
      </c>
      <c r="N2727" s="1" t="s">
        <v>5795</v>
      </c>
    </row>
    <row r="2728" spans="1:14" s="1" customFormat="1" x14ac:dyDescent="0.35">
      <c r="A2728" s="1" t="s">
        <v>4492</v>
      </c>
      <c r="B2728" s="1" t="s">
        <v>2641</v>
      </c>
      <c r="C2728" s="1" t="s">
        <v>3124</v>
      </c>
      <c r="D2728" s="1" t="s">
        <v>5794</v>
      </c>
      <c r="E2728" s="1" t="str">
        <f>"8340"</f>
        <v>8340</v>
      </c>
      <c r="F2728" s="1" t="str">
        <f>"016288855"</f>
        <v>016288855</v>
      </c>
      <c r="G2728" s="1" t="s">
        <v>2955</v>
      </c>
      <c r="H2728" s="1" t="s">
        <v>15</v>
      </c>
      <c r="I2728" s="1" t="str">
        <f>"15"</f>
        <v>15</v>
      </c>
      <c r="J2728" s="3">
        <v>396.38</v>
      </c>
      <c r="K2728" s="4">
        <v>45984</v>
      </c>
      <c r="L2728" s="4">
        <v>46034</v>
      </c>
      <c r="M2728" s="1" t="s">
        <v>5793</v>
      </c>
      <c r="N2728" s="1" t="s">
        <v>5792</v>
      </c>
    </row>
    <row r="2729" spans="1:14" s="1" customFormat="1" x14ac:dyDescent="0.35">
      <c r="A2729" s="1" t="s">
        <v>4492</v>
      </c>
      <c r="B2729" s="1" t="s">
        <v>2641</v>
      </c>
      <c r="C2729" s="1" t="s">
        <v>3124</v>
      </c>
      <c r="D2729" s="1" t="s">
        <v>5791</v>
      </c>
      <c r="E2729" s="1" t="str">
        <f>"2310"</f>
        <v>2310</v>
      </c>
      <c r="F2729" s="1" t="str">
        <f>"016231545"</f>
        <v>016231545</v>
      </c>
      <c r="G2729" s="1" t="s">
        <v>232</v>
      </c>
      <c r="H2729" s="1" t="s">
        <v>15</v>
      </c>
      <c r="I2729" s="1" t="str">
        <f>"1"</f>
        <v>1</v>
      </c>
      <c r="J2729" s="3" t="str">
        <f>"32000"</f>
        <v>32000</v>
      </c>
      <c r="K2729" s="4">
        <v>45998</v>
      </c>
      <c r="L2729" s="4">
        <v>46044</v>
      </c>
      <c r="M2729" s="1" t="s">
        <v>5790</v>
      </c>
      <c r="N2729" s="1" t="s">
        <v>5789</v>
      </c>
    </row>
    <row r="2730" spans="1:14" s="1" customFormat="1" x14ac:dyDescent="0.35">
      <c r="A2730" s="1" t="s">
        <v>4492</v>
      </c>
      <c r="B2730" s="1" t="s">
        <v>2641</v>
      </c>
      <c r="C2730" s="1" t="s">
        <v>3124</v>
      </c>
      <c r="D2730" s="1" t="s">
        <v>5788</v>
      </c>
      <c r="E2730" s="1" t="str">
        <f>"8415"</f>
        <v>8415</v>
      </c>
      <c r="F2730" s="1" t="str">
        <f>"015802323"</f>
        <v>015802323</v>
      </c>
      <c r="G2730" s="1" t="s">
        <v>49</v>
      </c>
      <c r="H2730" s="1" t="s">
        <v>47</v>
      </c>
      <c r="I2730" s="1" t="str">
        <f>"1"</f>
        <v>1</v>
      </c>
      <c r="J2730" s="3">
        <v>123.49</v>
      </c>
      <c r="K2730" s="4">
        <v>46005</v>
      </c>
      <c r="L2730" s="4">
        <v>46066</v>
      </c>
      <c r="M2730" s="1" t="s">
        <v>5787</v>
      </c>
      <c r="N2730" s="1" t="s">
        <v>3182</v>
      </c>
    </row>
    <row r="2731" spans="1:14" s="1" customFormat="1" x14ac:dyDescent="0.35">
      <c r="A2731" s="1" t="s">
        <v>4492</v>
      </c>
      <c r="B2731" s="1" t="s">
        <v>2641</v>
      </c>
      <c r="C2731" s="1" t="s">
        <v>3124</v>
      </c>
      <c r="D2731" s="1" t="s">
        <v>5786</v>
      </c>
      <c r="E2731" s="1" t="str">
        <f>"8415"</f>
        <v>8415</v>
      </c>
      <c r="F2731" s="1" t="str">
        <f>"015802788"</f>
        <v>015802788</v>
      </c>
      <c r="G2731" s="1" t="s">
        <v>18</v>
      </c>
      <c r="H2731" s="1" t="s">
        <v>15</v>
      </c>
      <c r="I2731" s="1" t="str">
        <f>"2"</f>
        <v>2</v>
      </c>
      <c r="J2731" s="3">
        <v>146.81</v>
      </c>
      <c r="K2731" s="4">
        <v>46005</v>
      </c>
      <c r="L2731" s="4">
        <v>46066</v>
      </c>
      <c r="M2731" s="1" t="s">
        <v>5785</v>
      </c>
      <c r="N2731" s="1" t="s">
        <v>3182</v>
      </c>
    </row>
    <row r="2732" spans="1:14" s="1" customFormat="1" x14ac:dyDescent="0.35">
      <c r="A2732" s="1" t="s">
        <v>4492</v>
      </c>
      <c r="B2732" s="1" t="s">
        <v>2641</v>
      </c>
      <c r="C2732" s="1" t="s">
        <v>3124</v>
      </c>
      <c r="D2732" s="1" t="s">
        <v>5784</v>
      </c>
      <c r="E2732" s="1" t="str">
        <f>"8415"</f>
        <v>8415</v>
      </c>
      <c r="F2732" s="1" t="str">
        <f>"015802782"</f>
        <v>015802782</v>
      </c>
      <c r="G2732" s="1" t="s">
        <v>18</v>
      </c>
      <c r="H2732" s="1" t="s">
        <v>15</v>
      </c>
      <c r="I2732" s="1" t="str">
        <f>"2"</f>
        <v>2</v>
      </c>
      <c r="J2732" s="3">
        <v>146.81</v>
      </c>
      <c r="K2732" s="4">
        <v>46005</v>
      </c>
      <c r="L2732" s="4">
        <v>46066</v>
      </c>
      <c r="M2732" s="1" t="s">
        <v>5783</v>
      </c>
      <c r="N2732" s="1" t="s">
        <v>3182</v>
      </c>
    </row>
    <row r="2733" spans="1:14" s="1" customFormat="1" x14ac:dyDescent="0.35">
      <c r="A2733" s="1" t="s">
        <v>4492</v>
      </c>
      <c r="B2733" s="1" t="s">
        <v>2641</v>
      </c>
      <c r="C2733" s="1" t="s">
        <v>3124</v>
      </c>
      <c r="D2733" s="1" t="s">
        <v>5782</v>
      </c>
      <c r="E2733" s="1" t="str">
        <f>"8415"</f>
        <v>8415</v>
      </c>
      <c r="F2733" s="1" t="str">
        <f>"015802497"</f>
        <v>015802497</v>
      </c>
      <c r="G2733" s="1" t="s">
        <v>22</v>
      </c>
      <c r="H2733" s="1" t="s">
        <v>47</v>
      </c>
      <c r="I2733" s="1" t="str">
        <f>"1"</f>
        <v>1</v>
      </c>
      <c r="J2733" s="3">
        <v>120.1</v>
      </c>
      <c r="K2733" s="4">
        <v>46005</v>
      </c>
      <c r="L2733" s="4">
        <v>46066</v>
      </c>
      <c r="M2733" s="1" t="s">
        <v>5781</v>
      </c>
      <c r="N2733" s="1" t="s">
        <v>3182</v>
      </c>
    </row>
    <row r="2734" spans="1:14" s="1" customFormat="1" x14ac:dyDescent="0.35">
      <c r="A2734" s="1" t="s">
        <v>4492</v>
      </c>
      <c r="B2734" s="1" t="s">
        <v>2641</v>
      </c>
      <c r="C2734" s="1" t="s">
        <v>3124</v>
      </c>
      <c r="D2734" s="1" t="s">
        <v>5780</v>
      </c>
      <c r="E2734" s="1" t="str">
        <f>"8415"</f>
        <v>8415</v>
      </c>
      <c r="F2734" s="1" t="str">
        <f>"015802502"</f>
        <v>015802502</v>
      </c>
      <c r="G2734" s="1" t="s">
        <v>22</v>
      </c>
      <c r="H2734" s="1" t="s">
        <v>47</v>
      </c>
      <c r="I2734" s="1" t="str">
        <f>"1"</f>
        <v>1</v>
      </c>
      <c r="J2734" s="3">
        <v>120.1</v>
      </c>
      <c r="K2734" s="4">
        <v>46005</v>
      </c>
      <c r="L2734" s="4">
        <v>46066</v>
      </c>
      <c r="M2734" s="1" t="s">
        <v>5779</v>
      </c>
      <c r="N2734" s="1" t="s">
        <v>3182</v>
      </c>
    </row>
    <row r="2735" spans="1:14" s="1" customFormat="1" x14ac:dyDescent="0.35">
      <c r="A2735" s="1" t="s">
        <v>4492</v>
      </c>
      <c r="B2735" s="1" t="s">
        <v>2641</v>
      </c>
      <c r="C2735" s="1" t="s">
        <v>3124</v>
      </c>
      <c r="D2735" s="1" t="s">
        <v>5778</v>
      </c>
      <c r="E2735" s="1" t="str">
        <f>"2340"</f>
        <v>2340</v>
      </c>
      <c r="F2735" s="1" t="str">
        <f>"016495368"</f>
        <v>016495368</v>
      </c>
      <c r="G2735" s="1" t="s">
        <v>1926</v>
      </c>
      <c r="H2735" s="1" t="s">
        <v>15</v>
      </c>
      <c r="I2735" s="1" t="str">
        <f>"1"</f>
        <v>1</v>
      </c>
      <c r="J2735" s="3" t="str">
        <f>"34900"</f>
        <v>34900</v>
      </c>
      <c r="K2735" s="4">
        <v>46018</v>
      </c>
      <c r="L2735" s="4">
        <v>46028</v>
      </c>
      <c r="M2735" s="1" t="s">
        <v>5777</v>
      </c>
      <c r="N2735" s="1" t="s">
        <v>5776</v>
      </c>
    </row>
    <row r="2736" spans="1:14" s="1" customFormat="1" x14ac:dyDescent="0.35">
      <c r="A2736" s="1" t="s">
        <v>4492</v>
      </c>
      <c r="B2736" s="1" t="s">
        <v>2641</v>
      </c>
      <c r="C2736" s="1" t="s">
        <v>3124</v>
      </c>
      <c r="D2736" s="1" t="s">
        <v>5775</v>
      </c>
      <c r="E2736" s="1" t="str">
        <f>"2340"</f>
        <v>2340</v>
      </c>
      <c r="F2736" s="1" t="str">
        <f>"016495368"</f>
        <v>016495368</v>
      </c>
      <c r="G2736" s="1" t="s">
        <v>1926</v>
      </c>
      <c r="H2736" s="1" t="s">
        <v>15</v>
      </c>
      <c r="I2736" s="1" t="str">
        <f>"1"</f>
        <v>1</v>
      </c>
      <c r="J2736" s="3" t="str">
        <f>"34900"</f>
        <v>34900</v>
      </c>
      <c r="K2736" s="4">
        <v>46019</v>
      </c>
      <c r="L2736" s="4">
        <v>46028</v>
      </c>
      <c r="M2736" s="1" t="s">
        <v>5774</v>
      </c>
      <c r="N2736" s="1" t="s">
        <v>5773</v>
      </c>
    </row>
    <row r="2737" spans="1:14" s="1" customFormat="1" x14ac:dyDescent="0.35">
      <c r="A2737" s="1" t="s">
        <v>4492</v>
      </c>
      <c r="B2737" s="1" t="s">
        <v>2641</v>
      </c>
      <c r="C2737" s="1" t="s">
        <v>3124</v>
      </c>
      <c r="D2737" s="1" t="s">
        <v>5772</v>
      </c>
      <c r="E2737" s="1" t="str">
        <f>"2340"</f>
        <v>2340</v>
      </c>
      <c r="F2737" s="1" t="s">
        <v>1071</v>
      </c>
      <c r="G2737" s="1" t="s">
        <v>1072</v>
      </c>
      <c r="H2737" s="1" t="s">
        <v>15</v>
      </c>
      <c r="I2737" s="1" t="str">
        <f>"1"</f>
        <v>1</v>
      </c>
      <c r="J2737" s="3" t="str">
        <f>"19891"</f>
        <v>19891</v>
      </c>
      <c r="K2737" s="4">
        <v>46019</v>
      </c>
      <c r="L2737" s="4">
        <v>46032</v>
      </c>
      <c r="M2737" s="1" t="s">
        <v>5771</v>
      </c>
      <c r="N2737" s="1" t="s">
        <v>5770</v>
      </c>
    </row>
    <row r="2738" spans="1:14" s="1" customFormat="1" x14ac:dyDescent="0.35">
      <c r="A2738" s="1" t="s">
        <v>4492</v>
      </c>
      <c r="B2738" s="1" t="s">
        <v>2641</v>
      </c>
      <c r="C2738" s="1" t="s">
        <v>3124</v>
      </c>
      <c r="D2738" s="1" t="s">
        <v>5769</v>
      </c>
      <c r="E2738" s="1" t="str">
        <f>"8415"</f>
        <v>8415</v>
      </c>
      <c r="F2738" s="1" t="str">
        <f>"015802782"</f>
        <v>015802782</v>
      </c>
      <c r="G2738" s="1" t="s">
        <v>18</v>
      </c>
      <c r="H2738" s="1" t="s">
        <v>15</v>
      </c>
      <c r="I2738" s="1" t="str">
        <f>"5"</f>
        <v>5</v>
      </c>
      <c r="J2738" s="3">
        <v>146.81</v>
      </c>
      <c r="K2738" s="4">
        <v>46040</v>
      </c>
      <c r="L2738" s="4">
        <v>46064</v>
      </c>
      <c r="M2738" s="1" t="s">
        <v>5768</v>
      </c>
      <c r="N2738" s="1" t="s">
        <v>3168</v>
      </c>
    </row>
    <row r="2739" spans="1:14" s="1" customFormat="1" x14ac:dyDescent="0.35">
      <c r="A2739" s="1" t="s">
        <v>4492</v>
      </c>
      <c r="B2739" s="1" t="s">
        <v>2641</v>
      </c>
      <c r="C2739" s="1" t="s">
        <v>3124</v>
      </c>
      <c r="D2739" s="1" t="s">
        <v>5767</v>
      </c>
      <c r="E2739" s="1" t="str">
        <f>"7910"</f>
        <v>7910</v>
      </c>
      <c r="F2739" s="1" t="s">
        <v>5766</v>
      </c>
      <c r="G2739" s="1" t="s">
        <v>5765</v>
      </c>
      <c r="H2739" s="1" t="s">
        <v>15</v>
      </c>
      <c r="I2739" s="1" t="str">
        <f>"2"</f>
        <v>2</v>
      </c>
      <c r="J2739" s="3" t="str">
        <f>"300"</f>
        <v>300</v>
      </c>
      <c r="K2739" s="4">
        <v>46040</v>
      </c>
      <c r="L2739" s="4">
        <v>46046</v>
      </c>
      <c r="M2739" s="1" t="s">
        <v>5764</v>
      </c>
      <c r="N2739" s="1" t="s">
        <v>5763</v>
      </c>
    </row>
    <row r="2740" spans="1:14" s="1" customFormat="1" x14ac:dyDescent="0.35">
      <c r="A2740" s="1" t="s">
        <v>4492</v>
      </c>
      <c r="B2740" s="1" t="s">
        <v>2641</v>
      </c>
      <c r="C2740" s="1" t="s">
        <v>3124</v>
      </c>
      <c r="D2740" s="1" t="s">
        <v>5762</v>
      </c>
      <c r="E2740" s="1" t="str">
        <f>"8465"</f>
        <v>8465</v>
      </c>
      <c r="F2740" s="1" t="str">
        <f>"016797709"</f>
        <v>016797709</v>
      </c>
      <c r="G2740" s="1" t="s">
        <v>52</v>
      </c>
      <c r="H2740" s="1" t="s">
        <v>15</v>
      </c>
      <c r="I2740" s="1" t="str">
        <f>"3"</f>
        <v>3</v>
      </c>
      <c r="J2740" s="3">
        <v>376.56</v>
      </c>
      <c r="K2740" s="4">
        <v>46040</v>
      </c>
      <c r="L2740" s="4">
        <v>46049</v>
      </c>
      <c r="M2740" s="1" t="s">
        <v>5761</v>
      </c>
      <c r="N2740" s="1" t="s">
        <v>3262</v>
      </c>
    </row>
    <row r="2741" spans="1:14" s="1" customFormat="1" x14ac:dyDescent="0.35">
      <c r="A2741" s="1" t="s">
        <v>4492</v>
      </c>
      <c r="B2741" s="1" t="s">
        <v>2641</v>
      </c>
      <c r="C2741" s="1" t="s">
        <v>3124</v>
      </c>
      <c r="D2741" s="1" t="s">
        <v>5760</v>
      </c>
      <c r="E2741" s="1" t="str">
        <f>"3695"</f>
        <v>3695</v>
      </c>
      <c r="F2741" s="1" t="str">
        <f>"011916754"</f>
        <v>011916754</v>
      </c>
      <c r="G2741" s="1" t="s">
        <v>2474</v>
      </c>
      <c r="H2741" s="1" t="s">
        <v>15</v>
      </c>
      <c r="I2741" s="1" t="str">
        <f>"1"</f>
        <v>1</v>
      </c>
      <c r="J2741" s="3">
        <v>1267.43</v>
      </c>
      <c r="K2741" s="4">
        <v>46040</v>
      </c>
      <c r="L2741" s="4">
        <v>46055</v>
      </c>
      <c r="M2741" s="1" t="s">
        <v>5759</v>
      </c>
      <c r="N2741" s="1" t="s">
        <v>5758</v>
      </c>
    </row>
    <row r="2742" spans="1:14" s="1" customFormat="1" x14ac:dyDescent="0.35">
      <c r="A2742" s="1" t="s">
        <v>4492</v>
      </c>
      <c r="B2742" s="1" t="s">
        <v>2641</v>
      </c>
      <c r="C2742" s="1" t="s">
        <v>3124</v>
      </c>
      <c r="D2742" s="1" t="s">
        <v>5757</v>
      </c>
      <c r="E2742" s="1" t="str">
        <f>"2310"</f>
        <v>2310</v>
      </c>
      <c r="F2742" s="1" t="str">
        <f>"016544105"</f>
        <v>016544105</v>
      </c>
      <c r="G2742" s="1" t="s">
        <v>232</v>
      </c>
      <c r="H2742" s="1" t="s">
        <v>15</v>
      </c>
      <c r="I2742" s="1" t="str">
        <f>"1"</f>
        <v>1</v>
      </c>
      <c r="J2742" s="3">
        <v>31905.14</v>
      </c>
      <c r="K2742" s="4">
        <v>46040</v>
      </c>
      <c r="L2742" s="4">
        <v>46050</v>
      </c>
      <c r="M2742" s="1" t="s">
        <v>5756</v>
      </c>
      <c r="N2742" s="1" t="s">
        <v>5753</v>
      </c>
    </row>
    <row r="2743" spans="1:14" s="1" customFormat="1" x14ac:dyDescent="0.35">
      <c r="A2743" s="1" t="s">
        <v>4492</v>
      </c>
      <c r="B2743" s="1" t="s">
        <v>2641</v>
      </c>
      <c r="C2743" s="1" t="s">
        <v>3124</v>
      </c>
      <c r="D2743" s="1" t="s">
        <v>5755</v>
      </c>
      <c r="E2743" s="1" t="str">
        <f>"2310"</f>
        <v>2310</v>
      </c>
      <c r="F2743" s="1" t="str">
        <f>"016544105"</f>
        <v>016544105</v>
      </c>
      <c r="G2743" s="1" t="s">
        <v>232</v>
      </c>
      <c r="H2743" s="1" t="s">
        <v>15</v>
      </c>
      <c r="I2743" s="1" t="str">
        <f>"1"</f>
        <v>1</v>
      </c>
      <c r="J2743" s="3">
        <v>31905.14</v>
      </c>
      <c r="K2743" s="4">
        <v>46040</v>
      </c>
      <c r="L2743" s="4">
        <v>46050</v>
      </c>
      <c r="M2743" s="1" t="s">
        <v>5754</v>
      </c>
      <c r="N2743" s="1" t="s">
        <v>5753</v>
      </c>
    </row>
    <row r="2744" spans="1:14" s="1" customFormat="1" x14ac:dyDescent="0.35">
      <c r="A2744" s="1" t="s">
        <v>4492</v>
      </c>
      <c r="B2744" s="1" t="s">
        <v>2641</v>
      </c>
      <c r="C2744" s="1" t="s">
        <v>3124</v>
      </c>
      <c r="D2744" s="1" t="s">
        <v>5752</v>
      </c>
      <c r="E2744" s="1" t="str">
        <f>"5180"</f>
        <v>5180</v>
      </c>
      <c r="F2744" s="1" t="str">
        <f>"016282375"</f>
        <v>016282375</v>
      </c>
      <c r="G2744" s="1" t="s">
        <v>322</v>
      </c>
      <c r="H2744" s="1" t="s">
        <v>168</v>
      </c>
      <c r="I2744" s="1" t="str">
        <f>"12"</f>
        <v>12</v>
      </c>
      <c r="J2744" s="3" t="str">
        <f>"3655"</f>
        <v>3655</v>
      </c>
      <c r="K2744" s="4">
        <v>46040</v>
      </c>
      <c r="L2744" s="4">
        <v>46092</v>
      </c>
      <c r="M2744" s="1" t="s">
        <v>5751</v>
      </c>
      <c r="N2744" s="1" t="s">
        <v>5750</v>
      </c>
    </row>
    <row r="2745" spans="1:14" s="1" customFormat="1" x14ac:dyDescent="0.35">
      <c r="A2745" s="1" t="s">
        <v>4492</v>
      </c>
      <c r="B2745" s="1" t="s">
        <v>2641</v>
      </c>
      <c r="C2745" s="1" t="s">
        <v>3124</v>
      </c>
      <c r="D2745" s="1" t="s">
        <v>5749</v>
      </c>
      <c r="E2745" s="1" t="str">
        <f>"4240"</f>
        <v>4240</v>
      </c>
      <c r="F2745" s="1" t="str">
        <f>"015786103"</f>
        <v>015786103</v>
      </c>
      <c r="G2745" s="1" t="s">
        <v>2425</v>
      </c>
      <c r="H2745" s="1" t="s">
        <v>15</v>
      </c>
      <c r="I2745" s="1" t="str">
        <f>"160"</f>
        <v>160</v>
      </c>
      <c r="J2745" s="3">
        <v>150.07</v>
      </c>
      <c r="K2745" s="4">
        <v>46047</v>
      </c>
      <c r="L2745" s="4">
        <v>46097</v>
      </c>
      <c r="M2745" s="1" t="s">
        <v>5748</v>
      </c>
      <c r="N2745" s="1" t="s">
        <v>3132</v>
      </c>
    </row>
    <row r="2746" spans="1:14" s="1" customFormat="1" x14ac:dyDescent="0.35">
      <c r="A2746" s="1" t="s">
        <v>4492</v>
      </c>
      <c r="B2746" s="1" t="s">
        <v>2641</v>
      </c>
      <c r="C2746" s="1" t="s">
        <v>3124</v>
      </c>
      <c r="D2746" s="1" t="s">
        <v>5747</v>
      </c>
      <c r="E2746" s="1" t="str">
        <f>"4240"</f>
        <v>4240</v>
      </c>
      <c r="F2746" s="1" t="str">
        <f>"015257554"</f>
        <v>015257554</v>
      </c>
      <c r="G2746" s="1" t="s">
        <v>5746</v>
      </c>
      <c r="H2746" s="1" t="s">
        <v>15</v>
      </c>
      <c r="I2746" s="1" t="str">
        <f>"75"</f>
        <v>75</v>
      </c>
      <c r="J2746" s="3">
        <v>33.770000000000003</v>
      </c>
      <c r="K2746" s="4">
        <v>46047</v>
      </c>
      <c r="L2746" s="4">
        <v>46092</v>
      </c>
      <c r="M2746" s="1" t="s">
        <v>5745</v>
      </c>
      <c r="N2746" s="1" t="s">
        <v>3132</v>
      </c>
    </row>
    <row r="2747" spans="1:14" s="1" customFormat="1" x14ac:dyDescent="0.35">
      <c r="A2747" s="1" t="s">
        <v>4492</v>
      </c>
      <c r="B2747" s="1" t="s">
        <v>2641</v>
      </c>
      <c r="C2747" s="1" t="s">
        <v>3124</v>
      </c>
      <c r="D2747" s="1" t="s">
        <v>5744</v>
      </c>
      <c r="E2747" s="1" t="str">
        <f>"8415"</f>
        <v>8415</v>
      </c>
      <c r="F2747" s="1" t="str">
        <f>"015388482"</f>
        <v>015388482</v>
      </c>
      <c r="G2747" s="1" t="s">
        <v>2194</v>
      </c>
      <c r="H2747" s="1" t="s">
        <v>15</v>
      </c>
      <c r="I2747" s="1" t="str">
        <f>"11"</f>
        <v>11</v>
      </c>
      <c r="J2747" s="3" t="str">
        <f>"15"</f>
        <v>15</v>
      </c>
      <c r="K2747" s="4">
        <v>46046</v>
      </c>
      <c r="L2747" s="4">
        <v>46055</v>
      </c>
      <c r="M2747" s="1" t="s">
        <v>5743</v>
      </c>
      <c r="N2747" s="1" t="s">
        <v>3143</v>
      </c>
    </row>
    <row r="2748" spans="1:14" s="1" customFormat="1" x14ac:dyDescent="0.35">
      <c r="A2748" s="1" t="s">
        <v>4492</v>
      </c>
      <c r="B2748" s="1" t="s">
        <v>2641</v>
      </c>
      <c r="C2748" s="1" t="s">
        <v>3124</v>
      </c>
      <c r="D2748" s="1" t="s">
        <v>5742</v>
      </c>
      <c r="E2748" s="1" t="str">
        <f>"8415"</f>
        <v>8415</v>
      </c>
      <c r="F2748" s="1" t="str">
        <f>"015388486"</f>
        <v>015388486</v>
      </c>
      <c r="G2748" s="1" t="s">
        <v>2194</v>
      </c>
      <c r="H2748" s="1" t="s">
        <v>15</v>
      </c>
      <c r="I2748" s="1" t="str">
        <f>"10"</f>
        <v>10</v>
      </c>
      <c r="J2748" s="3" t="str">
        <f>"15"</f>
        <v>15</v>
      </c>
      <c r="K2748" s="4">
        <v>46046</v>
      </c>
      <c r="L2748" s="4">
        <v>46055</v>
      </c>
      <c r="M2748" s="1" t="s">
        <v>5741</v>
      </c>
      <c r="N2748" s="1" t="s">
        <v>3143</v>
      </c>
    </row>
    <row r="2749" spans="1:14" s="1" customFormat="1" x14ac:dyDescent="0.35">
      <c r="A2749" s="1" t="s">
        <v>4492</v>
      </c>
      <c r="B2749" s="1" t="s">
        <v>2641</v>
      </c>
      <c r="C2749" s="1" t="s">
        <v>3124</v>
      </c>
      <c r="D2749" s="1" t="s">
        <v>5740</v>
      </c>
      <c r="E2749" s="1" t="str">
        <f>"8415"</f>
        <v>8415</v>
      </c>
      <c r="F2749" s="1" t="str">
        <f>"015388727"</f>
        <v>015388727</v>
      </c>
      <c r="G2749" s="1" t="s">
        <v>2194</v>
      </c>
      <c r="H2749" s="1" t="s">
        <v>47</v>
      </c>
      <c r="I2749" s="1" t="str">
        <f>"31"</f>
        <v>31</v>
      </c>
      <c r="J2749" s="3">
        <v>27.16</v>
      </c>
      <c r="K2749" s="4">
        <v>46046</v>
      </c>
      <c r="L2749" s="4">
        <v>46051</v>
      </c>
      <c r="M2749" s="1" t="s">
        <v>5739</v>
      </c>
      <c r="N2749" s="1" t="s">
        <v>3143</v>
      </c>
    </row>
    <row r="2750" spans="1:14" s="1" customFormat="1" x14ac:dyDescent="0.35">
      <c r="A2750" s="1" t="s">
        <v>4492</v>
      </c>
      <c r="B2750" s="1" t="s">
        <v>2641</v>
      </c>
      <c r="C2750" s="1" t="s">
        <v>3124</v>
      </c>
      <c r="D2750" s="1" t="s">
        <v>5738</v>
      </c>
      <c r="E2750" s="1" t="str">
        <f>"8415"</f>
        <v>8415</v>
      </c>
      <c r="F2750" s="1" t="str">
        <f>"015388730"</f>
        <v>015388730</v>
      </c>
      <c r="G2750" s="1" t="s">
        <v>2194</v>
      </c>
      <c r="H2750" s="1" t="s">
        <v>15</v>
      </c>
      <c r="I2750" s="1" t="str">
        <f>"57"</f>
        <v>57</v>
      </c>
      <c r="J2750" s="3">
        <v>27.16</v>
      </c>
      <c r="K2750" s="4">
        <v>46046</v>
      </c>
      <c r="L2750" s="4">
        <v>46051</v>
      </c>
      <c r="M2750" s="1" t="s">
        <v>5737</v>
      </c>
      <c r="N2750" s="1" t="s">
        <v>3143</v>
      </c>
    </row>
    <row r="2751" spans="1:14" s="1" customFormat="1" x14ac:dyDescent="0.35">
      <c r="A2751" s="1" t="s">
        <v>4492</v>
      </c>
      <c r="B2751" s="1" t="s">
        <v>2641</v>
      </c>
      <c r="C2751" s="1" t="s">
        <v>3124</v>
      </c>
      <c r="D2751" s="1" t="s">
        <v>5736</v>
      </c>
      <c r="E2751" s="1" t="str">
        <f>"8415"</f>
        <v>8415</v>
      </c>
      <c r="F2751" s="1" t="str">
        <f>"015460369"</f>
        <v>015460369</v>
      </c>
      <c r="G2751" s="1" t="s">
        <v>822</v>
      </c>
      <c r="H2751" s="1" t="s">
        <v>15</v>
      </c>
      <c r="I2751" s="1" t="str">
        <f>"20"</f>
        <v>20</v>
      </c>
      <c r="J2751" s="3">
        <v>39.33</v>
      </c>
      <c r="K2751" s="4">
        <v>46046</v>
      </c>
      <c r="L2751" s="4">
        <v>46058</v>
      </c>
      <c r="M2751" s="1" t="s">
        <v>5735</v>
      </c>
      <c r="N2751" s="1" t="s">
        <v>3143</v>
      </c>
    </row>
    <row r="2752" spans="1:14" s="1" customFormat="1" x14ac:dyDescent="0.35">
      <c r="A2752" s="1" t="s">
        <v>4492</v>
      </c>
      <c r="B2752" s="1" t="s">
        <v>2641</v>
      </c>
      <c r="C2752" s="1" t="s">
        <v>3124</v>
      </c>
      <c r="D2752" s="1" t="s">
        <v>5734</v>
      </c>
      <c r="E2752" s="1" t="str">
        <f>"8415"</f>
        <v>8415</v>
      </c>
      <c r="F2752" s="1" t="str">
        <f>"015387791"</f>
        <v>015387791</v>
      </c>
      <c r="G2752" s="1" t="s">
        <v>3008</v>
      </c>
      <c r="H2752" s="1" t="s">
        <v>15</v>
      </c>
      <c r="I2752" s="1" t="str">
        <f>"3"</f>
        <v>3</v>
      </c>
      <c r="J2752" s="3">
        <v>21.96</v>
      </c>
      <c r="K2752" s="4">
        <v>46046</v>
      </c>
      <c r="L2752" s="4">
        <v>46060</v>
      </c>
      <c r="M2752" s="1" t="s">
        <v>5733</v>
      </c>
      <c r="N2752" s="1" t="s">
        <v>3143</v>
      </c>
    </row>
    <row r="2753" spans="1:14" s="1" customFormat="1" x14ac:dyDescent="0.35">
      <c r="A2753" s="1" t="s">
        <v>4492</v>
      </c>
      <c r="B2753" s="1" t="s">
        <v>2641</v>
      </c>
      <c r="C2753" s="1" t="s">
        <v>3124</v>
      </c>
      <c r="D2753" s="1" t="s">
        <v>5732</v>
      </c>
      <c r="E2753" s="1" t="str">
        <f>"8415"</f>
        <v>8415</v>
      </c>
      <c r="F2753" s="1" t="str">
        <f>"015387795"</f>
        <v>015387795</v>
      </c>
      <c r="G2753" s="1" t="s">
        <v>3008</v>
      </c>
      <c r="H2753" s="1" t="s">
        <v>15</v>
      </c>
      <c r="I2753" s="1" t="str">
        <f>"3"</f>
        <v>3</v>
      </c>
      <c r="J2753" s="3">
        <v>21.96</v>
      </c>
      <c r="K2753" s="4">
        <v>46046</v>
      </c>
      <c r="L2753" s="4">
        <v>46060</v>
      </c>
      <c r="M2753" s="1" t="s">
        <v>5731</v>
      </c>
      <c r="N2753" s="1" t="s">
        <v>3143</v>
      </c>
    </row>
    <row r="2754" spans="1:14" s="1" customFormat="1" x14ac:dyDescent="0.35">
      <c r="A2754" s="1" t="s">
        <v>4492</v>
      </c>
      <c r="B2754" s="1" t="s">
        <v>2641</v>
      </c>
      <c r="C2754" s="1" t="s">
        <v>3124</v>
      </c>
      <c r="D2754" s="1" t="s">
        <v>5730</v>
      </c>
      <c r="E2754" s="1" t="str">
        <f>"8415"</f>
        <v>8415</v>
      </c>
      <c r="F2754" s="1" t="str">
        <f>"015388745"</f>
        <v>015388745</v>
      </c>
      <c r="G2754" s="1" t="s">
        <v>2194</v>
      </c>
      <c r="H2754" s="1" t="s">
        <v>15</v>
      </c>
      <c r="I2754" s="1" t="str">
        <f>"80"</f>
        <v>80</v>
      </c>
      <c r="J2754" s="3">
        <v>27.16</v>
      </c>
      <c r="K2754" s="4">
        <v>46046</v>
      </c>
      <c r="L2754" s="4">
        <v>46055</v>
      </c>
      <c r="M2754" s="1" t="s">
        <v>5729</v>
      </c>
      <c r="N2754" s="1" t="s">
        <v>3143</v>
      </c>
    </row>
    <row r="2755" spans="1:14" s="1" customFormat="1" x14ac:dyDescent="0.35">
      <c r="A2755" s="1" t="s">
        <v>4492</v>
      </c>
      <c r="B2755" s="1" t="s">
        <v>2641</v>
      </c>
      <c r="C2755" s="1" t="s">
        <v>3124</v>
      </c>
      <c r="D2755" s="1" t="s">
        <v>5728</v>
      </c>
      <c r="E2755" s="1" t="str">
        <f>"8415"</f>
        <v>8415</v>
      </c>
      <c r="F2755" s="1" t="str">
        <f>"015388750"</f>
        <v>015388750</v>
      </c>
      <c r="G2755" s="1" t="s">
        <v>2194</v>
      </c>
      <c r="H2755" s="1" t="s">
        <v>15</v>
      </c>
      <c r="I2755" s="1" t="str">
        <f>"30"</f>
        <v>30</v>
      </c>
      <c r="J2755" s="3">
        <v>27.16</v>
      </c>
      <c r="K2755" s="4">
        <v>46046</v>
      </c>
      <c r="L2755" s="4">
        <v>46051</v>
      </c>
      <c r="M2755" s="1" t="s">
        <v>5727</v>
      </c>
      <c r="N2755" s="1" t="s">
        <v>5726</v>
      </c>
    </row>
    <row r="2756" spans="1:14" s="1" customFormat="1" x14ac:dyDescent="0.35">
      <c r="A2756" s="1" t="s">
        <v>4492</v>
      </c>
      <c r="B2756" s="1" t="s">
        <v>2641</v>
      </c>
      <c r="C2756" s="1" t="s">
        <v>3124</v>
      </c>
      <c r="D2756" s="1" t="s">
        <v>5725</v>
      </c>
      <c r="E2756" s="1" t="str">
        <f>"6130"</f>
        <v>6130</v>
      </c>
      <c r="F2756" s="1" t="str">
        <f>"013989847"</f>
        <v>013989847</v>
      </c>
      <c r="G2756" s="1" t="s">
        <v>5724</v>
      </c>
      <c r="H2756" s="1" t="s">
        <v>15</v>
      </c>
      <c r="I2756" s="1" t="str">
        <f>"1"</f>
        <v>1</v>
      </c>
      <c r="J2756" s="3" t="str">
        <f>"1888"</f>
        <v>1888</v>
      </c>
      <c r="K2756" s="4">
        <v>46046</v>
      </c>
      <c r="L2756" s="4">
        <v>46066</v>
      </c>
      <c r="M2756" s="1" t="s">
        <v>5723</v>
      </c>
      <c r="N2756" s="1" t="s">
        <v>5722</v>
      </c>
    </row>
    <row r="2757" spans="1:14" s="1" customFormat="1" x14ac:dyDescent="0.35">
      <c r="A2757" s="1" t="s">
        <v>4492</v>
      </c>
      <c r="B2757" s="1" t="s">
        <v>2641</v>
      </c>
      <c r="C2757" s="1" t="s">
        <v>3124</v>
      </c>
      <c r="D2757" s="1" t="s">
        <v>5721</v>
      </c>
      <c r="E2757" s="1" t="str">
        <f>"6230"</f>
        <v>6230</v>
      </c>
      <c r="F2757" s="1" t="str">
        <f>"015978436"</f>
        <v>015978436</v>
      </c>
      <c r="G2757" s="1" t="s">
        <v>4634</v>
      </c>
      <c r="H2757" s="1" t="s">
        <v>15</v>
      </c>
      <c r="I2757" s="1" t="str">
        <f>"3"</f>
        <v>3</v>
      </c>
      <c r="J2757" s="3">
        <v>1422.63</v>
      </c>
      <c r="K2757" s="4">
        <v>46046</v>
      </c>
      <c r="L2757" s="4">
        <v>46050</v>
      </c>
      <c r="M2757" s="1" t="s">
        <v>4524</v>
      </c>
      <c r="N2757" s="1" t="s">
        <v>5720</v>
      </c>
    </row>
    <row r="2758" spans="1:14" s="1" customFormat="1" x14ac:dyDescent="0.35">
      <c r="A2758" s="1" t="s">
        <v>4492</v>
      </c>
      <c r="B2758" s="1" t="s">
        <v>2641</v>
      </c>
      <c r="C2758" s="1" t="s">
        <v>3124</v>
      </c>
      <c r="D2758" s="1" t="s">
        <v>5719</v>
      </c>
      <c r="E2758" s="1" t="str">
        <f>"4940"</f>
        <v>4940</v>
      </c>
      <c r="F2758" s="1" t="str">
        <f>"016421455"</f>
        <v>016421455</v>
      </c>
      <c r="G2758" s="1" t="s">
        <v>2297</v>
      </c>
      <c r="H2758" s="1" t="s">
        <v>15</v>
      </c>
      <c r="I2758" s="1" t="str">
        <f>"1"</f>
        <v>1</v>
      </c>
      <c r="J2758" s="3">
        <v>9085.26</v>
      </c>
      <c r="K2758" s="4">
        <v>46046</v>
      </c>
      <c r="L2758" s="4">
        <v>46060</v>
      </c>
      <c r="M2758" s="1" t="s">
        <v>5718</v>
      </c>
      <c r="N2758" s="1" t="s">
        <v>5717</v>
      </c>
    </row>
    <row r="2759" spans="1:14" s="1" customFormat="1" x14ac:dyDescent="0.35">
      <c r="A2759" s="1" t="s">
        <v>4492</v>
      </c>
      <c r="B2759" s="1" t="s">
        <v>2641</v>
      </c>
      <c r="C2759" s="1" t="s">
        <v>3124</v>
      </c>
      <c r="D2759" s="1" t="s">
        <v>5716</v>
      </c>
      <c r="E2759" s="1" t="str">
        <f>"4240"</f>
        <v>4240</v>
      </c>
      <c r="F2759" s="1" t="str">
        <f>"015641174"</f>
        <v>015641174</v>
      </c>
      <c r="G2759" s="1" t="s">
        <v>2422</v>
      </c>
      <c r="H2759" s="1" t="s">
        <v>15</v>
      </c>
      <c r="I2759" s="1" t="str">
        <f>"160"</f>
        <v>160</v>
      </c>
      <c r="J2759" s="3">
        <v>26.59</v>
      </c>
      <c r="K2759" s="4">
        <v>46047</v>
      </c>
      <c r="L2759" s="4">
        <v>46107</v>
      </c>
      <c r="M2759" s="1" t="s">
        <v>5715</v>
      </c>
      <c r="N2759" s="1" t="s">
        <v>3132</v>
      </c>
    </row>
    <row r="2760" spans="1:14" s="1" customFormat="1" x14ac:dyDescent="0.35">
      <c r="A2760" s="1" t="s">
        <v>4492</v>
      </c>
      <c r="B2760" s="1" t="s">
        <v>2641</v>
      </c>
      <c r="C2760" s="1" t="s">
        <v>3124</v>
      </c>
      <c r="D2760" s="1" t="s">
        <v>5714</v>
      </c>
      <c r="E2760" s="1" t="str">
        <f>"4240"</f>
        <v>4240</v>
      </c>
      <c r="F2760" s="1" t="str">
        <f>"015641173"</f>
        <v>015641173</v>
      </c>
      <c r="G2760" s="1" t="s">
        <v>2448</v>
      </c>
      <c r="H2760" s="1" t="s">
        <v>15</v>
      </c>
      <c r="I2760" s="1" t="str">
        <f>"160"</f>
        <v>160</v>
      </c>
      <c r="J2760" s="3">
        <v>26.59</v>
      </c>
      <c r="K2760" s="4">
        <v>46047</v>
      </c>
      <c r="L2760" s="4">
        <v>46107</v>
      </c>
      <c r="M2760" s="1" t="s">
        <v>5713</v>
      </c>
      <c r="N2760" s="1" t="s">
        <v>3132</v>
      </c>
    </row>
    <row r="2761" spans="1:14" s="1" customFormat="1" x14ac:dyDescent="0.35">
      <c r="A2761" s="1" t="s">
        <v>4492</v>
      </c>
      <c r="B2761" s="1" t="s">
        <v>2641</v>
      </c>
      <c r="C2761" s="1" t="s">
        <v>3124</v>
      </c>
      <c r="D2761" s="1" t="s">
        <v>5712</v>
      </c>
      <c r="E2761" s="1" t="str">
        <f>"4240"</f>
        <v>4240</v>
      </c>
      <c r="F2761" s="1" t="str">
        <f>"015257555"</f>
        <v>015257555</v>
      </c>
      <c r="G2761" s="1" t="s">
        <v>1370</v>
      </c>
      <c r="H2761" s="1" t="s">
        <v>15</v>
      </c>
      <c r="I2761" s="1" t="str">
        <f>"130"</f>
        <v>130</v>
      </c>
      <c r="J2761" s="3">
        <v>33.770000000000003</v>
      </c>
      <c r="K2761" s="4">
        <v>46047</v>
      </c>
      <c r="L2761" s="4">
        <v>46092</v>
      </c>
      <c r="M2761" s="1" t="s">
        <v>5711</v>
      </c>
      <c r="N2761" s="1" t="s">
        <v>3132</v>
      </c>
    </row>
    <row r="2762" spans="1:14" s="1" customFormat="1" x14ac:dyDescent="0.35">
      <c r="A2762" s="1" t="s">
        <v>4492</v>
      </c>
      <c r="B2762" s="1" t="s">
        <v>2641</v>
      </c>
      <c r="C2762" s="1" t="s">
        <v>3124</v>
      </c>
      <c r="D2762" s="1" t="s">
        <v>5710</v>
      </c>
      <c r="E2762" s="1" t="str">
        <f>"8415"</f>
        <v>8415</v>
      </c>
      <c r="F2762" s="1" t="str">
        <f>"015801341"</f>
        <v>015801341</v>
      </c>
      <c r="G2762" s="1" t="s">
        <v>761</v>
      </c>
      <c r="H2762" s="1" t="s">
        <v>15</v>
      </c>
      <c r="I2762" s="1" t="str">
        <f>"18"</f>
        <v>18</v>
      </c>
      <c r="J2762" s="3">
        <v>80.94</v>
      </c>
      <c r="K2762" s="4">
        <v>46048</v>
      </c>
      <c r="L2762" s="4">
        <v>46050</v>
      </c>
      <c r="M2762" s="1" t="s">
        <v>4524</v>
      </c>
      <c r="N2762" s="1" t="s">
        <v>3161</v>
      </c>
    </row>
    <row r="2763" spans="1:14" s="1" customFormat="1" x14ac:dyDescent="0.35">
      <c r="A2763" s="1" t="s">
        <v>4492</v>
      </c>
      <c r="B2763" s="1" t="s">
        <v>2641</v>
      </c>
      <c r="C2763" s="1" t="s">
        <v>3124</v>
      </c>
      <c r="D2763" s="1" t="s">
        <v>5709</v>
      </c>
      <c r="E2763" s="1" t="str">
        <f>"8415"</f>
        <v>8415</v>
      </c>
      <c r="F2763" s="1" t="str">
        <f>"015801337"</f>
        <v>015801337</v>
      </c>
      <c r="G2763" s="1" t="s">
        <v>761</v>
      </c>
      <c r="H2763" s="1" t="s">
        <v>15</v>
      </c>
      <c r="I2763" s="1" t="str">
        <f>"3"</f>
        <v>3</v>
      </c>
      <c r="J2763" s="3">
        <v>80.94</v>
      </c>
      <c r="K2763" s="4">
        <v>46048</v>
      </c>
      <c r="L2763" s="4">
        <v>46060</v>
      </c>
      <c r="M2763" s="1" t="s">
        <v>5708</v>
      </c>
      <c r="N2763" s="1" t="s">
        <v>3161</v>
      </c>
    </row>
    <row r="2764" spans="1:14" s="1" customFormat="1" x14ac:dyDescent="0.35">
      <c r="A2764" s="1" t="s">
        <v>4492</v>
      </c>
      <c r="B2764" s="1" t="s">
        <v>2641</v>
      </c>
      <c r="C2764" s="1" t="s">
        <v>3124</v>
      </c>
      <c r="D2764" s="1" t="s">
        <v>5707</v>
      </c>
      <c r="E2764" s="1" t="str">
        <f>"5965"</f>
        <v>5965</v>
      </c>
      <c r="F2764" s="1" t="str">
        <f>"016228860"</f>
        <v>016228860</v>
      </c>
      <c r="G2764" s="1" t="s">
        <v>209</v>
      </c>
      <c r="H2764" s="1" t="s">
        <v>15</v>
      </c>
      <c r="I2764" s="1" t="str">
        <f>"11"</f>
        <v>11</v>
      </c>
      <c r="J2764" s="3">
        <v>1425.89</v>
      </c>
      <c r="K2764" s="4">
        <v>46050</v>
      </c>
      <c r="L2764" s="4">
        <v>46055</v>
      </c>
      <c r="M2764" s="1" t="s">
        <v>5706</v>
      </c>
      <c r="N2764" s="1" t="s">
        <v>5705</v>
      </c>
    </row>
    <row r="2765" spans="1:14" s="1" customFormat="1" x14ac:dyDescent="0.35">
      <c r="A2765" s="1" t="s">
        <v>4492</v>
      </c>
      <c r="B2765" s="1" t="s">
        <v>2641</v>
      </c>
      <c r="C2765" s="1" t="s">
        <v>3124</v>
      </c>
      <c r="D2765" s="1" t="s">
        <v>5704</v>
      </c>
      <c r="E2765" s="1" t="str">
        <f>"8465"</f>
        <v>8465</v>
      </c>
      <c r="F2765" s="1" t="str">
        <f>"014168517"</f>
        <v>014168517</v>
      </c>
      <c r="G2765" s="1" t="s">
        <v>5703</v>
      </c>
      <c r="H2765" s="1" t="s">
        <v>15</v>
      </c>
      <c r="I2765" s="1" t="str">
        <f>"25"</f>
        <v>25</v>
      </c>
      <c r="J2765" s="3">
        <v>152.18</v>
      </c>
      <c r="K2765" s="4">
        <v>46050</v>
      </c>
      <c r="L2765" s="4">
        <v>46057</v>
      </c>
      <c r="M2765" s="1" t="s">
        <v>5702</v>
      </c>
      <c r="N2765" s="1" t="s">
        <v>5701</v>
      </c>
    </row>
    <row r="2766" spans="1:14" s="1" customFormat="1" x14ac:dyDescent="0.35">
      <c r="A2766" s="1" t="s">
        <v>4492</v>
      </c>
      <c r="B2766" s="1" t="s">
        <v>2641</v>
      </c>
      <c r="C2766" s="1" t="s">
        <v>3124</v>
      </c>
      <c r="D2766" s="1" t="s">
        <v>5700</v>
      </c>
      <c r="E2766" s="1" t="str">
        <f>"2340"</f>
        <v>2340</v>
      </c>
      <c r="F2766" s="1" t="s">
        <v>1071</v>
      </c>
      <c r="G2766" s="1" t="s">
        <v>1072</v>
      </c>
      <c r="H2766" s="1" t="s">
        <v>15</v>
      </c>
      <c r="I2766" s="1" t="str">
        <f>"1"</f>
        <v>1</v>
      </c>
      <c r="J2766" s="3" t="str">
        <f>"6000"</f>
        <v>6000</v>
      </c>
      <c r="K2766" s="4">
        <v>46056</v>
      </c>
      <c r="L2766" s="4">
        <v>46067</v>
      </c>
      <c r="M2766" s="1" t="s">
        <v>5699</v>
      </c>
      <c r="N2766" s="1" t="s">
        <v>5696</v>
      </c>
    </row>
    <row r="2767" spans="1:14" s="1" customFormat="1" x14ac:dyDescent="0.35">
      <c r="A2767" s="1" t="s">
        <v>4492</v>
      </c>
      <c r="B2767" s="1" t="s">
        <v>2641</v>
      </c>
      <c r="C2767" s="1" t="s">
        <v>3124</v>
      </c>
      <c r="D2767" s="1" t="s">
        <v>5698</v>
      </c>
      <c r="E2767" s="1" t="str">
        <f>"2340"</f>
        <v>2340</v>
      </c>
      <c r="F2767" s="1" t="s">
        <v>2713</v>
      </c>
      <c r="G2767" s="1" t="s">
        <v>2714</v>
      </c>
      <c r="H2767" s="1" t="s">
        <v>15</v>
      </c>
      <c r="I2767" s="1" t="str">
        <f>"1"</f>
        <v>1</v>
      </c>
      <c r="J2767" s="3" t="str">
        <f>"3000"</f>
        <v>3000</v>
      </c>
      <c r="K2767" s="4">
        <v>46056</v>
      </c>
      <c r="L2767" s="4">
        <v>46067</v>
      </c>
      <c r="M2767" s="1" t="s">
        <v>5697</v>
      </c>
      <c r="N2767" s="1" t="s">
        <v>5696</v>
      </c>
    </row>
    <row r="2768" spans="1:14" s="1" customFormat="1" x14ac:dyDescent="0.35">
      <c r="A2768" s="1" t="s">
        <v>4492</v>
      </c>
      <c r="B2768" s="1" t="s">
        <v>2641</v>
      </c>
      <c r="C2768" s="1" t="s">
        <v>3124</v>
      </c>
      <c r="D2768" s="1" t="s">
        <v>5695</v>
      </c>
      <c r="E2768" s="1" t="str">
        <f>"8415"</f>
        <v>8415</v>
      </c>
      <c r="F2768" s="1" t="str">
        <f>"015801341"</f>
        <v>015801341</v>
      </c>
      <c r="G2768" s="1" t="s">
        <v>761</v>
      </c>
      <c r="H2768" s="1" t="s">
        <v>15</v>
      </c>
      <c r="I2768" s="1" t="str">
        <f>"4"</f>
        <v>4</v>
      </c>
      <c r="J2768" s="3">
        <v>80.94</v>
      </c>
      <c r="K2768" s="4">
        <v>46068</v>
      </c>
      <c r="L2768" s="4">
        <v>46087</v>
      </c>
      <c r="M2768" s="1" t="s">
        <v>5694</v>
      </c>
      <c r="N2768" s="1" t="s">
        <v>3145</v>
      </c>
    </row>
    <row r="2769" spans="1:14" s="1" customFormat="1" x14ac:dyDescent="0.35">
      <c r="A2769" s="1" t="s">
        <v>4492</v>
      </c>
      <c r="B2769" s="1" t="s">
        <v>2641</v>
      </c>
      <c r="C2769" s="1" t="s">
        <v>3124</v>
      </c>
      <c r="D2769" s="1" t="s">
        <v>5693</v>
      </c>
      <c r="E2769" s="1" t="str">
        <f>"8415"</f>
        <v>8415</v>
      </c>
      <c r="F2769" s="1" t="str">
        <f>"015801336"</f>
        <v>015801336</v>
      </c>
      <c r="G2769" s="1" t="s">
        <v>761</v>
      </c>
      <c r="H2769" s="1" t="s">
        <v>15</v>
      </c>
      <c r="I2769" s="1" t="str">
        <f>"5"</f>
        <v>5</v>
      </c>
      <c r="J2769" s="3">
        <v>80.94</v>
      </c>
      <c r="K2769" s="4">
        <v>46068</v>
      </c>
      <c r="L2769" s="4">
        <v>46087</v>
      </c>
      <c r="M2769" s="1" t="s">
        <v>5692</v>
      </c>
      <c r="N2769" s="1" t="s">
        <v>3145</v>
      </c>
    </row>
    <row r="2770" spans="1:14" s="1" customFormat="1" x14ac:dyDescent="0.35">
      <c r="A2770" s="1" t="s">
        <v>4492</v>
      </c>
      <c r="B2770" s="1" t="s">
        <v>2641</v>
      </c>
      <c r="C2770" s="1" t="s">
        <v>3124</v>
      </c>
      <c r="D2770" s="1" t="s">
        <v>5691</v>
      </c>
      <c r="E2770" s="1" t="str">
        <f>"8415"</f>
        <v>8415</v>
      </c>
      <c r="F2770" s="1" t="str">
        <f>"015801337"</f>
        <v>015801337</v>
      </c>
      <c r="G2770" s="1" t="s">
        <v>761</v>
      </c>
      <c r="H2770" s="1" t="s">
        <v>15</v>
      </c>
      <c r="I2770" s="1" t="str">
        <f>"1"</f>
        <v>1</v>
      </c>
      <c r="J2770" s="3">
        <v>80.94</v>
      </c>
      <c r="K2770" s="4">
        <v>46068</v>
      </c>
      <c r="L2770" s="4">
        <v>46087</v>
      </c>
      <c r="M2770" s="1" t="s">
        <v>5690</v>
      </c>
      <c r="N2770" s="1" t="s">
        <v>3145</v>
      </c>
    </row>
    <row r="2771" spans="1:14" s="1" customFormat="1" x14ac:dyDescent="0.35">
      <c r="A2771" s="1" t="s">
        <v>4492</v>
      </c>
      <c r="B2771" s="1" t="s">
        <v>2641</v>
      </c>
      <c r="C2771" s="1" t="s">
        <v>3124</v>
      </c>
      <c r="D2771" s="1" t="s">
        <v>5689</v>
      </c>
      <c r="E2771" s="1" t="str">
        <f>"8415"</f>
        <v>8415</v>
      </c>
      <c r="F2771" s="1" t="str">
        <f>"015801348"</f>
        <v>015801348</v>
      </c>
      <c r="G2771" s="1" t="s">
        <v>761</v>
      </c>
      <c r="H2771" s="1" t="s">
        <v>15</v>
      </c>
      <c r="I2771" s="1" t="str">
        <f>"4"</f>
        <v>4</v>
      </c>
      <c r="J2771" s="3">
        <v>80.94</v>
      </c>
      <c r="K2771" s="4">
        <v>46068</v>
      </c>
      <c r="L2771" s="4">
        <v>46087</v>
      </c>
      <c r="M2771" s="1" t="s">
        <v>5688</v>
      </c>
      <c r="N2771" s="1" t="s">
        <v>3145</v>
      </c>
    </row>
    <row r="2772" spans="1:14" s="1" customFormat="1" x14ac:dyDescent="0.35">
      <c r="A2772" s="1" t="s">
        <v>4492</v>
      </c>
      <c r="B2772" s="1" t="s">
        <v>2641</v>
      </c>
      <c r="C2772" s="1" t="s">
        <v>3124</v>
      </c>
      <c r="D2772" s="1" t="s">
        <v>5687</v>
      </c>
      <c r="E2772" s="1" t="str">
        <f>"8415"</f>
        <v>8415</v>
      </c>
      <c r="F2772" s="1" t="str">
        <f>"015801355"</f>
        <v>015801355</v>
      </c>
      <c r="G2772" s="1" t="s">
        <v>761</v>
      </c>
      <c r="H2772" s="1" t="s">
        <v>15</v>
      </c>
      <c r="I2772" s="1" t="str">
        <f>"11"</f>
        <v>11</v>
      </c>
      <c r="J2772" s="3">
        <v>80.94</v>
      </c>
      <c r="K2772" s="4">
        <v>46068</v>
      </c>
      <c r="L2772" s="4">
        <v>46087</v>
      </c>
      <c r="M2772" s="1" t="s">
        <v>5686</v>
      </c>
      <c r="N2772" s="1" t="s">
        <v>3145</v>
      </c>
    </row>
    <row r="2773" spans="1:14" s="1" customFormat="1" x14ac:dyDescent="0.35">
      <c r="A2773" s="1" t="s">
        <v>4492</v>
      </c>
      <c r="B2773" s="1" t="s">
        <v>2641</v>
      </c>
      <c r="C2773" s="1" t="s">
        <v>3124</v>
      </c>
      <c r="D2773" s="1" t="s">
        <v>5685</v>
      </c>
      <c r="E2773" s="1" t="str">
        <f>"8415"</f>
        <v>8415</v>
      </c>
      <c r="F2773" s="1" t="str">
        <f>"015801341"</f>
        <v>015801341</v>
      </c>
      <c r="G2773" s="1" t="s">
        <v>761</v>
      </c>
      <c r="H2773" s="1" t="s">
        <v>15</v>
      </c>
      <c r="I2773" s="1" t="str">
        <f>"10"</f>
        <v>10</v>
      </c>
      <c r="J2773" s="3">
        <v>80.94</v>
      </c>
      <c r="K2773" s="4">
        <v>46068</v>
      </c>
      <c r="L2773" s="4">
        <v>46087</v>
      </c>
      <c r="M2773" s="1" t="s">
        <v>5684</v>
      </c>
      <c r="N2773" s="1" t="s">
        <v>3145</v>
      </c>
    </row>
    <row r="2774" spans="1:14" s="1" customFormat="1" x14ac:dyDescent="0.35">
      <c r="A2774" s="1" t="s">
        <v>4492</v>
      </c>
      <c r="B2774" s="1" t="s">
        <v>2641</v>
      </c>
      <c r="C2774" s="1" t="s">
        <v>3124</v>
      </c>
      <c r="D2774" s="1" t="s">
        <v>5683</v>
      </c>
      <c r="E2774" s="1" t="str">
        <f>"8415"</f>
        <v>8415</v>
      </c>
      <c r="F2774" s="1" t="str">
        <f>"015801362"</f>
        <v>015801362</v>
      </c>
      <c r="G2774" s="1" t="s">
        <v>761</v>
      </c>
      <c r="H2774" s="1" t="s">
        <v>15</v>
      </c>
      <c r="I2774" s="1" t="str">
        <f>"2"</f>
        <v>2</v>
      </c>
      <c r="J2774" s="3">
        <v>80.94</v>
      </c>
      <c r="K2774" s="4">
        <v>46068</v>
      </c>
      <c r="L2774" s="4">
        <v>46087</v>
      </c>
      <c r="M2774" s="1" t="s">
        <v>5682</v>
      </c>
      <c r="N2774" s="1" t="s">
        <v>3145</v>
      </c>
    </row>
    <row r="2775" spans="1:14" s="1" customFormat="1" x14ac:dyDescent="0.35">
      <c r="A2775" s="1" t="s">
        <v>4492</v>
      </c>
      <c r="B2775" s="1" t="s">
        <v>2641</v>
      </c>
      <c r="C2775" s="1" t="s">
        <v>3124</v>
      </c>
      <c r="D2775" s="1" t="s">
        <v>5681</v>
      </c>
      <c r="E2775" s="1" t="str">
        <f>"2330"</f>
        <v>2330</v>
      </c>
      <c r="F2775" s="1" t="s">
        <v>104</v>
      </c>
      <c r="G2775" s="1" t="s">
        <v>105</v>
      </c>
      <c r="H2775" s="1" t="s">
        <v>15</v>
      </c>
      <c r="I2775" s="1" t="str">
        <f>"1"</f>
        <v>1</v>
      </c>
      <c r="J2775" s="3" t="str">
        <f>"14555"</f>
        <v>14555</v>
      </c>
      <c r="K2775" s="4">
        <v>46074</v>
      </c>
      <c r="L2775" s="4">
        <v>46086</v>
      </c>
      <c r="M2775" s="1" t="s">
        <v>5680</v>
      </c>
      <c r="N2775" s="1" t="s">
        <v>5679</v>
      </c>
    </row>
    <row r="2776" spans="1:14" s="1" customFormat="1" x14ac:dyDescent="0.35">
      <c r="A2776" s="1" t="s">
        <v>4492</v>
      </c>
      <c r="B2776" s="1" t="s">
        <v>2641</v>
      </c>
      <c r="C2776" s="1" t="s">
        <v>3124</v>
      </c>
      <c r="D2776" s="1" t="s">
        <v>5678</v>
      </c>
      <c r="E2776" s="1" t="str">
        <f>"2340"</f>
        <v>2340</v>
      </c>
      <c r="F2776" s="1" t="s">
        <v>1071</v>
      </c>
      <c r="G2776" s="1" t="s">
        <v>1072</v>
      </c>
      <c r="H2776" s="1" t="s">
        <v>15</v>
      </c>
      <c r="I2776" s="1" t="str">
        <f>"1"</f>
        <v>1</v>
      </c>
      <c r="J2776" s="3" t="str">
        <f>"1000"</f>
        <v>1000</v>
      </c>
      <c r="K2776" s="4">
        <v>46075</v>
      </c>
      <c r="L2776" s="4">
        <v>46088</v>
      </c>
      <c r="M2776" s="1" t="s">
        <v>5677</v>
      </c>
      <c r="N2776" s="1" t="s">
        <v>5675</v>
      </c>
    </row>
    <row r="2777" spans="1:14" s="1" customFormat="1" x14ac:dyDescent="0.35">
      <c r="A2777" s="1" t="s">
        <v>4492</v>
      </c>
      <c r="B2777" s="1" t="s">
        <v>2641</v>
      </c>
      <c r="C2777" s="1" t="s">
        <v>3124</v>
      </c>
      <c r="D2777" s="1" t="s">
        <v>5676</v>
      </c>
      <c r="E2777" s="1" t="str">
        <f>"2340"</f>
        <v>2340</v>
      </c>
      <c r="F2777" s="1" t="str">
        <f>"015714220"</f>
        <v>015714220</v>
      </c>
      <c r="G2777" s="1" t="s">
        <v>1926</v>
      </c>
      <c r="H2777" s="1" t="s">
        <v>15</v>
      </c>
      <c r="I2777" s="1" t="str">
        <f>"1"</f>
        <v>1</v>
      </c>
      <c r="J2777" s="3" t="str">
        <f>"14800"</f>
        <v>14800</v>
      </c>
      <c r="K2777" s="4">
        <v>46075</v>
      </c>
      <c r="L2777" s="4">
        <v>46077</v>
      </c>
      <c r="M2777" s="1" t="s">
        <v>4524</v>
      </c>
      <c r="N2777" s="1" t="s">
        <v>5675</v>
      </c>
    </row>
    <row r="2778" spans="1:14" s="1" customFormat="1" x14ac:dyDescent="0.35">
      <c r="A2778" s="1" t="s">
        <v>4492</v>
      </c>
      <c r="B2778" s="1" t="s">
        <v>2641</v>
      </c>
      <c r="C2778" s="1" t="s">
        <v>3124</v>
      </c>
      <c r="D2778" s="1" t="s">
        <v>5674</v>
      </c>
      <c r="E2778" s="1" t="str">
        <f>"8430"</f>
        <v>8430</v>
      </c>
      <c r="F2778" s="1" t="str">
        <f>"016308569"</f>
        <v>016308569</v>
      </c>
      <c r="G2778" s="1" t="s">
        <v>3240</v>
      </c>
      <c r="H2778" s="1" t="s">
        <v>47</v>
      </c>
      <c r="I2778" s="1" t="str">
        <f>"1"</f>
        <v>1</v>
      </c>
      <c r="J2778" s="3">
        <v>311.42</v>
      </c>
      <c r="K2778" s="4">
        <v>46076</v>
      </c>
      <c r="L2778" s="4">
        <v>46088</v>
      </c>
      <c r="M2778" s="1" t="s">
        <v>5673</v>
      </c>
      <c r="N2778" s="1" t="s">
        <v>3237</v>
      </c>
    </row>
    <row r="2779" spans="1:14" s="1" customFormat="1" x14ac:dyDescent="0.35">
      <c r="A2779" s="1" t="s">
        <v>4492</v>
      </c>
      <c r="B2779" s="1" t="s">
        <v>2641</v>
      </c>
      <c r="C2779" s="1" t="s">
        <v>3124</v>
      </c>
      <c r="D2779" s="1" t="s">
        <v>5672</v>
      </c>
      <c r="E2779" s="1" t="str">
        <f>"2310"</f>
        <v>2310</v>
      </c>
      <c r="F2779" s="1" t="str">
        <f>"016544105"</f>
        <v>016544105</v>
      </c>
      <c r="G2779" s="1" t="s">
        <v>232</v>
      </c>
      <c r="H2779" s="1" t="s">
        <v>15</v>
      </c>
      <c r="I2779" s="1" t="str">
        <f>"1"</f>
        <v>1</v>
      </c>
      <c r="J2779" s="3">
        <v>31905.14</v>
      </c>
      <c r="K2779" s="4">
        <v>46084</v>
      </c>
      <c r="L2779" s="4">
        <v>46087</v>
      </c>
      <c r="M2779" s="1" t="s">
        <v>5671</v>
      </c>
      <c r="N2779" s="1" t="s">
        <v>5668</v>
      </c>
    </row>
    <row r="2780" spans="1:14" s="1" customFormat="1" x14ac:dyDescent="0.35">
      <c r="A2780" s="1" t="s">
        <v>4492</v>
      </c>
      <c r="B2780" s="1" t="s">
        <v>2641</v>
      </c>
      <c r="C2780" s="1" t="s">
        <v>3124</v>
      </c>
      <c r="D2780" s="1" t="s">
        <v>5670</v>
      </c>
      <c r="E2780" s="1" t="str">
        <f>"2310"</f>
        <v>2310</v>
      </c>
      <c r="F2780" s="1" t="str">
        <f>"016544105"</f>
        <v>016544105</v>
      </c>
      <c r="G2780" s="1" t="s">
        <v>232</v>
      </c>
      <c r="H2780" s="1" t="s">
        <v>15</v>
      </c>
      <c r="I2780" s="1" t="str">
        <f>"1"</f>
        <v>1</v>
      </c>
      <c r="J2780" s="3">
        <v>31905.14</v>
      </c>
      <c r="K2780" s="4">
        <v>46084</v>
      </c>
      <c r="L2780" s="4">
        <v>46087</v>
      </c>
      <c r="M2780" s="1" t="s">
        <v>5669</v>
      </c>
      <c r="N2780" s="1" t="s">
        <v>5668</v>
      </c>
    </row>
    <row r="2781" spans="1:14" s="1" customFormat="1" x14ac:dyDescent="0.35">
      <c r="A2781" s="1" t="s">
        <v>4492</v>
      </c>
      <c r="B2781" s="1" t="s">
        <v>2641</v>
      </c>
      <c r="C2781" s="1" t="s">
        <v>3124</v>
      </c>
      <c r="D2781" s="1" t="s">
        <v>5667</v>
      </c>
      <c r="E2781" s="1" t="str">
        <f>"8415"</f>
        <v>8415</v>
      </c>
      <c r="F2781" s="1" t="str">
        <f>"015802984"</f>
        <v>015802984</v>
      </c>
      <c r="G2781" s="1" t="s">
        <v>758</v>
      </c>
      <c r="H2781" s="1" t="s">
        <v>47</v>
      </c>
      <c r="I2781" s="1" t="str">
        <f>"1"</f>
        <v>1</v>
      </c>
      <c r="J2781" s="3">
        <v>113.3</v>
      </c>
      <c r="K2781" s="4">
        <v>46084</v>
      </c>
      <c r="L2781" s="4">
        <v>46095</v>
      </c>
      <c r="M2781" s="1" t="s">
        <v>5666</v>
      </c>
      <c r="N2781" s="1" t="s">
        <v>3193</v>
      </c>
    </row>
    <row r="2782" spans="1:14" s="1" customFormat="1" x14ac:dyDescent="0.35">
      <c r="A2782" s="1" t="s">
        <v>4492</v>
      </c>
      <c r="B2782" s="1" t="s">
        <v>2641</v>
      </c>
      <c r="C2782" s="1" t="s">
        <v>3124</v>
      </c>
      <c r="D2782" s="1" t="s">
        <v>5665</v>
      </c>
      <c r="E2782" s="1" t="str">
        <f>"1240"</f>
        <v>1240</v>
      </c>
      <c r="F2782" s="1" t="str">
        <f>"016520150"</f>
        <v>016520150</v>
      </c>
      <c r="G2782" s="1" t="s">
        <v>4579</v>
      </c>
      <c r="H2782" s="1" t="s">
        <v>15</v>
      </c>
      <c r="I2782" s="1" t="str">
        <f>"4"</f>
        <v>4</v>
      </c>
      <c r="J2782" s="3">
        <v>813.79</v>
      </c>
      <c r="K2782" s="4">
        <v>46085</v>
      </c>
      <c r="L2782" s="4">
        <v>46087</v>
      </c>
      <c r="M2782" s="1" t="s">
        <v>5664</v>
      </c>
      <c r="N2782" s="1" t="s">
        <v>5663</v>
      </c>
    </row>
    <row r="2783" spans="1:14" s="1" customFormat="1" x14ac:dyDescent="0.35">
      <c r="A2783" s="1" t="s">
        <v>4492</v>
      </c>
      <c r="B2783" s="1" t="s">
        <v>2641</v>
      </c>
      <c r="C2783" s="1" t="s">
        <v>3124</v>
      </c>
      <c r="D2783" s="1" t="s">
        <v>5662</v>
      </c>
      <c r="E2783" s="1" t="str">
        <f>"4910"</f>
        <v>4910</v>
      </c>
      <c r="F2783" s="1" t="s">
        <v>2740</v>
      </c>
      <c r="G2783" s="1" t="s">
        <v>2741</v>
      </c>
      <c r="H2783" s="1" t="s">
        <v>15</v>
      </c>
      <c r="I2783" s="1" t="str">
        <f>"3"</f>
        <v>3</v>
      </c>
      <c r="J2783" s="3" t="str">
        <f>"75"</f>
        <v>75</v>
      </c>
      <c r="K2783" s="4">
        <v>46086</v>
      </c>
      <c r="L2783" s="4">
        <v>46093</v>
      </c>
      <c r="M2783" s="1" t="s">
        <v>5661</v>
      </c>
      <c r="N2783" s="1" t="s">
        <v>3134</v>
      </c>
    </row>
    <row r="2784" spans="1:14" s="1" customFormat="1" x14ac:dyDescent="0.35">
      <c r="A2784" s="1" t="s">
        <v>4492</v>
      </c>
      <c r="B2784" s="1" t="s">
        <v>2641</v>
      </c>
      <c r="C2784" s="1" t="s">
        <v>3124</v>
      </c>
      <c r="D2784" s="1" t="s">
        <v>5660</v>
      </c>
      <c r="E2784" s="1" t="str">
        <f>"1550"</f>
        <v>1550</v>
      </c>
      <c r="F2784" s="1" t="str">
        <f>"016215533"</f>
        <v>016215533</v>
      </c>
      <c r="G2784" s="1" t="s">
        <v>1789</v>
      </c>
      <c r="H2784" s="1" t="s">
        <v>15</v>
      </c>
      <c r="I2784" s="1" t="str">
        <f>"2"</f>
        <v>2</v>
      </c>
      <c r="J2784" s="3" t="str">
        <f>"168000"</f>
        <v>168000</v>
      </c>
      <c r="K2784" s="4">
        <v>46093</v>
      </c>
      <c r="L2784" s="4">
        <v>46100</v>
      </c>
      <c r="M2784" s="1" t="s">
        <v>5659</v>
      </c>
      <c r="N2784" s="1" t="s">
        <v>5654</v>
      </c>
    </row>
    <row r="2785" spans="1:14" s="1" customFormat="1" x14ac:dyDescent="0.35">
      <c r="A2785" s="1" t="s">
        <v>4492</v>
      </c>
      <c r="B2785" s="1" t="s">
        <v>2641</v>
      </c>
      <c r="C2785" s="1" t="s">
        <v>3124</v>
      </c>
      <c r="D2785" s="1" t="s">
        <v>5658</v>
      </c>
      <c r="E2785" s="1" t="str">
        <f>"1550"</f>
        <v>1550</v>
      </c>
      <c r="F2785" s="1" t="str">
        <f>"016215533"</f>
        <v>016215533</v>
      </c>
      <c r="G2785" s="1" t="s">
        <v>1789</v>
      </c>
      <c r="H2785" s="1" t="s">
        <v>15</v>
      </c>
      <c r="I2785" s="1" t="str">
        <f>"1"</f>
        <v>1</v>
      </c>
      <c r="J2785" s="3" t="str">
        <f>"168000"</f>
        <v>168000</v>
      </c>
      <c r="K2785" s="4">
        <v>46093</v>
      </c>
      <c r="L2785" s="4">
        <v>46100</v>
      </c>
      <c r="M2785" s="1" t="s">
        <v>5657</v>
      </c>
      <c r="N2785" s="1" t="s">
        <v>5654</v>
      </c>
    </row>
    <row r="2786" spans="1:14" s="1" customFormat="1" x14ac:dyDescent="0.35">
      <c r="A2786" s="1" t="s">
        <v>4492</v>
      </c>
      <c r="B2786" s="1" t="s">
        <v>2641</v>
      </c>
      <c r="C2786" s="1" t="s">
        <v>3124</v>
      </c>
      <c r="D2786" s="1" t="s">
        <v>5656</v>
      </c>
      <c r="E2786" s="1" t="str">
        <f>"1550"</f>
        <v>1550</v>
      </c>
      <c r="F2786" s="1" t="str">
        <f>"016215533"</f>
        <v>016215533</v>
      </c>
      <c r="G2786" s="1" t="s">
        <v>1789</v>
      </c>
      <c r="H2786" s="1" t="s">
        <v>15</v>
      </c>
      <c r="I2786" s="1" t="str">
        <f>"1"</f>
        <v>1</v>
      </c>
      <c r="J2786" s="3" t="str">
        <f>"168000"</f>
        <v>168000</v>
      </c>
      <c r="K2786" s="4">
        <v>46093</v>
      </c>
      <c r="L2786" s="4">
        <v>46100</v>
      </c>
      <c r="M2786" s="1" t="s">
        <v>5655</v>
      </c>
      <c r="N2786" s="1" t="s">
        <v>5654</v>
      </c>
    </row>
    <row r="2787" spans="1:14" s="1" customFormat="1" x14ac:dyDescent="0.35">
      <c r="A2787" s="1" t="s">
        <v>4492</v>
      </c>
      <c r="B2787" s="1" t="s">
        <v>2641</v>
      </c>
      <c r="C2787" s="1" t="s">
        <v>3124</v>
      </c>
      <c r="D2787" s="1" t="s">
        <v>5653</v>
      </c>
      <c r="E2787" s="1" t="str">
        <f>"2340"</f>
        <v>2340</v>
      </c>
      <c r="F2787" s="1" t="s">
        <v>1071</v>
      </c>
      <c r="G2787" s="1" t="s">
        <v>1072</v>
      </c>
      <c r="H2787" s="1" t="s">
        <v>15</v>
      </c>
      <c r="I2787" s="1" t="str">
        <f>"1"</f>
        <v>1</v>
      </c>
      <c r="J2787" s="3" t="str">
        <f>"5000"</f>
        <v>5000</v>
      </c>
      <c r="K2787" s="4">
        <v>46096</v>
      </c>
      <c r="L2787" s="4">
        <v>46100</v>
      </c>
      <c r="M2787" s="1" t="s">
        <v>5652</v>
      </c>
      <c r="N2787" s="1" t="s">
        <v>5646</v>
      </c>
    </row>
    <row r="2788" spans="1:14" s="1" customFormat="1" x14ac:dyDescent="0.35">
      <c r="A2788" s="1" t="s">
        <v>4492</v>
      </c>
      <c r="B2788" s="1" t="s">
        <v>2641</v>
      </c>
      <c r="C2788" s="1" t="s">
        <v>3124</v>
      </c>
      <c r="D2788" s="1" t="s">
        <v>5651</v>
      </c>
      <c r="E2788" s="1" t="str">
        <f>"2340"</f>
        <v>2340</v>
      </c>
      <c r="F2788" s="1" t="s">
        <v>2713</v>
      </c>
      <c r="G2788" s="1" t="s">
        <v>2714</v>
      </c>
      <c r="H2788" s="1" t="s">
        <v>15</v>
      </c>
      <c r="I2788" s="1" t="str">
        <f>"1"</f>
        <v>1</v>
      </c>
      <c r="J2788" s="3" t="str">
        <f>"8000"</f>
        <v>8000</v>
      </c>
      <c r="K2788" s="4">
        <v>46096</v>
      </c>
      <c r="L2788" s="4">
        <v>46109</v>
      </c>
      <c r="M2788" s="1" t="s">
        <v>5650</v>
      </c>
      <c r="N2788" s="1" t="s">
        <v>5649</v>
      </c>
    </row>
    <row r="2789" spans="1:14" s="1" customFormat="1" x14ac:dyDescent="0.35">
      <c r="A2789" s="1" t="s">
        <v>4492</v>
      </c>
      <c r="B2789" s="1" t="s">
        <v>2641</v>
      </c>
      <c r="C2789" s="1" t="s">
        <v>3124</v>
      </c>
      <c r="D2789" s="1" t="s">
        <v>5648</v>
      </c>
      <c r="E2789" s="1" t="str">
        <f>"2340"</f>
        <v>2340</v>
      </c>
      <c r="F2789" s="1" t="s">
        <v>1071</v>
      </c>
      <c r="G2789" s="1" t="s">
        <v>1072</v>
      </c>
      <c r="H2789" s="1" t="s">
        <v>15</v>
      </c>
      <c r="I2789" s="1" t="str">
        <f>"1"</f>
        <v>1</v>
      </c>
      <c r="J2789" s="3" t="str">
        <f>"5000"</f>
        <v>5000</v>
      </c>
      <c r="K2789" s="4">
        <v>46096</v>
      </c>
      <c r="L2789" s="4">
        <v>46100</v>
      </c>
      <c r="M2789" s="1" t="s">
        <v>5647</v>
      </c>
      <c r="N2789" s="1" t="s">
        <v>5646</v>
      </c>
    </row>
    <row r="2790" spans="1:14" s="1" customFormat="1" x14ac:dyDescent="0.35">
      <c r="A2790" s="1" t="s">
        <v>4492</v>
      </c>
      <c r="B2790" s="1" t="s">
        <v>2641</v>
      </c>
      <c r="C2790" s="1" t="s">
        <v>3124</v>
      </c>
      <c r="D2790" s="1" t="s">
        <v>5645</v>
      </c>
      <c r="E2790" s="1" t="str">
        <f>"4240"</f>
        <v>4240</v>
      </c>
      <c r="F2790" s="1" t="str">
        <f>"016306064"</f>
        <v>016306064</v>
      </c>
      <c r="G2790" s="1" t="s">
        <v>1404</v>
      </c>
      <c r="H2790" s="1" t="s">
        <v>15</v>
      </c>
      <c r="I2790" s="1" t="str">
        <f>"20"</f>
        <v>20</v>
      </c>
      <c r="J2790" s="3">
        <v>128.97999999999999</v>
      </c>
      <c r="K2790" s="4">
        <v>46103</v>
      </c>
      <c r="L2790" s="4">
        <v>46105</v>
      </c>
      <c r="M2790" s="1" t="s">
        <v>5644</v>
      </c>
      <c r="N2790" s="1" t="s">
        <v>5641</v>
      </c>
    </row>
    <row r="2791" spans="1:14" s="1" customFormat="1" x14ac:dyDescent="0.35">
      <c r="A2791" s="1" t="s">
        <v>4492</v>
      </c>
      <c r="B2791" s="1" t="s">
        <v>2641</v>
      </c>
      <c r="C2791" s="1" t="s">
        <v>3124</v>
      </c>
      <c r="D2791" s="1" t="s">
        <v>5643</v>
      </c>
      <c r="E2791" s="1" t="str">
        <f>"4240"</f>
        <v>4240</v>
      </c>
      <c r="F2791" s="1" t="str">
        <f>"015253095"</f>
        <v>015253095</v>
      </c>
      <c r="G2791" s="1" t="s">
        <v>3426</v>
      </c>
      <c r="H2791" s="1" t="s">
        <v>15</v>
      </c>
      <c r="I2791" s="1" t="str">
        <f>"7"</f>
        <v>7</v>
      </c>
      <c r="J2791" s="3">
        <v>129.01</v>
      </c>
      <c r="K2791" s="4">
        <v>46103</v>
      </c>
      <c r="L2791" s="4">
        <v>46105</v>
      </c>
      <c r="M2791" s="1" t="s">
        <v>5642</v>
      </c>
      <c r="N2791" s="1" t="s">
        <v>5641</v>
      </c>
    </row>
    <row r="2792" spans="1:14" s="1" customFormat="1" x14ac:dyDescent="0.35">
      <c r="A2792" s="1" t="s">
        <v>4492</v>
      </c>
      <c r="B2792" s="1" t="s">
        <v>1989</v>
      </c>
      <c r="C2792" s="1" t="s">
        <v>5632</v>
      </c>
      <c r="D2792" s="1" t="s">
        <v>5640</v>
      </c>
      <c r="E2792" s="1" t="str">
        <f>"7035"</f>
        <v>7035</v>
      </c>
      <c r="F2792" s="1" t="s">
        <v>5636</v>
      </c>
      <c r="G2792" s="1" t="s">
        <v>5635</v>
      </c>
      <c r="H2792" s="1" t="s">
        <v>15</v>
      </c>
      <c r="I2792" s="1" t="str">
        <f>"1"</f>
        <v>1</v>
      </c>
      <c r="J2792" s="3" t="str">
        <f>"40"</f>
        <v>40</v>
      </c>
      <c r="K2792" s="4">
        <v>46050</v>
      </c>
      <c r="L2792" s="4">
        <v>46050</v>
      </c>
      <c r="M2792" s="1" t="s">
        <v>5639</v>
      </c>
      <c r="N2792" s="1" t="s">
        <v>5638</v>
      </c>
    </row>
    <row r="2793" spans="1:14" s="1" customFormat="1" x14ac:dyDescent="0.35">
      <c r="A2793" s="1" t="s">
        <v>4492</v>
      </c>
      <c r="B2793" s="1" t="s">
        <v>1989</v>
      </c>
      <c r="C2793" s="1" t="s">
        <v>5632</v>
      </c>
      <c r="D2793" s="1" t="s">
        <v>5640</v>
      </c>
      <c r="E2793" s="1" t="str">
        <f>"7035"</f>
        <v>7035</v>
      </c>
      <c r="F2793" s="1" t="s">
        <v>5636</v>
      </c>
      <c r="G2793" s="1" t="s">
        <v>5635</v>
      </c>
      <c r="H2793" s="1" t="s">
        <v>15</v>
      </c>
      <c r="I2793" s="1" t="str">
        <f>"1"</f>
        <v>1</v>
      </c>
      <c r="J2793" s="3" t="str">
        <f>"40"</f>
        <v>40</v>
      </c>
      <c r="K2793" s="4">
        <v>46050</v>
      </c>
      <c r="L2793" s="4">
        <v>46050</v>
      </c>
      <c r="M2793" s="1" t="s">
        <v>5639</v>
      </c>
      <c r="N2793" s="1" t="s">
        <v>5638</v>
      </c>
    </row>
    <row r="2794" spans="1:14" s="1" customFormat="1" x14ac:dyDescent="0.35">
      <c r="A2794" s="1" t="s">
        <v>4492</v>
      </c>
      <c r="B2794" s="1" t="s">
        <v>1989</v>
      </c>
      <c r="C2794" s="1" t="s">
        <v>5632</v>
      </c>
      <c r="D2794" s="1" t="s">
        <v>5637</v>
      </c>
      <c r="E2794" s="1" t="str">
        <f>"7035"</f>
        <v>7035</v>
      </c>
      <c r="F2794" s="1" t="s">
        <v>5636</v>
      </c>
      <c r="G2794" s="1" t="s">
        <v>5635</v>
      </c>
      <c r="H2794" s="1" t="s">
        <v>15</v>
      </c>
      <c r="I2794" s="1" t="str">
        <f>"25"</f>
        <v>25</v>
      </c>
      <c r="J2794" s="3" t="str">
        <f>"40"</f>
        <v>40</v>
      </c>
      <c r="K2794" s="4">
        <v>46050</v>
      </c>
      <c r="L2794" s="4">
        <v>46050</v>
      </c>
      <c r="M2794" s="1" t="s">
        <v>5634</v>
      </c>
      <c r="N2794" s="1" t="s">
        <v>5633</v>
      </c>
    </row>
    <row r="2795" spans="1:14" s="1" customFormat="1" x14ac:dyDescent="0.35">
      <c r="A2795" s="1" t="s">
        <v>4492</v>
      </c>
      <c r="B2795" s="1" t="s">
        <v>1989</v>
      </c>
      <c r="C2795" s="1" t="s">
        <v>5632</v>
      </c>
      <c r="D2795" s="1" t="s">
        <v>5637</v>
      </c>
      <c r="E2795" s="1" t="str">
        <f>"7035"</f>
        <v>7035</v>
      </c>
      <c r="F2795" s="1" t="s">
        <v>5636</v>
      </c>
      <c r="G2795" s="1" t="s">
        <v>5635</v>
      </c>
      <c r="H2795" s="1" t="s">
        <v>15</v>
      </c>
      <c r="I2795" s="1" t="str">
        <f>"25"</f>
        <v>25</v>
      </c>
      <c r="J2795" s="3" t="str">
        <f>"40"</f>
        <v>40</v>
      </c>
      <c r="K2795" s="4">
        <v>46050</v>
      </c>
      <c r="L2795" s="4">
        <v>46050</v>
      </c>
      <c r="M2795" s="1" t="s">
        <v>5634</v>
      </c>
      <c r="N2795" s="1" t="s">
        <v>5633</v>
      </c>
    </row>
    <row r="2796" spans="1:14" s="1" customFormat="1" x14ac:dyDescent="0.35">
      <c r="A2796" s="1" t="s">
        <v>4492</v>
      </c>
      <c r="B2796" s="1" t="s">
        <v>1989</v>
      </c>
      <c r="C2796" s="1" t="s">
        <v>5632</v>
      </c>
      <c r="D2796" s="1" t="s">
        <v>5631</v>
      </c>
      <c r="E2796" s="1" t="str">
        <f>"2330"</f>
        <v>2330</v>
      </c>
      <c r="F2796" s="1" t="str">
        <f>"013875443"</f>
        <v>013875443</v>
      </c>
      <c r="G2796" s="1" t="s">
        <v>2101</v>
      </c>
      <c r="H2796" s="1" t="s">
        <v>15</v>
      </c>
      <c r="I2796" s="1" t="str">
        <f>"1"</f>
        <v>1</v>
      </c>
      <c r="J2796" s="3" t="str">
        <f>"9535"</f>
        <v>9535</v>
      </c>
      <c r="K2796" s="4">
        <v>46107</v>
      </c>
      <c r="L2796" s="4">
        <v>46108</v>
      </c>
      <c r="M2796" s="1" t="s">
        <v>5630</v>
      </c>
      <c r="N2796" s="1" t="s">
        <v>5629</v>
      </c>
    </row>
    <row r="2797" spans="1:14" s="1" customFormat="1" x14ac:dyDescent="0.35">
      <c r="A2797" s="1" t="s">
        <v>4492</v>
      </c>
      <c r="B2797" s="1" t="s">
        <v>1989</v>
      </c>
      <c r="C2797" s="1" t="s">
        <v>5632</v>
      </c>
      <c r="D2797" s="1" t="s">
        <v>5631</v>
      </c>
      <c r="E2797" s="1" t="str">
        <f>"2330"</f>
        <v>2330</v>
      </c>
      <c r="F2797" s="1" t="str">
        <f>"013875443"</f>
        <v>013875443</v>
      </c>
      <c r="G2797" s="1" t="s">
        <v>2101</v>
      </c>
      <c r="H2797" s="1" t="s">
        <v>15</v>
      </c>
      <c r="I2797" s="1" t="str">
        <f>"1"</f>
        <v>1</v>
      </c>
      <c r="J2797" s="3" t="str">
        <f>"9535"</f>
        <v>9535</v>
      </c>
      <c r="K2797" s="4">
        <v>46107</v>
      </c>
      <c r="L2797" s="4">
        <v>46108</v>
      </c>
      <c r="M2797" s="1" t="s">
        <v>5630</v>
      </c>
      <c r="N2797" s="1" t="s">
        <v>5629</v>
      </c>
    </row>
    <row r="2798" spans="1:14" s="1" customFormat="1" x14ac:dyDescent="0.35">
      <c r="A2798" s="1" t="s">
        <v>4492</v>
      </c>
      <c r="B2798" s="1" t="s">
        <v>3356</v>
      </c>
      <c r="C2798" s="1" t="s">
        <v>5625</v>
      </c>
      <c r="D2798" s="1" t="s">
        <v>5628</v>
      </c>
      <c r="E2798" s="1" t="str">
        <f>"2320"</f>
        <v>2320</v>
      </c>
      <c r="F2798" s="1" t="s">
        <v>1016</v>
      </c>
      <c r="G2798" s="1" t="s">
        <v>1017</v>
      </c>
      <c r="H2798" s="1" t="s">
        <v>15</v>
      </c>
      <c r="I2798" s="1" t="str">
        <f>"1"</f>
        <v>1</v>
      </c>
      <c r="J2798" s="3" t="str">
        <f>"165000"</f>
        <v>165000</v>
      </c>
      <c r="K2798" s="4">
        <v>46085</v>
      </c>
      <c r="L2798" s="4">
        <v>46088</v>
      </c>
      <c r="M2798" s="1" t="s">
        <v>5627</v>
      </c>
      <c r="N2798" s="1" t="s">
        <v>5626</v>
      </c>
    </row>
    <row r="2799" spans="1:14" s="1" customFormat="1" x14ac:dyDescent="0.35">
      <c r="A2799" s="1" t="s">
        <v>4492</v>
      </c>
      <c r="B2799" s="1" t="s">
        <v>3356</v>
      </c>
      <c r="C2799" s="1" t="s">
        <v>5625</v>
      </c>
      <c r="D2799" s="1" t="s">
        <v>5624</v>
      </c>
      <c r="E2799" s="1" t="str">
        <f>"2310"</f>
        <v>2310</v>
      </c>
      <c r="F2799" s="1" t="str">
        <f>"014998019"</f>
        <v>014998019</v>
      </c>
      <c r="G2799" s="1" t="s">
        <v>4671</v>
      </c>
      <c r="H2799" s="1" t="s">
        <v>15</v>
      </c>
      <c r="I2799" s="1" t="str">
        <f>"1"</f>
        <v>1</v>
      </c>
      <c r="J2799" s="3" t="str">
        <f>"165000"</f>
        <v>165000</v>
      </c>
      <c r="K2799" s="4">
        <v>46097</v>
      </c>
      <c r="L2799" s="4">
        <v>46097</v>
      </c>
      <c r="M2799" s="1" t="s">
        <v>4524</v>
      </c>
      <c r="N2799" s="1" t="s">
        <v>5623</v>
      </c>
    </row>
    <row r="2800" spans="1:14" s="1" customFormat="1" x14ac:dyDescent="0.35">
      <c r="A2800" s="1" t="s">
        <v>4492</v>
      </c>
      <c r="B2800" s="1" t="s">
        <v>1176</v>
      </c>
      <c r="C2800" s="1" t="s">
        <v>5622</v>
      </c>
      <c r="D2800" s="1" t="s">
        <v>5621</v>
      </c>
      <c r="E2800" s="1" t="str">
        <f>"7021"</f>
        <v>7021</v>
      </c>
      <c r="F2800" s="1" t="s">
        <v>1173</v>
      </c>
      <c r="G2800" s="1" t="s">
        <v>1174</v>
      </c>
      <c r="H2800" s="1" t="s">
        <v>15</v>
      </c>
      <c r="I2800" s="1" t="str">
        <f>"8"</f>
        <v>8</v>
      </c>
      <c r="J2800" s="3">
        <v>2514.66</v>
      </c>
      <c r="K2800" s="4">
        <v>46078</v>
      </c>
      <c r="L2800" s="4">
        <v>46088</v>
      </c>
      <c r="M2800" s="1" t="s">
        <v>5620</v>
      </c>
      <c r="N2800" s="1" t="s">
        <v>5619</v>
      </c>
    </row>
    <row r="2801" spans="1:14" s="1" customFormat="1" x14ac:dyDescent="0.35">
      <c r="A2801" s="1" t="s">
        <v>4492</v>
      </c>
      <c r="B2801" s="1" t="s">
        <v>913</v>
      </c>
      <c r="C2801" s="1" t="s">
        <v>950</v>
      </c>
      <c r="D2801" s="1" t="s">
        <v>5618</v>
      </c>
      <c r="E2801" s="1" t="str">
        <f>"5855"</f>
        <v>5855</v>
      </c>
      <c r="F2801" s="1" t="str">
        <f>"015356166"</f>
        <v>015356166</v>
      </c>
      <c r="G2801" s="1" t="s">
        <v>742</v>
      </c>
      <c r="H2801" s="1" t="s">
        <v>15</v>
      </c>
      <c r="I2801" s="1" t="str">
        <f>"10"</f>
        <v>10</v>
      </c>
      <c r="J2801" s="3" t="str">
        <f>"898"</f>
        <v>898</v>
      </c>
      <c r="K2801" s="4">
        <v>46019</v>
      </c>
      <c r="L2801" s="4">
        <v>46029</v>
      </c>
      <c r="M2801" s="1" t="s">
        <v>5617</v>
      </c>
      <c r="N2801" s="1" t="s">
        <v>5614</v>
      </c>
    </row>
    <row r="2802" spans="1:14" s="1" customFormat="1" x14ac:dyDescent="0.35">
      <c r="A2802" s="1" t="s">
        <v>4492</v>
      </c>
      <c r="B2802" s="1" t="s">
        <v>913</v>
      </c>
      <c r="C2802" s="1" t="s">
        <v>950</v>
      </c>
      <c r="D2802" s="1" t="s">
        <v>5616</v>
      </c>
      <c r="E2802" s="1" t="str">
        <f>"5855"</f>
        <v>5855</v>
      </c>
      <c r="F2802" s="1" t="str">
        <f>"015356166"</f>
        <v>015356166</v>
      </c>
      <c r="G2802" s="1" t="s">
        <v>742</v>
      </c>
      <c r="H2802" s="1" t="s">
        <v>15</v>
      </c>
      <c r="I2802" s="1" t="str">
        <f>"10"</f>
        <v>10</v>
      </c>
      <c r="J2802" s="3" t="str">
        <f>"898"</f>
        <v>898</v>
      </c>
      <c r="K2802" s="4">
        <v>46019</v>
      </c>
      <c r="L2802" s="4">
        <v>46029</v>
      </c>
      <c r="M2802" s="1" t="s">
        <v>5615</v>
      </c>
      <c r="N2802" s="1" t="s">
        <v>5614</v>
      </c>
    </row>
    <row r="2803" spans="1:14" s="1" customFormat="1" x14ac:dyDescent="0.35">
      <c r="A2803" s="1" t="s">
        <v>4492</v>
      </c>
      <c r="B2803" s="1" t="s">
        <v>913</v>
      </c>
      <c r="C2803" s="1" t="s">
        <v>950</v>
      </c>
      <c r="D2803" s="1" t="s">
        <v>5613</v>
      </c>
      <c r="E2803" s="1" t="str">
        <f>"5855"</f>
        <v>5855</v>
      </c>
      <c r="F2803" s="1" t="str">
        <f>"015777174"</f>
        <v>015777174</v>
      </c>
      <c r="G2803" s="1" t="s">
        <v>952</v>
      </c>
      <c r="H2803" s="1" t="s">
        <v>15</v>
      </c>
      <c r="I2803" s="1" t="str">
        <f>"35"</f>
        <v>35</v>
      </c>
      <c r="J2803" s="3" t="str">
        <f>"1791"</f>
        <v>1791</v>
      </c>
      <c r="K2803" s="4">
        <v>46031</v>
      </c>
      <c r="L2803" s="4">
        <v>46033</v>
      </c>
      <c r="M2803" s="1" t="s">
        <v>4524</v>
      </c>
      <c r="N2803" s="1" t="s">
        <v>5612</v>
      </c>
    </row>
    <row r="2804" spans="1:14" s="1" customFormat="1" x14ac:dyDescent="0.35">
      <c r="A2804" s="1" t="s">
        <v>4492</v>
      </c>
      <c r="B2804" s="1" t="s">
        <v>1176</v>
      </c>
      <c r="C2804" s="1" t="s">
        <v>5611</v>
      </c>
      <c r="D2804" s="1" t="s">
        <v>5610</v>
      </c>
      <c r="E2804" s="1" t="str">
        <f>"7021"</f>
        <v>7021</v>
      </c>
      <c r="F2804" s="1" t="s">
        <v>1173</v>
      </c>
      <c r="G2804" s="1" t="s">
        <v>1174</v>
      </c>
      <c r="H2804" s="1" t="s">
        <v>15</v>
      </c>
      <c r="I2804" s="1" t="str">
        <f>"5"</f>
        <v>5</v>
      </c>
      <c r="J2804" s="3">
        <v>2514.66</v>
      </c>
      <c r="K2804" s="4">
        <v>46078</v>
      </c>
      <c r="L2804" s="4">
        <v>46088</v>
      </c>
      <c r="M2804" s="1" t="s">
        <v>5609</v>
      </c>
      <c r="N2804" s="1" t="s">
        <v>5608</v>
      </c>
    </row>
    <row r="2805" spans="1:14" s="1" customFormat="1" x14ac:dyDescent="0.35">
      <c r="A2805" s="1" t="s">
        <v>4492</v>
      </c>
      <c r="B2805" s="1" t="s">
        <v>913</v>
      </c>
      <c r="C2805" s="1" t="s">
        <v>954</v>
      </c>
      <c r="D2805" s="1" t="s">
        <v>5607</v>
      </c>
      <c r="E2805" s="1" t="str">
        <f>"7110"</f>
        <v>7110</v>
      </c>
      <c r="F2805" s="1" t="s">
        <v>5606</v>
      </c>
      <c r="G2805" s="1" t="s">
        <v>5605</v>
      </c>
      <c r="H2805" s="1" t="s">
        <v>15</v>
      </c>
      <c r="I2805" s="1" t="str">
        <f>"1"</f>
        <v>1</v>
      </c>
      <c r="J2805" s="3" t="str">
        <f>"50"</f>
        <v>50</v>
      </c>
      <c r="K2805" s="4">
        <v>46066</v>
      </c>
      <c r="L2805" s="4">
        <v>46067</v>
      </c>
      <c r="M2805" s="1" t="s">
        <v>4524</v>
      </c>
      <c r="N2805" s="1" t="s">
        <v>5604</v>
      </c>
    </row>
    <row r="2806" spans="1:14" s="1" customFormat="1" x14ac:dyDescent="0.35">
      <c r="A2806" s="1" t="s">
        <v>4492</v>
      </c>
      <c r="B2806" s="1" t="s">
        <v>913</v>
      </c>
      <c r="C2806" s="1" t="s">
        <v>954</v>
      </c>
      <c r="D2806" s="1" t="s">
        <v>5603</v>
      </c>
      <c r="E2806" s="1" t="str">
        <f>"5315"</f>
        <v>5315</v>
      </c>
      <c r="F2806" s="1" t="str">
        <f>"002991191"</f>
        <v>002991191</v>
      </c>
      <c r="G2806" s="1" t="s">
        <v>5602</v>
      </c>
      <c r="H2806" s="1" t="s">
        <v>15</v>
      </c>
      <c r="I2806" s="1" t="str">
        <f>"1"</f>
        <v>1</v>
      </c>
      <c r="J2806" s="3">
        <v>0.42</v>
      </c>
      <c r="K2806" s="4">
        <v>46073</v>
      </c>
      <c r="L2806" s="4">
        <v>46092</v>
      </c>
      <c r="M2806" s="1" t="s">
        <v>5601</v>
      </c>
      <c r="N2806" s="1" t="s">
        <v>960</v>
      </c>
    </row>
    <row r="2807" spans="1:14" s="1" customFormat="1" x14ac:dyDescent="0.35">
      <c r="A2807" s="1" t="s">
        <v>4492</v>
      </c>
      <c r="B2807" s="1" t="s">
        <v>913</v>
      </c>
      <c r="C2807" s="1" t="s">
        <v>954</v>
      </c>
      <c r="D2807" s="1" t="s">
        <v>5600</v>
      </c>
      <c r="E2807" s="1" t="str">
        <f>"3740"</f>
        <v>3740</v>
      </c>
      <c r="F2807" s="1" t="str">
        <f>"014630147"</f>
        <v>014630147</v>
      </c>
      <c r="G2807" s="1" t="s">
        <v>5599</v>
      </c>
      <c r="H2807" s="1" t="s">
        <v>15</v>
      </c>
      <c r="I2807" s="1" t="str">
        <f>"2"</f>
        <v>2</v>
      </c>
      <c r="J2807" s="3">
        <v>1094.1099999999999</v>
      </c>
      <c r="K2807" s="4">
        <v>46092</v>
      </c>
      <c r="L2807" s="4">
        <v>46100</v>
      </c>
      <c r="M2807" s="1" t="s">
        <v>5598</v>
      </c>
      <c r="N2807" s="1" t="s">
        <v>5597</v>
      </c>
    </row>
    <row r="2808" spans="1:14" s="1" customFormat="1" x14ac:dyDescent="0.35">
      <c r="A2808" s="1" t="s">
        <v>4492</v>
      </c>
      <c r="B2808" s="1" t="s">
        <v>913</v>
      </c>
      <c r="C2808" s="1" t="s">
        <v>954</v>
      </c>
      <c r="D2808" s="1" t="s">
        <v>5596</v>
      </c>
      <c r="E2808" s="1" t="str">
        <f>"5120"</f>
        <v>5120</v>
      </c>
      <c r="F2808" s="1" t="s">
        <v>2085</v>
      </c>
      <c r="G2808" s="1" t="s">
        <v>2086</v>
      </c>
      <c r="H2808" s="1" t="s">
        <v>15</v>
      </c>
      <c r="I2808" s="1" t="str">
        <f>"1"</f>
        <v>1</v>
      </c>
      <c r="J2808" s="3" t="str">
        <f>"150"</f>
        <v>150</v>
      </c>
      <c r="K2808" s="4">
        <v>46098</v>
      </c>
      <c r="L2808" s="4">
        <v>46099</v>
      </c>
      <c r="M2808" s="1" t="s">
        <v>4524</v>
      </c>
      <c r="N2808" s="1" t="s">
        <v>5595</v>
      </c>
    </row>
    <row r="2809" spans="1:14" s="1" customFormat="1" x14ac:dyDescent="0.35">
      <c r="A2809" s="1" t="s">
        <v>4492</v>
      </c>
      <c r="B2809" s="1" t="s">
        <v>2368</v>
      </c>
      <c r="C2809" s="1" t="s">
        <v>5578</v>
      </c>
      <c r="D2809" s="1" t="s">
        <v>5594</v>
      </c>
      <c r="E2809" s="1" t="str">
        <f>"6115"</f>
        <v>6115</v>
      </c>
      <c r="F2809" s="1" t="s">
        <v>157</v>
      </c>
      <c r="G2809" s="1" t="s">
        <v>158</v>
      </c>
      <c r="H2809" s="1" t="s">
        <v>15</v>
      </c>
      <c r="I2809" s="1" t="str">
        <f>"1"</f>
        <v>1</v>
      </c>
      <c r="J2809" s="3">
        <v>2292.92</v>
      </c>
      <c r="K2809" s="4">
        <v>46032</v>
      </c>
      <c r="L2809" s="4">
        <v>46066</v>
      </c>
      <c r="M2809" s="1" t="s">
        <v>5593</v>
      </c>
      <c r="N2809" s="1" t="s">
        <v>5592</v>
      </c>
    </row>
    <row r="2810" spans="1:14" s="1" customFormat="1" x14ac:dyDescent="0.35">
      <c r="A2810" s="1" t="s">
        <v>4492</v>
      </c>
      <c r="B2810" s="1" t="s">
        <v>2368</v>
      </c>
      <c r="C2810" s="1" t="s">
        <v>5578</v>
      </c>
      <c r="D2810" s="1" t="s">
        <v>5591</v>
      </c>
      <c r="E2810" s="1" t="str">
        <f>"5130"</f>
        <v>5130</v>
      </c>
      <c r="F2810" s="1" t="s">
        <v>579</v>
      </c>
      <c r="G2810" s="1" t="s">
        <v>580</v>
      </c>
      <c r="H2810" s="1" t="s">
        <v>15</v>
      </c>
      <c r="I2810" s="1" t="str">
        <f>"1"</f>
        <v>1</v>
      </c>
      <c r="J2810" s="3" t="str">
        <f>"830"</f>
        <v>830</v>
      </c>
      <c r="K2810" s="4">
        <v>46043</v>
      </c>
      <c r="L2810" s="4">
        <v>46043</v>
      </c>
      <c r="N2810" s="1" t="s">
        <v>5575</v>
      </c>
    </row>
    <row r="2811" spans="1:14" s="1" customFormat="1" x14ac:dyDescent="0.35">
      <c r="A2811" s="1" t="s">
        <v>4492</v>
      </c>
      <c r="B2811" s="1" t="s">
        <v>2368</v>
      </c>
      <c r="C2811" s="1" t="s">
        <v>5578</v>
      </c>
      <c r="D2811" s="1" t="s">
        <v>5590</v>
      </c>
      <c r="E2811" s="1" t="str">
        <f>"5130"</f>
        <v>5130</v>
      </c>
      <c r="F2811" s="1" t="s">
        <v>579</v>
      </c>
      <c r="G2811" s="1" t="s">
        <v>580</v>
      </c>
      <c r="H2811" s="1" t="s">
        <v>15</v>
      </c>
      <c r="I2811" s="1" t="str">
        <f>"5"</f>
        <v>5</v>
      </c>
      <c r="J2811" s="3" t="str">
        <f>"830"</f>
        <v>830</v>
      </c>
      <c r="K2811" s="4">
        <v>46043</v>
      </c>
      <c r="L2811" s="4">
        <v>46044</v>
      </c>
      <c r="M2811" s="1" t="s">
        <v>4524</v>
      </c>
      <c r="N2811" s="1" t="s">
        <v>5575</v>
      </c>
    </row>
    <row r="2812" spans="1:14" s="1" customFormat="1" x14ac:dyDescent="0.35">
      <c r="A2812" s="1" t="s">
        <v>4492</v>
      </c>
      <c r="B2812" s="1" t="s">
        <v>2368</v>
      </c>
      <c r="C2812" s="1" t="s">
        <v>5578</v>
      </c>
      <c r="D2812" s="1" t="s">
        <v>5589</v>
      </c>
      <c r="E2812" s="1" t="str">
        <f>"2330"</f>
        <v>2330</v>
      </c>
      <c r="F2812" s="1" t="str">
        <f>"013875443"</f>
        <v>013875443</v>
      </c>
      <c r="G2812" s="1" t="s">
        <v>2101</v>
      </c>
      <c r="H2812" s="1" t="s">
        <v>15</v>
      </c>
      <c r="I2812" s="1" t="str">
        <f>"1"</f>
        <v>1</v>
      </c>
      <c r="J2812" s="3" t="str">
        <f>"9535"</f>
        <v>9535</v>
      </c>
      <c r="K2812" s="4">
        <v>46043</v>
      </c>
      <c r="L2812" s="4">
        <v>46066</v>
      </c>
      <c r="M2812" s="1" t="s">
        <v>5588</v>
      </c>
      <c r="N2812" s="1" t="s">
        <v>5585</v>
      </c>
    </row>
    <row r="2813" spans="1:14" s="1" customFormat="1" x14ac:dyDescent="0.35">
      <c r="A2813" s="1" t="s">
        <v>4492</v>
      </c>
      <c r="B2813" s="1" t="s">
        <v>2368</v>
      </c>
      <c r="C2813" s="1" t="s">
        <v>5578</v>
      </c>
      <c r="D2813" s="1" t="s">
        <v>5587</v>
      </c>
      <c r="E2813" s="1" t="str">
        <f>"2330"</f>
        <v>2330</v>
      </c>
      <c r="F2813" s="1" t="str">
        <f>"013875443"</f>
        <v>013875443</v>
      </c>
      <c r="G2813" s="1" t="s">
        <v>2101</v>
      </c>
      <c r="H2813" s="1" t="s">
        <v>15</v>
      </c>
      <c r="I2813" s="1" t="str">
        <f>"1"</f>
        <v>1</v>
      </c>
      <c r="J2813" s="3" t="str">
        <f>"9535"</f>
        <v>9535</v>
      </c>
      <c r="K2813" s="4">
        <v>46043</v>
      </c>
      <c r="L2813" s="4">
        <v>46066</v>
      </c>
      <c r="M2813" s="1" t="s">
        <v>5586</v>
      </c>
      <c r="N2813" s="1" t="s">
        <v>5585</v>
      </c>
    </row>
    <row r="2814" spans="1:14" s="1" customFormat="1" x14ac:dyDescent="0.35">
      <c r="A2814" s="1" t="s">
        <v>4492</v>
      </c>
      <c r="B2814" s="1" t="s">
        <v>2368</v>
      </c>
      <c r="C2814" s="1" t="s">
        <v>5578</v>
      </c>
      <c r="D2814" s="1" t="s">
        <v>5584</v>
      </c>
      <c r="E2814" s="1" t="str">
        <f>"5120"</f>
        <v>5120</v>
      </c>
      <c r="F2814" s="1" t="str">
        <f>"002405396"</f>
        <v>002405396</v>
      </c>
      <c r="G2814" s="1" t="s">
        <v>3906</v>
      </c>
      <c r="H2814" s="1" t="s">
        <v>15</v>
      </c>
      <c r="I2814" s="1" t="str">
        <f>"1"</f>
        <v>1</v>
      </c>
      <c r="J2814" s="3">
        <v>18.38</v>
      </c>
      <c r="K2814" s="4">
        <v>46043</v>
      </c>
      <c r="L2814" s="4">
        <v>46055</v>
      </c>
      <c r="M2814" s="1" t="s">
        <v>5583</v>
      </c>
      <c r="N2814" s="1" t="s">
        <v>5575</v>
      </c>
    </row>
    <row r="2815" spans="1:14" s="1" customFormat="1" x14ac:dyDescent="0.35">
      <c r="A2815" s="1" t="s">
        <v>4492</v>
      </c>
      <c r="B2815" s="1" t="s">
        <v>2368</v>
      </c>
      <c r="C2815" s="1" t="s">
        <v>5578</v>
      </c>
      <c r="D2815" s="1" t="s">
        <v>5582</v>
      </c>
      <c r="E2815" s="1" t="str">
        <f>"5120"</f>
        <v>5120</v>
      </c>
      <c r="F2815" s="1" t="str">
        <f>"013738976"</f>
        <v>013738976</v>
      </c>
      <c r="G2815" s="1" t="s">
        <v>3929</v>
      </c>
      <c r="H2815" s="1" t="s">
        <v>15</v>
      </c>
      <c r="I2815" s="1" t="str">
        <f>"1"</f>
        <v>1</v>
      </c>
      <c r="J2815" s="3">
        <v>194.97</v>
      </c>
      <c r="K2815" s="4">
        <v>46043</v>
      </c>
      <c r="L2815" s="4">
        <v>46055</v>
      </c>
      <c r="M2815" s="1" t="s">
        <v>5581</v>
      </c>
      <c r="N2815" s="1" t="s">
        <v>5575</v>
      </c>
    </row>
    <row r="2816" spans="1:14" s="1" customFormat="1" x14ac:dyDescent="0.35">
      <c r="A2816" s="1" t="s">
        <v>4492</v>
      </c>
      <c r="B2816" s="1" t="s">
        <v>2368</v>
      </c>
      <c r="C2816" s="1" t="s">
        <v>5578</v>
      </c>
      <c r="D2816" s="1" t="s">
        <v>5580</v>
      </c>
      <c r="E2816" s="1" t="str">
        <f>"5120"</f>
        <v>5120</v>
      </c>
      <c r="F2816" s="1" t="str">
        <f>"002405396"</f>
        <v>002405396</v>
      </c>
      <c r="G2816" s="1" t="s">
        <v>3906</v>
      </c>
      <c r="H2816" s="1" t="s">
        <v>15</v>
      </c>
      <c r="I2816" s="1" t="str">
        <f>"110"</f>
        <v>110</v>
      </c>
      <c r="J2816" s="3">
        <v>18.38</v>
      </c>
      <c r="K2816" s="4">
        <v>46043</v>
      </c>
      <c r="L2816" s="4">
        <v>46066</v>
      </c>
      <c r="M2816" s="1" t="s">
        <v>5579</v>
      </c>
      <c r="N2816" s="1" t="s">
        <v>5575</v>
      </c>
    </row>
    <row r="2817" spans="1:14" s="1" customFormat="1" x14ac:dyDescent="0.35">
      <c r="A2817" s="1" t="s">
        <v>4492</v>
      </c>
      <c r="B2817" s="1" t="s">
        <v>2368</v>
      </c>
      <c r="C2817" s="1" t="s">
        <v>5578</v>
      </c>
      <c r="D2817" s="1" t="s">
        <v>5577</v>
      </c>
      <c r="E2817" s="1" t="str">
        <f>"5120"</f>
        <v>5120</v>
      </c>
      <c r="F2817" s="1" t="str">
        <f>"013738976"</f>
        <v>013738976</v>
      </c>
      <c r="G2817" s="1" t="s">
        <v>3929</v>
      </c>
      <c r="H2817" s="1" t="s">
        <v>15</v>
      </c>
      <c r="I2817" s="1" t="str">
        <f>"55"</f>
        <v>55</v>
      </c>
      <c r="J2817" s="3">
        <v>194.97</v>
      </c>
      <c r="K2817" s="4">
        <v>46043</v>
      </c>
      <c r="L2817" s="4">
        <v>46066</v>
      </c>
      <c r="M2817" s="1" t="s">
        <v>5576</v>
      </c>
      <c r="N2817" s="1" t="s">
        <v>5575</v>
      </c>
    </row>
    <row r="2818" spans="1:14" s="1" customFormat="1" x14ac:dyDescent="0.35">
      <c r="A2818" s="1" t="s">
        <v>4492</v>
      </c>
      <c r="B2818" s="1" t="s">
        <v>1284</v>
      </c>
      <c r="C2818" s="1" t="s">
        <v>5570</v>
      </c>
      <c r="D2818" s="1" t="s">
        <v>5574</v>
      </c>
      <c r="E2818" s="1" t="str">
        <f>"2340"</f>
        <v>2340</v>
      </c>
      <c r="F2818" s="1" t="s">
        <v>354</v>
      </c>
      <c r="G2818" s="1" t="s">
        <v>355</v>
      </c>
      <c r="H2818" s="1" t="s">
        <v>15</v>
      </c>
      <c r="I2818" s="1" t="str">
        <f>"1"</f>
        <v>1</v>
      </c>
      <c r="J2818" s="3" t="str">
        <f>"9360"</f>
        <v>9360</v>
      </c>
      <c r="K2818" s="4">
        <v>46063</v>
      </c>
      <c r="L2818" s="4">
        <v>46065</v>
      </c>
      <c r="M2818" s="1" t="s">
        <v>4524</v>
      </c>
      <c r="N2818" s="1" t="s">
        <v>5573</v>
      </c>
    </row>
    <row r="2819" spans="1:14" s="1" customFormat="1" x14ac:dyDescent="0.35">
      <c r="A2819" s="1" t="s">
        <v>4492</v>
      </c>
      <c r="B2819" s="1" t="s">
        <v>1284</v>
      </c>
      <c r="C2819" s="1" t="s">
        <v>5570</v>
      </c>
      <c r="D2819" s="1" t="s">
        <v>5572</v>
      </c>
      <c r="E2819" s="1" t="str">
        <f>"7021"</f>
        <v>7021</v>
      </c>
      <c r="F2819" s="1" t="s">
        <v>1173</v>
      </c>
      <c r="G2819" s="1" t="s">
        <v>1174</v>
      </c>
      <c r="H2819" s="1" t="s">
        <v>15</v>
      </c>
      <c r="I2819" s="1" t="str">
        <f>"4"</f>
        <v>4</v>
      </c>
      <c r="J2819" s="3">
        <v>2514.66</v>
      </c>
      <c r="K2819" s="4">
        <v>46079</v>
      </c>
      <c r="L2819" s="4">
        <v>46080</v>
      </c>
      <c r="M2819" s="1" t="s">
        <v>4556</v>
      </c>
      <c r="N2819" s="1" t="s">
        <v>5571</v>
      </c>
    </row>
    <row r="2820" spans="1:14" s="1" customFormat="1" x14ac:dyDescent="0.35">
      <c r="A2820" s="1" t="s">
        <v>4492</v>
      </c>
      <c r="B2820" s="1" t="s">
        <v>1284</v>
      </c>
      <c r="C2820" s="1" t="s">
        <v>5570</v>
      </c>
      <c r="D2820" s="1" t="s">
        <v>5569</v>
      </c>
      <c r="E2820" s="1" t="str">
        <f>"7021"</f>
        <v>7021</v>
      </c>
      <c r="F2820" s="1" t="s">
        <v>1173</v>
      </c>
      <c r="G2820" s="1" t="s">
        <v>1174</v>
      </c>
      <c r="H2820" s="1" t="s">
        <v>15</v>
      </c>
      <c r="I2820" s="1" t="str">
        <f>"4"</f>
        <v>4</v>
      </c>
      <c r="J2820" s="3">
        <v>2514.66</v>
      </c>
      <c r="K2820" s="4">
        <v>46080</v>
      </c>
      <c r="L2820" s="4">
        <v>46088</v>
      </c>
      <c r="M2820" s="1" t="s">
        <v>5568</v>
      </c>
      <c r="N2820" s="1" t="s">
        <v>5567</v>
      </c>
    </row>
    <row r="2821" spans="1:14" s="1" customFormat="1" x14ac:dyDescent="0.35">
      <c r="A2821" s="1" t="s">
        <v>4492</v>
      </c>
      <c r="B2821" s="1" t="s">
        <v>3822</v>
      </c>
      <c r="C2821" s="1" t="s">
        <v>4197</v>
      </c>
      <c r="D2821" s="1" t="s">
        <v>5566</v>
      </c>
      <c r="E2821" s="1" t="str">
        <f>"1005"</f>
        <v>1005</v>
      </c>
      <c r="F2821" s="1" t="str">
        <f>"016316502"</f>
        <v>016316502</v>
      </c>
      <c r="G2821" s="1" t="s">
        <v>2502</v>
      </c>
      <c r="H2821" s="1" t="s">
        <v>15</v>
      </c>
      <c r="I2821" s="1" t="str">
        <f>"15"</f>
        <v>15</v>
      </c>
      <c r="J2821" s="3">
        <v>1140.4100000000001</v>
      </c>
      <c r="K2821" s="4">
        <v>46055</v>
      </c>
      <c r="L2821" s="4">
        <v>46060</v>
      </c>
      <c r="M2821" s="1" t="s">
        <v>5565</v>
      </c>
      <c r="N2821" s="1" t="s">
        <v>5564</v>
      </c>
    </row>
    <row r="2822" spans="1:14" s="1" customFormat="1" x14ac:dyDescent="0.35">
      <c r="A2822" s="1" t="s">
        <v>4492</v>
      </c>
      <c r="B2822" s="1" t="s">
        <v>3822</v>
      </c>
      <c r="C2822" s="1" t="s">
        <v>4197</v>
      </c>
      <c r="D2822" s="1" t="s">
        <v>5563</v>
      </c>
      <c r="E2822" s="1" t="str">
        <f>"2340"</f>
        <v>2340</v>
      </c>
      <c r="F2822" s="1" t="s">
        <v>179</v>
      </c>
      <c r="G2822" s="1" t="s">
        <v>180</v>
      </c>
      <c r="H2822" s="1" t="s">
        <v>15</v>
      </c>
      <c r="I2822" s="1" t="str">
        <f>"1"</f>
        <v>1</v>
      </c>
      <c r="J2822" s="3" t="str">
        <f>"6600"</f>
        <v>6600</v>
      </c>
      <c r="K2822" s="4">
        <v>46060</v>
      </c>
      <c r="L2822" s="4">
        <v>46064</v>
      </c>
      <c r="M2822" s="1" t="s">
        <v>5562</v>
      </c>
      <c r="N2822" s="1" t="s">
        <v>5561</v>
      </c>
    </row>
    <row r="2823" spans="1:14" s="1" customFormat="1" x14ac:dyDescent="0.35">
      <c r="A2823" s="1" t="s">
        <v>4492</v>
      </c>
      <c r="B2823" s="1" t="s">
        <v>3822</v>
      </c>
      <c r="C2823" s="1" t="s">
        <v>4197</v>
      </c>
      <c r="D2823" s="1" t="s">
        <v>5560</v>
      </c>
      <c r="E2823" s="1" t="str">
        <f>"5855"</f>
        <v>5855</v>
      </c>
      <c r="F2823" s="1" t="s">
        <v>1390</v>
      </c>
      <c r="G2823" s="1" t="s">
        <v>1391</v>
      </c>
      <c r="H2823" s="1" t="s">
        <v>15</v>
      </c>
      <c r="I2823" s="1" t="str">
        <f>"4"</f>
        <v>4</v>
      </c>
      <c r="J2823" s="3" t="str">
        <f>"100000"</f>
        <v>100000</v>
      </c>
      <c r="K2823" s="4">
        <v>46061</v>
      </c>
      <c r="L2823" s="4">
        <v>46071</v>
      </c>
      <c r="M2823" s="1" t="s">
        <v>5559</v>
      </c>
      <c r="N2823" s="1" t="s">
        <v>5558</v>
      </c>
    </row>
    <row r="2824" spans="1:14" s="1" customFormat="1" x14ac:dyDescent="0.35">
      <c r="A2824" s="1" t="s">
        <v>4492</v>
      </c>
      <c r="B2824" s="1" t="s">
        <v>3822</v>
      </c>
      <c r="C2824" s="1" t="s">
        <v>4197</v>
      </c>
      <c r="D2824" s="1" t="s">
        <v>5557</v>
      </c>
      <c r="E2824" s="1" t="str">
        <f>"6545"</f>
        <v>6545</v>
      </c>
      <c r="F2824" s="1" t="str">
        <f>"016899365"</f>
        <v>016899365</v>
      </c>
      <c r="G2824" s="1" t="s">
        <v>5556</v>
      </c>
      <c r="H2824" s="1" t="s">
        <v>168</v>
      </c>
      <c r="I2824" s="1" t="str">
        <f>"7"</f>
        <v>7</v>
      </c>
      <c r="J2824" s="3">
        <v>3729.93</v>
      </c>
      <c r="K2824" s="4">
        <v>46063</v>
      </c>
      <c r="L2824" s="4">
        <v>46086</v>
      </c>
      <c r="M2824" s="1" t="s">
        <v>5555</v>
      </c>
      <c r="N2824" s="1" t="s">
        <v>5554</v>
      </c>
    </row>
    <row r="2825" spans="1:14" s="1" customFormat="1" x14ac:dyDescent="0.35">
      <c r="A2825" s="1" t="s">
        <v>4492</v>
      </c>
      <c r="B2825" s="1" t="s">
        <v>3822</v>
      </c>
      <c r="C2825" s="1" t="s">
        <v>4197</v>
      </c>
      <c r="D2825" s="1" t="s">
        <v>5553</v>
      </c>
      <c r="E2825" s="1" t="str">
        <f>"6230"</f>
        <v>6230</v>
      </c>
      <c r="F2825" s="1" t="str">
        <f>"014954298"</f>
        <v>014954298</v>
      </c>
      <c r="G2825" s="1" t="s">
        <v>4051</v>
      </c>
      <c r="H2825" s="1" t="s">
        <v>206</v>
      </c>
      <c r="I2825" s="1" t="str">
        <f>"8"</f>
        <v>8</v>
      </c>
      <c r="J2825" s="3">
        <v>91.57</v>
      </c>
      <c r="K2825" s="4">
        <v>46063</v>
      </c>
      <c r="L2825" s="4">
        <v>46065</v>
      </c>
      <c r="M2825" s="1" t="s">
        <v>5552</v>
      </c>
      <c r="N2825" s="1" t="s">
        <v>5551</v>
      </c>
    </row>
    <row r="2826" spans="1:14" s="1" customFormat="1" x14ac:dyDescent="0.35">
      <c r="A2826" s="1" t="s">
        <v>4492</v>
      </c>
      <c r="B2826" s="1" t="s">
        <v>3822</v>
      </c>
      <c r="C2826" s="1" t="s">
        <v>4197</v>
      </c>
      <c r="D2826" s="1" t="s">
        <v>5550</v>
      </c>
      <c r="E2826" s="1" t="str">
        <f>"2330"</f>
        <v>2330</v>
      </c>
      <c r="F2826" s="1" t="s">
        <v>104</v>
      </c>
      <c r="G2826" s="1" t="s">
        <v>105</v>
      </c>
      <c r="H2826" s="1" t="s">
        <v>15</v>
      </c>
      <c r="I2826" s="1" t="str">
        <f>"1"</f>
        <v>1</v>
      </c>
      <c r="J2826" s="3" t="str">
        <f>"3000"</f>
        <v>3000</v>
      </c>
      <c r="K2826" s="4">
        <v>46063</v>
      </c>
      <c r="L2826" s="4">
        <v>46064</v>
      </c>
      <c r="M2826" s="1" t="s">
        <v>5549</v>
      </c>
      <c r="N2826" s="1" t="s">
        <v>5548</v>
      </c>
    </row>
    <row r="2827" spans="1:14" s="1" customFormat="1" x14ac:dyDescent="0.35">
      <c r="A2827" s="1" t="s">
        <v>4492</v>
      </c>
      <c r="B2827" s="1" t="s">
        <v>3822</v>
      </c>
      <c r="C2827" s="1" t="s">
        <v>4197</v>
      </c>
      <c r="D2827" s="1" t="s">
        <v>5550</v>
      </c>
      <c r="E2827" s="1" t="str">
        <f>"2330"</f>
        <v>2330</v>
      </c>
      <c r="F2827" s="1" t="s">
        <v>104</v>
      </c>
      <c r="G2827" s="1" t="s">
        <v>105</v>
      </c>
      <c r="H2827" s="1" t="s">
        <v>15</v>
      </c>
      <c r="I2827" s="1" t="str">
        <f>"1"</f>
        <v>1</v>
      </c>
      <c r="J2827" s="3" t="str">
        <f>"3000"</f>
        <v>3000</v>
      </c>
      <c r="K2827" s="4">
        <v>46063</v>
      </c>
      <c r="L2827" s="4">
        <v>46064</v>
      </c>
      <c r="M2827" s="1" t="s">
        <v>5549</v>
      </c>
      <c r="N2827" s="1" t="s">
        <v>5548</v>
      </c>
    </row>
    <row r="2828" spans="1:14" s="1" customFormat="1" x14ac:dyDescent="0.35">
      <c r="A2828" s="1" t="s">
        <v>4492</v>
      </c>
      <c r="B2828" s="1" t="s">
        <v>3822</v>
      </c>
      <c r="C2828" s="1" t="s">
        <v>4197</v>
      </c>
      <c r="D2828" s="1" t="s">
        <v>5547</v>
      </c>
      <c r="E2828" s="1" t="str">
        <f>"2340"</f>
        <v>2340</v>
      </c>
      <c r="F2828" s="1" t="s">
        <v>1071</v>
      </c>
      <c r="G2828" s="1" t="s">
        <v>1072</v>
      </c>
      <c r="H2828" s="1" t="s">
        <v>15</v>
      </c>
      <c r="I2828" s="1" t="str">
        <f>"1"</f>
        <v>1</v>
      </c>
      <c r="J2828" s="3" t="str">
        <f>"6500"</f>
        <v>6500</v>
      </c>
      <c r="K2828" s="4">
        <v>46083</v>
      </c>
      <c r="L2828" s="4">
        <v>46084</v>
      </c>
      <c r="M2828" s="1" t="s">
        <v>4524</v>
      </c>
      <c r="N2828" s="1" t="s">
        <v>5546</v>
      </c>
    </row>
    <row r="2829" spans="1:14" s="1" customFormat="1" x14ac:dyDescent="0.35">
      <c r="A2829" s="1" t="s">
        <v>4492</v>
      </c>
      <c r="B2829" s="1" t="s">
        <v>1791</v>
      </c>
      <c r="C2829" s="1" t="s">
        <v>5545</v>
      </c>
      <c r="D2829" s="1" t="s">
        <v>5544</v>
      </c>
      <c r="E2829" s="1" t="str">
        <f>"1550"</f>
        <v>1550</v>
      </c>
      <c r="F2829" s="1" t="str">
        <f>"016011333"</f>
        <v>016011333</v>
      </c>
      <c r="G2829" s="1" t="s">
        <v>1287</v>
      </c>
      <c r="H2829" s="1" t="s">
        <v>15</v>
      </c>
      <c r="I2829" s="1" t="str">
        <f>"1"</f>
        <v>1</v>
      </c>
      <c r="J2829" s="3" t="str">
        <f>"1000000"</f>
        <v>1000000</v>
      </c>
      <c r="K2829" s="4">
        <v>46096</v>
      </c>
      <c r="L2829" s="4">
        <v>46104</v>
      </c>
      <c r="M2829" s="1" t="s">
        <v>5543</v>
      </c>
      <c r="N2829" s="1" t="s">
        <v>5542</v>
      </c>
    </row>
    <row r="2830" spans="1:14" s="1" customFormat="1" x14ac:dyDescent="0.35">
      <c r="A2830" s="1" t="s">
        <v>4492</v>
      </c>
      <c r="B2830" s="1" t="s">
        <v>4247</v>
      </c>
      <c r="C2830" s="1" t="s">
        <v>4327</v>
      </c>
      <c r="D2830" s="1" t="s">
        <v>5541</v>
      </c>
      <c r="E2830" s="1" t="str">
        <f>"2320"</f>
        <v>2320</v>
      </c>
      <c r="F2830" s="1" t="s">
        <v>1016</v>
      </c>
      <c r="G2830" s="1" t="s">
        <v>1017</v>
      </c>
      <c r="H2830" s="1" t="s">
        <v>15</v>
      </c>
      <c r="I2830" s="1" t="str">
        <f>"1"</f>
        <v>1</v>
      </c>
      <c r="J2830" s="3">
        <v>25718.639999999999</v>
      </c>
      <c r="K2830" s="4">
        <v>46038</v>
      </c>
      <c r="L2830" s="4">
        <v>46046</v>
      </c>
      <c r="M2830" s="1" t="s">
        <v>5540</v>
      </c>
      <c r="N2830" s="1" t="s">
        <v>5539</v>
      </c>
    </row>
    <row r="2831" spans="1:14" s="1" customFormat="1" x14ac:dyDescent="0.35">
      <c r="A2831" s="1" t="s">
        <v>4492</v>
      </c>
      <c r="B2831" s="1" t="s">
        <v>4247</v>
      </c>
      <c r="C2831" s="1" t="s">
        <v>4327</v>
      </c>
      <c r="D2831" s="1" t="s">
        <v>5538</v>
      </c>
      <c r="E2831" s="1" t="str">
        <f>"8415"</f>
        <v>8415</v>
      </c>
      <c r="F2831" s="1" t="str">
        <f>"015674782"</f>
        <v>015674782</v>
      </c>
      <c r="G2831" s="1" t="s">
        <v>3008</v>
      </c>
      <c r="H2831" s="1" t="s">
        <v>15</v>
      </c>
      <c r="I2831" s="1" t="str">
        <f>"15"</f>
        <v>15</v>
      </c>
      <c r="J2831" s="3">
        <v>43.63</v>
      </c>
      <c r="K2831" s="4">
        <v>46054</v>
      </c>
      <c r="L2831" s="4">
        <v>46055</v>
      </c>
      <c r="M2831" s="1" t="s">
        <v>5537</v>
      </c>
      <c r="N2831" s="1" t="s">
        <v>5536</v>
      </c>
    </row>
    <row r="2832" spans="1:14" s="1" customFormat="1" x14ac:dyDescent="0.35">
      <c r="A2832" s="1" t="s">
        <v>4492</v>
      </c>
      <c r="B2832" s="1" t="s">
        <v>4247</v>
      </c>
      <c r="C2832" s="1" t="s">
        <v>4327</v>
      </c>
      <c r="D2832" s="1" t="s">
        <v>5535</v>
      </c>
      <c r="E2832" s="1" t="str">
        <f>"2320"</f>
        <v>2320</v>
      </c>
      <c r="F2832" s="1" t="s">
        <v>1664</v>
      </c>
      <c r="G2832" s="1" t="s">
        <v>1665</v>
      </c>
      <c r="H2832" s="1" t="s">
        <v>15</v>
      </c>
      <c r="I2832" s="1" t="str">
        <f>"1"</f>
        <v>1</v>
      </c>
      <c r="J2832" s="3" t="str">
        <f>"54826"</f>
        <v>54826</v>
      </c>
      <c r="K2832" s="4">
        <v>46053</v>
      </c>
      <c r="L2832" s="4">
        <v>46092</v>
      </c>
      <c r="M2832" s="1" t="s">
        <v>5534</v>
      </c>
      <c r="N2832" s="1" t="s">
        <v>5533</v>
      </c>
    </row>
    <row r="2833" spans="1:14" s="1" customFormat="1" x14ac:dyDescent="0.35">
      <c r="A2833" s="1" t="s">
        <v>4492</v>
      </c>
      <c r="B2833" s="1" t="s">
        <v>4247</v>
      </c>
      <c r="C2833" s="1" t="s">
        <v>4327</v>
      </c>
      <c r="D2833" s="1" t="s">
        <v>5532</v>
      </c>
      <c r="E2833" s="1" t="str">
        <f>"1240"</f>
        <v>1240</v>
      </c>
      <c r="F2833" s="1" t="str">
        <f>"015871372"</f>
        <v>015871372</v>
      </c>
      <c r="G2833" s="1" t="s">
        <v>5531</v>
      </c>
      <c r="H2833" s="1" t="s">
        <v>15</v>
      </c>
      <c r="I2833" s="1" t="str">
        <f>"4"</f>
        <v>4</v>
      </c>
      <c r="J2833" s="3">
        <v>602.34</v>
      </c>
      <c r="K2833" s="4">
        <v>46035</v>
      </c>
      <c r="L2833" s="4">
        <v>46036</v>
      </c>
      <c r="M2833" s="1" t="s">
        <v>5530</v>
      </c>
      <c r="N2833" s="1" t="s">
        <v>5529</v>
      </c>
    </row>
    <row r="2834" spans="1:14" s="1" customFormat="1" x14ac:dyDescent="0.35">
      <c r="A2834" s="1" t="s">
        <v>4492</v>
      </c>
      <c r="B2834" s="1" t="s">
        <v>4247</v>
      </c>
      <c r="C2834" s="1" t="s">
        <v>4327</v>
      </c>
      <c r="D2834" s="1" t="s">
        <v>5528</v>
      </c>
      <c r="E2834" s="1" t="str">
        <f>"4240"</f>
        <v>4240</v>
      </c>
      <c r="F2834" s="1" t="str">
        <f>"015262388"</f>
        <v>015262388</v>
      </c>
      <c r="G2834" s="1" t="s">
        <v>5523</v>
      </c>
      <c r="H2834" s="1" t="s">
        <v>15</v>
      </c>
      <c r="I2834" s="1" t="str">
        <f>"10"</f>
        <v>10</v>
      </c>
      <c r="J2834" s="3">
        <v>627.24</v>
      </c>
      <c r="K2834" s="4">
        <v>46071</v>
      </c>
      <c r="L2834" s="4">
        <v>46085</v>
      </c>
      <c r="M2834" s="1" t="s">
        <v>5527</v>
      </c>
      <c r="N2834" s="1" t="s">
        <v>5521</v>
      </c>
    </row>
    <row r="2835" spans="1:14" s="1" customFormat="1" x14ac:dyDescent="0.35">
      <c r="A2835" s="1" t="s">
        <v>4492</v>
      </c>
      <c r="B2835" s="1" t="s">
        <v>4247</v>
      </c>
      <c r="C2835" s="1" t="s">
        <v>4327</v>
      </c>
      <c r="D2835" s="1" t="s">
        <v>5526</v>
      </c>
      <c r="E2835" s="1" t="str">
        <f>"4240"</f>
        <v>4240</v>
      </c>
      <c r="F2835" s="1" t="str">
        <f>"015262395"</f>
        <v>015262395</v>
      </c>
      <c r="G2835" s="1" t="s">
        <v>5523</v>
      </c>
      <c r="H2835" s="1" t="s">
        <v>15</v>
      </c>
      <c r="I2835" s="1" t="str">
        <f>"10"</f>
        <v>10</v>
      </c>
      <c r="J2835" s="3">
        <v>615.77</v>
      </c>
      <c r="K2835" s="4">
        <v>46071</v>
      </c>
      <c r="L2835" s="4">
        <v>46085</v>
      </c>
      <c r="M2835" s="1" t="s">
        <v>5525</v>
      </c>
      <c r="N2835" s="1" t="s">
        <v>5521</v>
      </c>
    </row>
    <row r="2836" spans="1:14" s="1" customFormat="1" x14ac:dyDescent="0.35">
      <c r="A2836" s="1" t="s">
        <v>4492</v>
      </c>
      <c r="B2836" s="1" t="s">
        <v>4247</v>
      </c>
      <c r="C2836" s="1" t="s">
        <v>4327</v>
      </c>
      <c r="D2836" s="1" t="s">
        <v>5524</v>
      </c>
      <c r="E2836" s="1" t="str">
        <f>"4240"</f>
        <v>4240</v>
      </c>
      <c r="F2836" s="1" t="str">
        <f>"015262398"</f>
        <v>015262398</v>
      </c>
      <c r="G2836" s="1" t="s">
        <v>5523</v>
      </c>
      <c r="H2836" s="1" t="s">
        <v>15</v>
      </c>
      <c r="I2836" s="1" t="str">
        <f>"10"</f>
        <v>10</v>
      </c>
      <c r="J2836" s="3">
        <v>511.68</v>
      </c>
      <c r="K2836" s="4">
        <v>46071</v>
      </c>
      <c r="L2836" s="4">
        <v>46085</v>
      </c>
      <c r="M2836" s="1" t="s">
        <v>5522</v>
      </c>
      <c r="N2836" s="1" t="s">
        <v>5521</v>
      </c>
    </row>
    <row r="2837" spans="1:14" s="1" customFormat="1" x14ac:dyDescent="0.35">
      <c r="A2837" s="1" t="s">
        <v>4492</v>
      </c>
      <c r="B2837" s="1" t="s">
        <v>4247</v>
      </c>
      <c r="C2837" s="1" t="s">
        <v>4327</v>
      </c>
      <c r="D2837" s="1" t="s">
        <v>5520</v>
      </c>
      <c r="E2837" s="1" t="str">
        <f>"2330"</f>
        <v>2330</v>
      </c>
      <c r="F2837" s="1" t="s">
        <v>104</v>
      </c>
      <c r="G2837" s="1" t="s">
        <v>105</v>
      </c>
      <c r="H2837" s="1" t="s">
        <v>15</v>
      </c>
      <c r="I2837" s="1" t="str">
        <f>"1"</f>
        <v>1</v>
      </c>
      <c r="J2837" s="3" t="str">
        <f>"2990"</f>
        <v>2990</v>
      </c>
      <c r="K2837" s="4">
        <v>46095</v>
      </c>
      <c r="L2837" s="4">
        <v>46095</v>
      </c>
      <c r="M2837" s="1" t="s">
        <v>4524</v>
      </c>
      <c r="N2837" s="1" t="s">
        <v>5519</v>
      </c>
    </row>
    <row r="2838" spans="1:14" s="1" customFormat="1" x14ac:dyDescent="0.35">
      <c r="A2838" s="1" t="s">
        <v>4492</v>
      </c>
      <c r="B2838" s="1" t="s">
        <v>435</v>
      </c>
      <c r="C2838" s="1" t="s">
        <v>478</v>
      </c>
      <c r="D2838" s="1" t="s">
        <v>5518</v>
      </c>
      <c r="E2838" s="1" t="str">
        <f>"6230"</f>
        <v>6230</v>
      </c>
      <c r="F2838" s="1" t="str">
        <f>"015055275"</f>
        <v>015055275</v>
      </c>
      <c r="G2838" s="1" t="s">
        <v>5514</v>
      </c>
      <c r="H2838" s="1" t="s">
        <v>206</v>
      </c>
      <c r="I2838" s="1" t="str">
        <f>"1"</f>
        <v>1</v>
      </c>
      <c r="J2838" s="3">
        <v>613.19000000000005</v>
      </c>
      <c r="K2838" s="4">
        <v>46027</v>
      </c>
      <c r="L2838" s="4">
        <v>46028</v>
      </c>
      <c r="M2838" s="1" t="s">
        <v>5517</v>
      </c>
      <c r="N2838" s="1" t="s">
        <v>5516</v>
      </c>
    </row>
    <row r="2839" spans="1:14" s="1" customFormat="1" x14ac:dyDescent="0.35">
      <c r="A2839" s="1" t="s">
        <v>4492</v>
      </c>
      <c r="B2839" s="1" t="s">
        <v>435</v>
      </c>
      <c r="C2839" s="1" t="s">
        <v>478</v>
      </c>
      <c r="D2839" s="1" t="s">
        <v>5515</v>
      </c>
      <c r="E2839" s="1" t="str">
        <f>"6230"</f>
        <v>6230</v>
      </c>
      <c r="F2839" s="1" t="str">
        <f>"015055275"</f>
        <v>015055275</v>
      </c>
      <c r="G2839" s="1" t="s">
        <v>5514</v>
      </c>
      <c r="H2839" s="1" t="s">
        <v>206</v>
      </c>
      <c r="I2839" s="1" t="str">
        <f>"1"</f>
        <v>1</v>
      </c>
      <c r="J2839" s="3">
        <v>613.19000000000005</v>
      </c>
      <c r="K2839" s="4">
        <v>46027</v>
      </c>
      <c r="L2839" s="4">
        <v>46028</v>
      </c>
      <c r="M2839" s="1" t="s">
        <v>5513</v>
      </c>
      <c r="N2839" s="1" t="s">
        <v>5512</v>
      </c>
    </row>
    <row r="2840" spans="1:14" s="1" customFormat="1" x14ac:dyDescent="0.35">
      <c r="A2840" s="1" t="s">
        <v>4492</v>
      </c>
      <c r="B2840" s="1" t="s">
        <v>435</v>
      </c>
      <c r="C2840" s="1" t="s">
        <v>478</v>
      </c>
      <c r="D2840" s="1" t="s">
        <v>5511</v>
      </c>
      <c r="E2840" s="1" t="str">
        <f>"3920"</f>
        <v>3920</v>
      </c>
      <c r="F2840" s="1" t="s">
        <v>493</v>
      </c>
      <c r="G2840" s="1" t="s">
        <v>494</v>
      </c>
      <c r="H2840" s="1" t="s">
        <v>15</v>
      </c>
      <c r="I2840" s="1" t="str">
        <f>"1"</f>
        <v>1</v>
      </c>
      <c r="J2840" s="3" t="str">
        <f>"643"</f>
        <v>643</v>
      </c>
      <c r="K2840" s="4">
        <v>46034</v>
      </c>
      <c r="L2840" s="4">
        <v>46046</v>
      </c>
      <c r="M2840" s="1" t="s">
        <v>5510</v>
      </c>
      <c r="N2840" s="1" t="s">
        <v>5509</v>
      </c>
    </row>
    <row r="2841" spans="1:14" s="1" customFormat="1" x14ac:dyDescent="0.35">
      <c r="A2841" s="1" t="s">
        <v>4492</v>
      </c>
      <c r="B2841" s="1" t="s">
        <v>435</v>
      </c>
      <c r="C2841" s="1" t="s">
        <v>478</v>
      </c>
      <c r="D2841" s="1" t="s">
        <v>5508</v>
      </c>
      <c r="E2841" s="1" t="str">
        <f>"5340"</f>
        <v>5340</v>
      </c>
      <c r="F2841" s="1" t="str">
        <f>"015395904"</f>
        <v>015395904</v>
      </c>
      <c r="G2841" s="1" t="s">
        <v>5507</v>
      </c>
      <c r="H2841" s="1" t="s">
        <v>15</v>
      </c>
      <c r="I2841" s="1" t="str">
        <f>"20"</f>
        <v>20</v>
      </c>
      <c r="J2841" s="3">
        <v>812.51</v>
      </c>
      <c r="K2841" s="4">
        <v>46051</v>
      </c>
      <c r="L2841" s="4">
        <v>46063</v>
      </c>
      <c r="M2841" s="1" t="s">
        <v>5506</v>
      </c>
      <c r="N2841" s="1" t="s">
        <v>5505</v>
      </c>
    </row>
    <row r="2842" spans="1:14" s="1" customFormat="1" x14ac:dyDescent="0.35">
      <c r="A2842" s="1" t="s">
        <v>4492</v>
      </c>
      <c r="B2842" s="1" t="s">
        <v>435</v>
      </c>
      <c r="C2842" s="1" t="s">
        <v>478</v>
      </c>
      <c r="D2842" s="1" t="s">
        <v>5504</v>
      </c>
      <c r="E2842" s="1" t="str">
        <f>"5140"</f>
        <v>5140</v>
      </c>
      <c r="F2842" s="1" t="s">
        <v>379</v>
      </c>
      <c r="G2842" s="1" t="s">
        <v>380</v>
      </c>
      <c r="H2842" s="1" t="s">
        <v>15</v>
      </c>
      <c r="I2842" s="1" t="str">
        <f>"1"</f>
        <v>1</v>
      </c>
      <c r="J2842" s="3" t="str">
        <f>"269"</f>
        <v>269</v>
      </c>
      <c r="K2842" s="4">
        <v>46044</v>
      </c>
      <c r="L2842" s="4">
        <v>46055</v>
      </c>
      <c r="M2842" s="1" t="s">
        <v>5503</v>
      </c>
      <c r="N2842" s="1" t="s">
        <v>5500</v>
      </c>
    </row>
    <row r="2843" spans="1:14" s="1" customFormat="1" x14ac:dyDescent="0.35">
      <c r="A2843" s="1" t="s">
        <v>4492</v>
      </c>
      <c r="B2843" s="1" t="s">
        <v>435</v>
      </c>
      <c r="C2843" s="1" t="s">
        <v>478</v>
      </c>
      <c r="D2843" s="1" t="s">
        <v>5502</v>
      </c>
      <c r="E2843" s="1" t="str">
        <f>"5140"</f>
        <v>5140</v>
      </c>
      <c r="F2843" s="1" t="s">
        <v>379</v>
      </c>
      <c r="G2843" s="1" t="s">
        <v>380</v>
      </c>
      <c r="H2843" s="1" t="s">
        <v>15</v>
      </c>
      <c r="I2843" s="1" t="str">
        <f>"1"</f>
        <v>1</v>
      </c>
      <c r="J2843" s="3">
        <v>371.49</v>
      </c>
      <c r="K2843" s="4">
        <v>46044</v>
      </c>
      <c r="L2843" s="4">
        <v>46051</v>
      </c>
      <c r="M2843" s="1" t="s">
        <v>5501</v>
      </c>
      <c r="N2843" s="1" t="s">
        <v>5500</v>
      </c>
    </row>
    <row r="2844" spans="1:14" s="1" customFormat="1" x14ac:dyDescent="0.35">
      <c r="A2844" s="1" t="s">
        <v>4492</v>
      </c>
      <c r="B2844" s="1" t="s">
        <v>435</v>
      </c>
      <c r="C2844" s="1" t="s">
        <v>478</v>
      </c>
      <c r="D2844" s="1" t="s">
        <v>5499</v>
      </c>
      <c r="E2844" s="1" t="str">
        <f>"5140"</f>
        <v>5140</v>
      </c>
      <c r="F2844" s="1" t="s">
        <v>364</v>
      </c>
      <c r="G2844" s="1" t="s">
        <v>365</v>
      </c>
      <c r="H2844" s="1" t="s">
        <v>15</v>
      </c>
      <c r="I2844" s="1" t="str">
        <f>"3"</f>
        <v>3</v>
      </c>
      <c r="J2844" s="3" t="str">
        <f>"1500"</f>
        <v>1500</v>
      </c>
      <c r="K2844" s="4">
        <v>46046</v>
      </c>
      <c r="L2844" s="4">
        <v>46092</v>
      </c>
      <c r="M2844" s="1" t="s">
        <v>5498</v>
      </c>
      <c r="N2844" s="1" t="s">
        <v>5497</v>
      </c>
    </row>
    <row r="2845" spans="1:14" s="1" customFormat="1" x14ac:dyDescent="0.35">
      <c r="A2845" s="1" t="s">
        <v>4492</v>
      </c>
      <c r="B2845" s="1" t="s">
        <v>435</v>
      </c>
      <c r="C2845" s="1" t="s">
        <v>478</v>
      </c>
      <c r="D2845" s="1" t="s">
        <v>5496</v>
      </c>
      <c r="E2845" s="1" t="str">
        <f>"4235"</f>
        <v>4235</v>
      </c>
      <c r="F2845" s="1" t="str">
        <f>"014570031"</f>
        <v>014570031</v>
      </c>
      <c r="G2845" s="1" t="s">
        <v>5495</v>
      </c>
      <c r="H2845" s="1" t="s">
        <v>168</v>
      </c>
      <c r="I2845" s="1" t="str">
        <f>"1"</f>
        <v>1</v>
      </c>
      <c r="J2845" s="3">
        <v>208.12</v>
      </c>
      <c r="K2845" s="4">
        <v>46056</v>
      </c>
      <c r="L2845" s="4">
        <v>46057</v>
      </c>
      <c r="M2845" s="1" t="s">
        <v>4524</v>
      </c>
      <c r="N2845" s="1" t="s">
        <v>5494</v>
      </c>
    </row>
    <row r="2846" spans="1:14" s="1" customFormat="1" x14ac:dyDescent="0.35">
      <c r="A2846" s="1" t="s">
        <v>4492</v>
      </c>
      <c r="B2846" s="1" t="s">
        <v>435</v>
      </c>
      <c r="C2846" s="1" t="s">
        <v>478</v>
      </c>
      <c r="D2846" s="1" t="s">
        <v>5493</v>
      </c>
      <c r="E2846" s="1" t="str">
        <f>"4140"</f>
        <v>4140</v>
      </c>
      <c r="F2846" s="1" t="s">
        <v>131</v>
      </c>
      <c r="G2846" s="1" t="s">
        <v>132</v>
      </c>
      <c r="H2846" s="1" t="s">
        <v>15</v>
      </c>
      <c r="I2846" s="1" t="str">
        <f>"10"</f>
        <v>10</v>
      </c>
      <c r="J2846" s="3" t="str">
        <f>"525"</f>
        <v>525</v>
      </c>
      <c r="K2846" s="4">
        <v>46086</v>
      </c>
      <c r="L2846" s="4">
        <v>46090</v>
      </c>
      <c r="M2846" s="1" t="s">
        <v>5492</v>
      </c>
      <c r="N2846" s="1" t="s">
        <v>5491</v>
      </c>
    </row>
    <row r="2847" spans="1:14" s="1" customFormat="1" x14ac:dyDescent="0.35">
      <c r="A2847" s="1" t="s">
        <v>4492</v>
      </c>
      <c r="B2847" s="1" t="s">
        <v>435</v>
      </c>
      <c r="C2847" s="1" t="s">
        <v>478</v>
      </c>
      <c r="D2847" s="1" t="s">
        <v>5490</v>
      </c>
      <c r="E2847" s="1" t="str">
        <f>"6545"</f>
        <v>6545</v>
      </c>
      <c r="F2847" s="1" t="str">
        <f>"009221200"</f>
        <v>009221200</v>
      </c>
      <c r="G2847" s="1" t="s">
        <v>639</v>
      </c>
      <c r="H2847" s="1" t="s">
        <v>168</v>
      </c>
      <c r="I2847" s="1" t="str">
        <f>"7"</f>
        <v>7</v>
      </c>
      <c r="J2847" s="3">
        <v>77.010000000000005</v>
      </c>
      <c r="K2847" s="4">
        <v>46079</v>
      </c>
      <c r="L2847" s="4">
        <v>46088</v>
      </c>
      <c r="M2847" s="1" t="s">
        <v>5489</v>
      </c>
      <c r="N2847" s="1" t="s">
        <v>5488</v>
      </c>
    </row>
    <row r="2848" spans="1:14" s="1" customFormat="1" x14ac:dyDescent="0.35">
      <c r="A2848" s="1" t="s">
        <v>4492</v>
      </c>
      <c r="B2848" s="1" t="s">
        <v>435</v>
      </c>
      <c r="C2848" s="1" t="s">
        <v>478</v>
      </c>
      <c r="D2848" s="1" t="s">
        <v>5487</v>
      </c>
      <c r="E2848" s="1" t="str">
        <f>"8415"</f>
        <v>8415</v>
      </c>
      <c r="F2848" s="1" t="str">
        <f>"009261674"</f>
        <v>009261674</v>
      </c>
      <c r="G2848" s="1" t="s">
        <v>681</v>
      </c>
      <c r="H2848" s="1" t="s">
        <v>47</v>
      </c>
      <c r="I2848" s="1" t="str">
        <f>"3"</f>
        <v>3</v>
      </c>
      <c r="J2848" s="3">
        <v>48.67</v>
      </c>
      <c r="K2848" s="4">
        <v>46084</v>
      </c>
      <c r="L2848" s="4">
        <v>46088</v>
      </c>
      <c r="M2848" s="1" t="s">
        <v>5486</v>
      </c>
      <c r="N2848" s="1" t="s">
        <v>5485</v>
      </c>
    </row>
    <row r="2849" spans="1:14" s="1" customFormat="1" x14ac:dyDescent="0.35">
      <c r="A2849" s="1" t="s">
        <v>4492</v>
      </c>
      <c r="B2849" s="1" t="s">
        <v>435</v>
      </c>
      <c r="C2849" s="1" t="s">
        <v>478</v>
      </c>
      <c r="D2849" s="1" t="s">
        <v>5484</v>
      </c>
      <c r="E2849" s="1" t="str">
        <f>"3825"</f>
        <v>3825</v>
      </c>
      <c r="F2849" s="1" t="str">
        <f>"014312407"</f>
        <v>014312407</v>
      </c>
      <c r="G2849" s="1" t="s">
        <v>490</v>
      </c>
      <c r="H2849" s="1" t="s">
        <v>15</v>
      </c>
      <c r="I2849" s="1" t="str">
        <f>"1"</f>
        <v>1</v>
      </c>
      <c r="J2849" s="3">
        <v>949.86</v>
      </c>
      <c r="K2849" s="4">
        <v>46084</v>
      </c>
      <c r="L2849" s="4">
        <v>46085</v>
      </c>
      <c r="M2849" s="1" t="s">
        <v>4524</v>
      </c>
      <c r="N2849" s="1" t="s">
        <v>5483</v>
      </c>
    </row>
    <row r="2850" spans="1:14" s="1" customFormat="1" x14ac:dyDescent="0.35">
      <c r="A2850" s="1" t="s">
        <v>4492</v>
      </c>
      <c r="B2850" s="1" t="s">
        <v>435</v>
      </c>
      <c r="C2850" s="1" t="s">
        <v>478</v>
      </c>
      <c r="D2850" s="1" t="s">
        <v>5482</v>
      </c>
      <c r="E2850" s="1" t="str">
        <f>"7310"</f>
        <v>7310</v>
      </c>
      <c r="F2850" s="1" t="str">
        <f>"013871305"</f>
        <v>013871305</v>
      </c>
      <c r="G2850" s="1" t="s">
        <v>5481</v>
      </c>
      <c r="H2850" s="1" t="s">
        <v>15</v>
      </c>
      <c r="I2850" s="1" t="str">
        <f>"4"</f>
        <v>4</v>
      </c>
      <c r="J2850" s="3" t="str">
        <f>"2164"</f>
        <v>2164</v>
      </c>
      <c r="K2850" s="4">
        <v>46092</v>
      </c>
      <c r="L2850" s="4">
        <v>46111</v>
      </c>
      <c r="M2850" s="1" t="s">
        <v>5480</v>
      </c>
      <c r="N2850" s="1" t="s">
        <v>5479</v>
      </c>
    </row>
    <row r="2851" spans="1:14" s="1" customFormat="1" x14ac:dyDescent="0.35">
      <c r="A2851" s="1" t="s">
        <v>4492</v>
      </c>
      <c r="B2851" s="1" t="s">
        <v>435</v>
      </c>
      <c r="C2851" s="1" t="s">
        <v>478</v>
      </c>
      <c r="D2851" s="1" t="s">
        <v>5478</v>
      </c>
      <c r="E2851" s="1" t="str">
        <f>"7830"</f>
        <v>7830</v>
      </c>
      <c r="F2851" s="1" t="str">
        <f>"011274181"</f>
        <v>011274181</v>
      </c>
      <c r="G2851" s="1" t="s">
        <v>5477</v>
      </c>
      <c r="H2851" s="1" t="s">
        <v>15</v>
      </c>
      <c r="I2851" s="1" t="str">
        <f>"2"</f>
        <v>2</v>
      </c>
      <c r="J2851" s="3">
        <v>13577.38</v>
      </c>
      <c r="K2851" s="4">
        <v>46097</v>
      </c>
      <c r="L2851" s="4">
        <v>46107</v>
      </c>
      <c r="M2851" s="1" t="s">
        <v>5476</v>
      </c>
      <c r="N2851" s="1" t="s">
        <v>5475</v>
      </c>
    </row>
    <row r="2852" spans="1:14" s="1" customFormat="1" x14ac:dyDescent="0.35">
      <c r="A2852" s="1" t="s">
        <v>4492</v>
      </c>
      <c r="B2852" s="1" t="s">
        <v>435</v>
      </c>
      <c r="C2852" s="1" t="s">
        <v>478</v>
      </c>
      <c r="D2852" s="1" t="s">
        <v>5474</v>
      </c>
      <c r="E2852" s="1" t="str">
        <f>"4240"</f>
        <v>4240</v>
      </c>
      <c r="F2852" s="1" t="str">
        <f>"016077512"</f>
        <v>016077512</v>
      </c>
      <c r="G2852" s="1" t="s">
        <v>4557</v>
      </c>
      <c r="H2852" s="1" t="s">
        <v>15</v>
      </c>
      <c r="I2852" s="1" t="str">
        <f>"22"</f>
        <v>22</v>
      </c>
      <c r="J2852" s="3">
        <v>53.51</v>
      </c>
      <c r="K2852" s="4">
        <v>46100</v>
      </c>
      <c r="L2852" s="4">
        <v>46107</v>
      </c>
      <c r="M2852" s="1" t="s">
        <v>5473</v>
      </c>
      <c r="N2852" s="1" t="s">
        <v>5472</v>
      </c>
    </row>
    <row r="2853" spans="1:14" s="1" customFormat="1" x14ac:dyDescent="0.35">
      <c r="A2853" s="1" t="s">
        <v>4492</v>
      </c>
      <c r="B2853" s="1" t="s">
        <v>3356</v>
      </c>
      <c r="C2853" s="1" t="s">
        <v>5453</v>
      </c>
      <c r="D2853" s="1" t="s">
        <v>5471</v>
      </c>
      <c r="E2853" s="1" t="str">
        <f>"2310"</f>
        <v>2310</v>
      </c>
      <c r="F2853" s="1" t="str">
        <f>"016231545"</f>
        <v>016231545</v>
      </c>
      <c r="G2853" s="1" t="s">
        <v>232</v>
      </c>
      <c r="H2853" s="1" t="s">
        <v>15</v>
      </c>
      <c r="I2853" s="1" t="str">
        <f>"1"</f>
        <v>1</v>
      </c>
      <c r="J2853" s="3" t="str">
        <f>"32000"</f>
        <v>32000</v>
      </c>
      <c r="K2853" s="4">
        <v>45927</v>
      </c>
      <c r="L2853" s="4">
        <v>46026</v>
      </c>
      <c r="M2853" s="1" t="s">
        <v>5470</v>
      </c>
      <c r="N2853" s="1" t="s">
        <v>5469</v>
      </c>
    </row>
    <row r="2854" spans="1:14" s="1" customFormat="1" x14ac:dyDescent="0.35">
      <c r="A2854" s="1" t="s">
        <v>4492</v>
      </c>
      <c r="B2854" s="1" t="s">
        <v>3356</v>
      </c>
      <c r="C2854" s="1" t="s">
        <v>5453</v>
      </c>
      <c r="D2854" s="1" t="s">
        <v>5468</v>
      </c>
      <c r="E2854" s="1" t="str">
        <f>"2320"</f>
        <v>2320</v>
      </c>
      <c r="F2854" s="1" t="str">
        <f>"011644815"</f>
        <v>011644815</v>
      </c>
      <c r="G2854" s="1" t="s">
        <v>930</v>
      </c>
      <c r="H2854" s="1" t="s">
        <v>15</v>
      </c>
      <c r="I2854" s="1" t="str">
        <f>"1"</f>
        <v>1</v>
      </c>
      <c r="J2854" s="3" t="str">
        <f>"5000"</f>
        <v>5000</v>
      </c>
      <c r="K2854" s="4">
        <v>45973</v>
      </c>
      <c r="L2854" s="4">
        <v>46031</v>
      </c>
      <c r="M2854" s="1" t="s">
        <v>5467</v>
      </c>
      <c r="N2854" s="1" t="s">
        <v>5466</v>
      </c>
    </row>
    <row r="2855" spans="1:14" s="1" customFormat="1" x14ac:dyDescent="0.35">
      <c r="A2855" s="1" t="s">
        <v>4492</v>
      </c>
      <c r="B2855" s="1" t="s">
        <v>3356</v>
      </c>
      <c r="C2855" s="1" t="s">
        <v>5453</v>
      </c>
      <c r="D2855" s="1" t="s">
        <v>5465</v>
      </c>
      <c r="E2855" s="1" t="str">
        <f>"2340"</f>
        <v>2340</v>
      </c>
      <c r="F2855" s="1" t="str">
        <f>"016495368"</f>
        <v>016495368</v>
      </c>
      <c r="G2855" s="1" t="s">
        <v>1926</v>
      </c>
      <c r="H2855" s="1" t="s">
        <v>15</v>
      </c>
      <c r="I2855" s="1" t="str">
        <f>"2"</f>
        <v>2</v>
      </c>
      <c r="J2855" s="3" t="str">
        <f>"34900"</f>
        <v>34900</v>
      </c>
      <c r="K2855" s="4">
        <v>45973</v>
      </c>
      <c r="L2855" s="4">
        <v>46031</v>
      </c>
      <c r="M2855" s="1" t="s">
        <v>5464</v>
      </c>
      <c r="N2855" s="1" t="s">
        <v>5463</v>
      </c>
    </row>
    <row r="2856" spans="1:14" s="1" customFormat="1" x14ac:dyDescent="0.35">
      <c r="A2856" s="1" t="s">
        <v>4492</v>
      </c>
      <c r="B2856" s="1" t="s">
        <v>3356</v>
      </c>
      <c r="C2856" s="1" t="s">
        <v>5453</v>
      </c>
      <c r="D2856" s="1" t="s">
        <v>5462</v>
      </c>
      <c r="E2856" s="1" t="str">
        <f>"2310"</f>
        <v>2310</v>
      </c>
      <c r="F2856" s="1" t="str">
        <f>"016231545"</f>
        <v>016231545</v>
      </c>
      <c r="G2856" s="1" t="s">
        <v>232</v>
      </c>
      <c r="H2856" s="1" t="s">
        <v>15</v>
      </c>
      <c r="I2856" s="1" t="str">
        <f>"1"</f>
        <v>1</v>
      </c>
      <c r="J2856" s="3" t="str">
        <f>"32000"</f>
        <v>32000</v>
      </c>
      <c r="K2856" s="4">
        <v>46026</v>
      </c>
      <c r="L2856" s="4">
        <v>46027</v>
      </c>
      <c r="M2856" s="1" t="s">
        <v>5461</v>
      </c>
      <c r="N2856" s="1" t="s">
        <v>5460</v>
      </c>
    </row>
    <row r="2857" spans="1:14" s="1" customFormat="1" x14ac:dyDescent="0.35">
      <c r="A2857" s="1" t="s">
        <v>4492</v>
      </c>
      <c r="B2857" s="1" t="s">
        <v>3356</v>
      </c>
      <c r="C2857" s="1" t="s">
        <v>5453</v>
      </c>
      <c r="D2857" s="1" t="s">
        <v>5459</v>
      </c>
      <c r="E2857" s="1" t="str">
        <f>"2340"</f>
        <v>2340</v>
      </c>
      <c r="F2857" s="1" t="str">
        <f>"016495368"</f>
        <v>016495368</v>
      </c>
      <c r="G2857" s="1" t="s">
        <v>1926</v>
      </c>
      <c r="H2857" s="1" t="s">
        <v>15</v>
      </c>
      <c r="I2857" s="1" t="str">
        <f>"2"</f>
        <v>2</v>
      </c>
      <c r="J2857" s="3" t="str">
        <f>"34900"</f>
        <v>34900</v>
      </c>
      <c r="K2857" s="4">
        <v>46032</v>
      </c>
      <c r="L2857" s="4">
        <v>46039</v>
      </c>
      <c r="M2857" s="1" t="s">
        <v>5458</v>
      </c>
      <c r="N2857" s="1" t="s">
        <v>5457</v>
      </c>
    </row>
    <row r="2858" spans="1:14" s="1" customFormat="1" x14ac:dyDescent="0.35">
      <c r="A2858" s="1" t="s">
        <v>4492</v>
      </c>
      <c r="B2858" s="1" t="s">
        <v>3356</v>
      </c>
      <c r="C2858" s="1" t="s">
        <v>5453</v>
      </c>
      <c r="D2858" s="1" t="s">
        <v>5456</v>
      </c>
      <c r="E2858" s="1" t="str">
        <f>"2320"</f>
        <v>2320</v>
      </c>
      <c r="F2858" s="1" t="str">
        <f>"011644815"</f>
        <v>011644815</v>
      </c>
      <c r="G2858" s="1" t="s">
        <v>930</v>
      </c>
      <c r="H2858" s="1" t="s">
        <v>15</v>
      </c>
      <c r="I2858" s="1" t="str">
        <f>"1"</f>
        <v>1</v>
      </c>
      <c r="J2858" s="3" t="str">
        <f>"5000"</f>
        <v>5000</v>
      </c>
      <c r="K2858" s="4">
        <v>46032</v>
      </c>
      <c r="L2858" s="4">
        <v>46039</v>
      </c>
      <c r="M2858" s="1" t="s">
        <v>5455</v>
      </c>
      <c r="N2858" s="1" t="s">
        <v>5454</v>
      </c>
    </row>
    <row r="2859" spans="1:14" s="1" customFormat="1" x14ac:dyDescent="0.35">
      <c r="A2859" s="1" t="s">
        <v>4492</v>
      </c>
      <c r="B2859" s="1" t="s">
        <v>3356</v>
      </c>
      <c r="C2859" s="1" t="s">
        <v>5453</v>
      </c>
      <c r="D2859" s="1" t="s">
        <v>5452</v>
      </c>
      <c r="E2859" s="1" t="str">
        <f>"2310"</f>
        <v>2310</v>
      </c>
      <c r="F2859" s="1" t="str">
        <f>"016231545"</f>
        <v>016231545</v>
      </c>
      <c r="G2859" s="1" t="s">
        <v>232</v>
      </c>
      <c r="H2859" s="1" t="s">
        <v>15</v>
      </c>
      <c r="I2859" s="1" t="str">
        <f>"1"</f>
        <v>1</v>
      </c>
      <c r="J2859" s="3" t="str">
        <f>"32000"</f>
        <v>32000</v>
      </c>
      <c r="K2859" s="4">
        <v>46032</v>
      </c>
      <c r="L2859" s="4">
        <v>46092</v>
      </c>
      <c r="M2859" s="1" t="s">
        <v>5451</v>
      </c>
      <c r="N2859" s="1" t="s">
        <v>5450</v>
      </c>
    </row>
    <row r="2860" spans="1:14" s="1" customFormat="1" x14ac:dyDescent="0.35">
      <c r="A2860" s="1" t="s">
        <v>4492</v>
      </c>
      <c r="B2860" s="1" t="s">
        <v>3356</v>
      </c>
      <c r="C2860" s="1" t="s">
        <v>5414</v>
      </c>
      <c r="D2860" s="1" t="s">
        <v>5449</v>
      </c>
      <c r="E2860" s="1" t="str">
        <f>"7105"</f>
        <v>7105</v>
      </c>
      <c r="F2860" s="1" t="s">
        <v>5448</v>
      </c>
      <c r="G2860" s="1" t="s">
        <v>5447</v>
      </c>
      <c r="H2860" s="1" t="s">
        <v>15</v>
      </c>
      <c r="I2860" s="1" t="str">
        <f>"1"</f>
        <v>1</v>
      </c>
      <c r="J2860" s="3" t="str">
        <f>"1904"</f>
        <v>1904</v>
      </c>
      <c r="K2860" s="4">
        <v>46028</v>
      </c>
      <c r="L2860" s="4">
        <v>46030</v>
      </c>
      <c r="M2860" s="1" t="s">
        <v>5446</v>
      </c>
      <c r="N2860" s="1" t="s">
        <v>5445</v>
      </c>
    </row>
    <row r="2861" spans="1:14" s="1" customFormat="1" x14ac:dyDescent="0.35">
      <c r="A2861" s="1" t="s">
        <v>4492</v>
      </c>
      <c r="B2861" s="1" t="s">
        <v>3356</v>
      </c>
      <c r="C2861" s="1" t="s">
        <v>5414</v>
      </c>
      <c r="D2861" s="1" t="s">
        <v>5444</v>
      </c>
      <c r="E2861" s="1" t="str">
        <f>"5130"</f>
        <v>5130</v>
      </c>
      <c r="F2861" s="1" t="str">
        <f>"001341207"</f>
        <v>001341207</v>
      </c>
      <c r="G2861" s="1" t="s">
        <v>5443</v>
      </c>
      <c r="H2861" s="1" t="s">
        <v>15</v>
      </c>
      <c r="I2861" s="1" t="str">
        <f>"1"</f>
        <v>1</v>
      </c>
      <c r="J2861" s="3">
        <v>2938.05</v>
      </c>
      <c r="K2861" s="4">
        <v>46028</v>
      </c>
      <c r="L2861" s="4">
        <v>46034</v>
      </c>
      <c r="M2861" s="1" t="s">
        <v>5442</v>
      </c>
      <c r="N2861" s="1" t="s">
        <v>5441</v>
      </c>
    </row>
    <row r="2862" spans="1:14" s="1" customFormat="1" x14ac:dyDescent="0.35">
      <c r="A2862" s="1" t="s">
        <v>4492</v>
      </c>
      <c r="B2862" s="1" t="s">
        <v>3356</v>
      </c>
      <c r="C2862" s="1" t="s">
        <v>5414</v>
      </c>
      <c r="D2862" s="1" t="s">
        <v>5440</v>
      </c>
      <c r="E2862" s="1" t="str">
        <f>"2340"</f>
        <v>2340</v>
      </c>
      <c r="F2862" s="1" t="s">
        <v>2469</v>
      </c>
      <c r="G2862" s="1" t="s">
        <v>2470</v>
      </c>
      <c r="H2862" s="1" t="s">
        <v>15</v>
      </c>
      <c r="I2862" s="1" t="str">
        <f>"1"</f>
        <v>1</v>
      </c>
      <c r="J2862" s="3">
        <v>13213.65</v>
      </c>
      <c r="K2862" s="4">
        <v>46028</v>
      </c>
      <c r="L2862" s="4">
        <v>46039</v>
      </c>
      <c r="M2862" s="1" t="s">
        <v>5439</v>
      </c>
      <c r="N2862" s="1" t="s">
        <v>5438</v>
      </c>
    </row>
    <row r="2863" spans="1:14" s="1" customFormat="1" x14ac:dyDescent="0.35">
      <c r="A2863" s="1" t="s">
        <v>4492</v>
      </c>
      <c r="B2863" s="1" t="s">
        <v>3356</v>
      </c>
      <c r="C2863" s="1" t="s">
        <v>5414</v>
      </c>
      <c r="D2863" s="1" t="s">
        <v>5437</v>
      </c>
      <c r="E2863" s="1" t="str">
        <f>"8465"</f>
        <v>8465</v>
      </c>
      <c r="F2863" s="1" t="str">
        <f>"006418550"</f>
        <v>006418550</v>
      </c>
      <c r="G2863" s="1" t="s">
        <v>5436</v>
      </c>
      <c r="H2863" s="1" t="s">
        <v>15</v>
      </c>
      <c r="I2863" s="1" t="str">
        <f>"6"</f>
        <v>6</v>
      </c>
      <c r="J2863" s="3">
        <v>11.9</v>
      </c>
      <c r="K2863" s="4">
        <v>46028</v>
      </c>
      <c r="L2863" s="4">
        <v>46092</v>
      </c>
      <c r="M2863" s="1" t="s">
        <v>5435</v>
      </c>
      <c r="N2863" s="1" t="s">
        <v>5434</v>
      </c>
    </row>
    <row r="2864" spans="1:14" s="1" customFormat="1" x14ac:dyDescent="0.35">
      <c r="A2864" s="1" t="s">
        <v>4492</v>
      </c>
      <c r="B2864" s="1" t="s">
        <v>3356</v>
      </c>
      <c r="C2864" s="1" t="s">
        <v>5414</v>
      </c>
      <c r="D2864" s="1" t="s">
        <v>5433</v>
      </c>
      <c r="E2864" s="1" t="str">
        <f>"1005"</f>
        <v>1005</v>
      </c>
      <c r="F2864" s="1" t="str">
        <f>"015419956"</f>
        <v>015419956</v>
      </c>
      <c r="G2864" s="1" t="s">
        <v>5432</v>
      </c>
      <c r="H2864" s="1" t="s">
        <v>15</v>
      </c>
      <c r="I2864" s="1" t="str">
        <f>"1"</f>
        <v>1</v>
      </c>
      <c r="J2864" s="3" t="str">
        <f>"18352"</f>
        <v>18352</v>
      </c>
      <c r="K2864" s="4">
        <v>46028</v>
      </c>
      <c r="L2864" s="4">
        <v>46092</v>
      </c>
      <c r="M2864" s="1" t="s">
        <v>5431</v>
      </c>
      <c r="N2864" s="1" t="s">
        <v>5430</v>
      </c>
    </row>
    <row r="2865" spans="1:14" s="1" customFormat="1" x14ac:dyDescent="0.35">
      <c r="A2865" s="1" t="s">
        <v>4492</v>
      </c>
      <c r="B2865" s="1" t="s">
        <v>3356</v>
      </c>
      <c r="C2865" s="1" t="s">
        <v>5414</v>
      </c>
      <c r="D2865" s="1" t="s">
        <v>5429</v>
      </c>
      <c r="E2865" s="1" t="str">
        <f>"5660"</f>
        <v>5660</v>
      </c>
      <c r="F2865" s="1" t="s">
        <v>5428</v>
      </c>
      <c r="G2865" s="1" t="s">
        <v>5427</v>
      </c>
      <c r="H2865" s="1" t="s">
        <v>15</v>
      </c>
      <c r="I2865" s="1" t="str">
        <f>"1"</f>
        <v>1</v>
      </c>
      <c r="J2865" s="3" t="str">
        <f>"30"</f>
        <v>30</v>
      </c>
      <c r="K2865" s="4">
        <v>46028</v>
      </c>
      <c r="L2865" s="4">
        <v>46028</v>
      </c>
      <c r="N2865" s="1" t="s">
        <v>5426</v>
      </c>
    </row>
    <row r="2866" spans="1:14" s="1" customFormat="1" x14ac:dyDescent="0.35">
      <c r="A2866" s="1" t="s">
        <v>4492</v>
      </c>
      <c r="B2866" s="1" t="s">
        <v>3356</v>
      </c>
      <c r="C2866" s="1" t="s">
        <v>5414</v>
      </c>
      <c r="D2866" s="1" t="s">
        <v>5425</v>
      </c>
      <c r="E2866" s="1" t="str">
        <f>"3610"</f>
        <v>3610</v>
      </c>
      <c r="F2866" s="1" t="s">
        <v>2273</v>
      </c>
      <c r="G2866" s="1" t="s">
        <v>2274</v>
      </c>
      <c r="H2866" s="1" t="s">
        <v>15</v>
      </c>
      <c r="I2866" s="1" t="str">
        <f>"1"</f>
        <v>1</v>
      </c>
      <c r="J2866" s="3" t="str">
        <f>"13914"</f>
        <v>13914</v>
      </c>
      <c r="K2866" s="4">
        <v>46028</v>
      </c>
      <c r="L2866" s="4">
        <v>46092</v>
      </c>
      <c r="M2866" s="1" t="s">
        <v>5424</v>
      </c>
      <c r="N2866" s="1" t="s">
        <v>5423</v>
      </c>
    </row>
    <row r="2867" spans="1:14" s="1" customFormat="1" x14ac:dyDescent="0.35">
      <c r="A2867" s="1" t="s">
        <v>4492</v>
      </c>
      <c r="B2867" s="1" t="s">
        <v>3356</v>
      </c>
      <c r="C2867" s="1" t="s">
        <v>5414</v>
      </c>
      <c r="D2867" s="1" t="s">
        <v>5422</v>
      </c>
      <c r="E2867" s="1" t="str">
        <f>"4110"</f>
        <v>4110</v>
      </c>
      <c r="F2867" s="1" t="s">
        <v>1056</v>
      </c>
      <c r="G2867" s="1" t="s">
        <v>1057</v>
      </c>
      <c r="H2867" s="1" t="s">
        <v>15</v>
      </c>
      <c r="I2867" s="1" t="str">
        <f>"1"</f>
        <v>1</v>
      </c>
      <c r="J2867" s="3" t="str">
        <f>"100"</f>
        <v>100</v>
      </c>
      <c r="K2867" s="4">
        <v>46028</v>
      </c>
      <c r="L2867" s="4">
        <v>46037</v>
      </c>
      <c r="M2867" s="1" t="s">
        <v>5421</v>
      </c>
      <c r="N2867" s="1" t="s">
        <v>5420</v>
      </c>
    </row>
    <row r="2868" spans="1:14" s="1" customFormat="1" x14ac:dyDescent="0.35">
      <c r="A2868" s="1" t="s">
        <v>4492</v>
      </c>
      <c r="B2868" s="1" t="s">
        <v>3356</v>
      </c>
      <c r="C2868" s="1" t="s">
        <v>5414</v>
      </c>
      <c r="D2868" s="1" t="s">
        <v>5419</v>
      </c>
      <c r="E2868" s="1" t="str">
        <f>"4110"</f>
        <v>4110</v>
      </c>
      <c r="F2868" s="1" t="s">
        <v>5418</v>
      </c>
      <c r="G2868" s="1" t="s">
        <v>5417</v>
      </c>
      <c r="H2868" s="1" t="s">
        <v>15</v>
      </c>
      <c r="I2868" s="1" t="str">
        <f>"1"</f>
        <v>1</v>
      </c>
      <c r="J2868" s="3" t="str">
        <f>"300"</f>
        <v>300</v>
      </c>
      <c r="K2868" s="4">
        <v>46028</v>
      </c>
      <c r="L2868" s="4">
        <v>46092</v>
      </c>
      <c r="M2868" s="1" t="s">
        <v>5416</v>
      </c>
      <c r="N2868" s="1" t="s">
        <v>5415</v>
      </c>
    </row>
    <row r="2869" spans="1:14" s="1" customFormat="1" x14ac:dyDescent="0.35">
      <c r="A2869" s="1" t="s">
        <v>4492</v>
      </c>
      <c r="B2869" s="1" t="s">
        <v>3356</v>
      </c>
      <c r="C2869" s="1" t="s">
        <v>5414</v>
      </c>
      <c r="D2869" s="1" t="s">
        <v>5413</v>
      </c>
      <c r="E2869" s="1" t="str">
        <f>"2340"</f>
        <v>2340</v>
      </c>
      <c r="F2869" s="1" t="s">
        <v>1071</v>
      </c>
      <c r="G2869" s="1" t="s">
        <v>1072</v>
      </c>
      <c r="H2869" s="1" t="s">
        <v>15</v>
      </c>
      <c r="I2869" s="1" t="str">
        <f>"1"</f>
        <v>1</v>
      </c>
      <c r="J2869" s="3" t="str">
        <f>"10195"</f>
        <v>10195</v>
      </c>
      <c r="K2869" s="4">
        <v>46097</v>
      </c>
      <c r="L2869" s="4">
        <v>46099</v>
      </c>
      <c r="M2869" s="1" t="s">
        <v>5412</v>
      </c>
      <c r="N2869" s="1" t="s">
        <v>5411</v>
      </c>
    </row>
    <row r="2870" spans="1:14" s="1" customFormat="1" x14ac:dyDescent="0.35">
      <c r="A2870" s="1" t="s">
        <v>4492</v>
      </c>
      <c r="B2870" s="1" t="s">
        <v>319</v>
      </c>
      <c r="C2870" s="1" t="s">
        <v>370</v>
      </c>
      <c r="D2870" s="1" t="s">
        <v>5410</v>
      </c>
      <c r="E2870" s="1" t="str">
        <f>"8145"</f>
        <v>8145</v>
      </c>
      <c r="F2870" s="1" t="s">
        <v>2635</v>
      </c>
      <c r="G2870" s="1" t="s">
        <v>2636</v>
      </c>
      <c r="H2870" s="1" t="s">
        <v>15</v>
      </c>
      <c r="I2870" s="1" t="str">
        <f>"1"</f>
        <v>1</v>
      </c>
      <c r="J2870" s="3" t="str">
        <f>"7500"</f>
        <v>7500</v>
      </c>
      <c r="K2870" s="4">
        <v>46042</v>
      </c>
      <c r="L2870" s="4">
        <v>46055</v>
      </c>
      <c r="M2870" s="1" t="s">
        <v>5409</v>
      </c>
      <c r="N2870" s="1" t="s">
        <v>381</v>
      </c>
    </row>
    <row r="2871" spans="1:14" s="1" customFormat="1" x14ac:dyDescent="0.35">
      <c r="A2871" s="1" t="s">
        <v>4492</v>
      </c>
      <c r="B2871" s="1" t="s">
        <v>319</v>
      </c>
      <c r="C2871" s="1" t="s">
        <v>370</v>
      </c>
      <c r="D2871" s="1" t="s">
        <v>5408</v>
      </c>
      <c r="E2871" s="1" t="str">
        <f>"8145"</f>
        <v>8145</v>
      </c>
      <c r="F2871" s="1" t="str">
        <f>"015121201"</f>
        <v>015121201</v>
      </c>
      <c r="G2871" s="1" t="s">
        <v>5405</v>
      </c>
      <c r="H2871" s="1" t="s">
        <v>15</v>
      </c>
      <c r="I2871" s="1" t="str">
        <f>"1"</f>
        <v>1</v>
      </c>
      <c r="J2871" s="3">
        <v>19181.689999999999</v>
      </c>
      <c r="K2871" s="4">
        <v>46052</v>
      </c>
      <c r="L2871" s="4">
        <v>46058</v>
      </c>
      <c r="M2871" s="1" t="s">
        <v>5407</v>
      </c>
      <c r="N2871" s="1" t="s">
        <v>381</v>
      </c>
    </row>
    <row r="2872" spans="1:14" s="1" customFormat="1" x14ac:dyDescent="0.35">
      <c r="A2872" s="1" t="s">
        <v>4492</v>
      </c>
      <c r="B2872" s="1" t="s">
        <v>319</v>
      </c>
      <c r="C2872" s="1" t="s">
        <v>370</v>
      </c>
      <c r="D2872" s="1" t="s">
        <v>5406</v>
      </c>
      <c r="E2872" s="1" t="str">
        <f>"8145"</f>
        <v>8145</v>
      </c>
      <c r="F2872" s="1" t="str">
        <f>"015121201"</f>
        <v>015121201</v>
      </c>
      <c r="G2872" s="1" t="s">
        <v>5405</v>
      </c>
      <c r="H2872" s="1" t="s">
        <v>15</v>
      </c>
      <c r="I2872" s="1" t="str">
        <f>"1"</f>
        <v>1</v>
      </c>
      <c r="J2872" s="3">
        <v>19181.689999999999</v>
      </c>
      <c r="K2872" s="4">
        <v>46052</v>
      </c>
      <c r="L2872" s="4">
        <v>46058</v>
      </c>
      <c r="M2872" s="1" t="s">
        <v>5404</v>
      </c>
      <c r="N2872" s="1" t="s">
        <v>381</v>
      </c>
    </row>
    <row r="2873" spans="1:14" s="1" customFormat="1" x14ac:dyDescent="0.35">
      <c r="A2873" s="1" t="s">
        <v>4492</v>
      </c>
      <c r="B2873" s="1" t="s">
        <v>319</v>
      </c>
      <c r="C2873" s="1" t="s">
        <v>370</v>
      </c>
      <c r="D2873" s="1" t="s">
        <v>5403</v>
      </c>
      <c r="E2873" s="1" t="str">
        <f>"8145"</f>
        <v>8145</v>
      </c>
      <c r="F2873" s="1" t="s">
        <v>2635</v>
      </c>
      <c r="G2873" s="1" t="s">
        <v>2636</v>
      </c>
      <c r="H2873" s="1" t="s">
        <v>15</v>
      </c>
      <c r="I2873" s="1" t="str">
        <f>"1"</f>
        <v>1</v>
      </c>
      <c r="J2873" s="3" t="str">
        <f>"4350"</f>
        <v>4350</v>
      </c>
      <c r="K2873" s="4">
        <v>46068</v>
      </c>
      <c r="L2873" s="4">
        <v>46071</v>
      </c>
      <c r="M2873" s="1" t="s">
        <v>5402</v>
      </c>
      <c r="N2873" s="1" t="s">
        <v>381</v>
      </c>
    </row>
    <row r="2874" spans="1:14" s="1" customFormat="1" x14ac:dyDescent="0.35">
      <c r="A2874" s="1" t="s">
        <v>4492</v>
      </c>
      <c r="B2874" s="1" t="s">
        <v>319</v>
      </c>
      <c r="C2874" s="1" t="s">
        <v>370</v>
      </c>
      <c r="D2874" s="1" t="s">
        <v>5401</v>
      </c>
      <c r="E2874" s="1" t="str">
        <f>"8145"</f>
        <v>8145</v>
      </c>
      <c r="F2874" s="1" t="s">
        <v>2635</v>
      </c>
      <c r="G2874" s="1" t="s">
        <v>2636</v>
      </c>
      <c r="H2874" s="1" t="s">
        <v>15</v>
      </c>
      <c r="I2874" s="1" t="str">
        <f>"1"</f>
        <v>1</v>
      </c>
      <c r="J2874" s="3" t="str">
        <f>"4350"</f>
        <v>4350</v>
      </c>
      <c r="K2874" s="4">
        <v>46068</v>
      </c>
      <c r="L2874" s="4">
        <v>46071</v>
      </c>
      <c r="M2874" s="1" t="s">
        <v>4524</v>
      </c>
      <c r="N2874" s="1" t="s">
        <v>381</v>
      </c>
    </row>
    <row r="2875" spans="1:14" s="1" customFormat="1" x14ac:dyDescent="0.35">
      <c r="A2875" s="1" t="s">
        <v>4492</v>
      </c>
      <c r="B2875" s="1" t="s">
        <v>319</v>
      </c>
      <c r="C2875" s="1" t="s">
        <v>370</v>
      </c>
      <c r="D2875" s="1" t="s">
        <v>5400</v>
      </c>
      <c r="E2875" s="1" t="str">
        <f>"8145"</f>
        <v>8145</v>
      </c>
      <c r="F2875" s="1" t="s">
        <v>2635</v>
      </c>
      <c r="G2875" s="1" t="s">
        <v>2636</v>
      </c>
      <c r="H2875" s="1" t="s">
        <v>15</v>
      </c>
      <c r="I2875" s="1" t="str">
        <f>"1"</f>
        <v>1</v>
      </c>
      <c r="J2875" s="3" t="str">
        <f>"4350"</f>
        <v>4350</v>
      </c>
      <c r="K2875" s="4">
        <v>46068</v>
      </c>
      <c r="L2875" s="4">
        <v>46071</v>
      </c>
      <c r="M2875" s="1" t="s">
        <v>5399</v>
      </c>
      <c r="N2875" s="1" t="s">
        <v>381</v>
      </c>
    </row>
    <row r="2876" spans="1:14" s="1" customFormat="1" x14ac:dyDescent="0.35">
      <c r="A2876" s="1" t="s">
        <v>4492</v>
      </c>
      <c r="B2876" s="1" t="s">
        <v>319</v>
      </c>
      <c r="C2876" s="1" t="s">
        <v>370</v>
      </c>
      <c r="D2876" s="1" t="s">
        <v>5398</v>
      </c>
      <c r="E2876" s="1" t="str">
        <f>"8150"</f>
        <v>8150</v>
      </c>
      <c r="F2876" s="1" t="str">
        <f>"014638553"</f>
        <v>014638553</v>
      </c>
      <c r="G2876" s="1" t="s">
        <v>387</v>
      </c>
      <c r="H2876" s="1" t="s">
        <v>15</v>
      </c>
      <c r="I2876" s="1" t="str">
        <f>"2"</f>
        <v>2</v>
      </c>
      <c r="J2876" s="3">
        <v>9188.48</v>
      </c>
      <c r="K2876" s="4">
        <v>46077</v>
      </c>
      <c r="L2876" s="4">
        <v>46097</v>
      </c>
      <c r="M2876" s="1" t="s">
        <v>5397</v>
      </c>
      <c r="N2876" s="1" t="s">
        <v>5396</v>
      </c>
    </row>
    <row r="2877" spans="1:14" s="1" customFormat="1" x14ac:dyDescent="0.35">
      <c r="A2877" s="1" t="s">
        <v>4492</v>
      </c>
      <c r="B2877" s="1" t="s">
        <v>319</v>
      </c>
      <c r="C2877" s="1" t="s">
        <v>370</v>
      </c>
      <c r="D2877" s="1" t="s">
        <v>5395</v>
      </c>
      <c r="E2877" s="1" t="str">
        <f>"5180"</f>
        <v>5180</v>
      </c>
      <c r="F2877" s="1" t="str">
        <f>"016282373"</f>
        <v>016282373</v>
      </c>
      <c r="G2877" s="1" t="s">
        <v>322</v>
      </c>
      <c r="H2877" s="1" t="s">
        <v>168</v>
      </c>
      <c r="I2877" s="1" t="str">
        <f>"3"</f>
        <v>3</v>
      </c>
      <c r="J2877" s="3" t="str">
        <f>"6690"</f>
        <v>6690</v>
      </c>
      <c r="K2877" s="4">
        <v>46104</v>
      </c>
      <c r="L2877" s="4">
        <v>46109</v>
      </c>
      <c r="M2877" s="1" t="s">
        <v>5394</v>
      </c>
      <c r="N2877" s="1" t="s">
        <v>5393</v>
      </c>
    </row>
    <row r="2878" spans="1:14" s="1" customFormat="1" x14ac:dyDescent="0.35">
      <c r="A2878" s="1" t="s">
        <v>4492</v>
      </c>
      <c r="B2878" s="1" t="s">
        <v>1013</v>
      </c>
      <c r="C2878" s="1" t="s">
        <v>1091</v>
      </c>
      <c r="D2878" s="1" t="s">
        <v>5392</v>
      </c>
      <c r="E2878" s="1" t="str">
        <f>"2340"</f>
        <v>2340</v>
      </c>
      <c r="F2878" s="1" t="s">
        <v>1071</v>
      </c>
      <c r="G2878" s="1" t="s">
        <v>1072</v>
      </c>
      <c r="H2878" s="1" t="s">
        <v>15</v>
      </c>
      <c r="I2878" s="1" t="str">
        <f>"2"</f>
        <v>2</v>
      </c>
      <c r="J2878" s="3">
        <v>14227.95</v>
      </c>
      <c r="K2878" s="4">
        <v>46062</v>
      </c>
      <c r="L2878" s="4">
        <v>46063</v>
      </c>
      <c r="M2878" s="1" t="s">
        <v>5391</v>
      </c>
      <c r="N2878" s="1" t="s">
        <v>5390</v>
      </c>
    </row>
    <row r="2879" spans="1:14" s="1" customFormat="1" x14ac:dyDescent="0.35">
      <c r="A2879" s="1" t="s">
        <v>4492</v>
      </c>
      <c r="B2879" s="1" t="s">
        <v>4381</v>
      </c>
      <c r="C2879" s="1" t="s">
        <v>5388</v>
      </c>
      <c r="D2879" s="1" t="s">
        <v>5389</v>
      </c>
      <c r="E2879" s="1" t="str">
        <f>"2320"</f>
        <v>2320</v>
      </c>
      <c r="F2879" s="1" t="s">
        <v>4526</v>
      </c>
      <c r="G2879" s="1" t="s">
        <v>4525</v>
      </c>
      <c r="H2879" s="1" t="s">
        <v>15</v>
      </c>
      <c r="I2879" s="1" t="str">
        <f>"1"</f>
        <v>1</v>
      </c>
      <c r="J2879" s="3">
        <v>610434.26</v>
      </c>
      <c r="K2879" s="4">
        <v>46056</v>
      </c>
      <c r="L2879" s="4">
        <v>46056</v>
      </c>
      <c r="M2879" s="1" t="s">
        <v>4524</v>
      </c>
      <c r="N2879" s="1" t="s">
        <v>5386</v>
      </c>
    </row>
    <row r="2880" spans="1:14" s="1" customFormat="1" x14ac:dyDescent="0.35">
      <c r="A2880" s="1" t="s">
        <v>4492</v>
      </c>
      <c r="B2880" s="1" t="s">
        <v>4381</v>
      </c>
      <c r="C2880" s="1" t="s">
        <v>5388</v>
      </c>
      <c r="D2880" s="1" t="s">
        <v>5387</v>
      </c>
      <c r="E2880" s="1" t="str">
        <f>"2320"</f>
        <v>2320</v>
      </c>
      <c r="F2880" s="1" t="s">
        <v>4526</v>
      </c>
      <c r="G2880" s="1" t="s">
        <v>4525</v>
      </c>
      <c r="H2880" s="1" t="s">
        <v>15</v>
      </c>
      <c r="I2880" s="1" t="str">
        <f>"1"</f>
        <v>1</v>
      </c>
      <c r="J2880" s="3">
        <v>610434.26</v>
      </c>
      <c r="K2880" s="4">
        <v>46056</v>
      </c>
      <c r="L2880" s="4">
        <v>46056</v>
      </c>
      <c r="M2880" s="1" t="s">
        <v>4524</v>
      </c>
      <c r="N2880" s="1" t="s">
        <v>5386</v>
      </c>
    </row>
    <row r="2881" spans="1:14" s="1" customFormat="1" x14ac:dyDescent="0.35">
      <c r="A2881" s="1" t="s">
        <v>4492</v>
      </c>
      <c r="B2881" s="1" t="s">
        <v>2368</v>
      </c>
      <c r="C2881" s="1" t="s">
        <v>5383</v>
      </c>
      <c r="D2881" s="1" t="s">
        <v>5385</v>
      </c>
      <c r="E2881" s="1" t="str">
        <f>"5855"</f>
        <v>5855</v>
      </c>
      <c r="F2881" s="1" t="str">
        <f>"015295375"</f>
        <v>015295375</v>
      </c>
      <c r="G2881" s="1" t="s">
        <v>5381</v>
      </c>
      <c r="H2881" s="1" t="s">
        <v>15</v>
      </c>
      <c r="I2881" s="1" t="str">
        <f>"4"</f>
        <v>4</v>
      </c>
      <c r="J2881" s="3">
        <v>431.09</v>
      </c>
      <c r="K2881" s="4">
        <v>46029</v>
      </c>
      <c r="L2881" s="4">
        <v>46035</v>
      </c>
      <c r="M2881" s="1" t="s">
        <v>5384</v>
      </c>
      <c r="N2881" s="1" t="s">
        <v>5379</v>
      </c>
    </row>
    <row r="2882" spans="1:14" s="1" customFormat="1" x14ac:dyDescent="0.35">
      <c r="A2882" s="1" t="s">
        <v>4492</v>
      </c>
      <c r="B2882" s="1" t="s">
        <v>2368</v>
      </c>
      <c r="C2882" s="1" t="s">
        <v>5383</v>
      </c>
      <c r="D2882" s="1" t="s">
        <v>5382</v>
      </c>
      <c r="E2882" s="1" t="str">
        <f>"5855"</f>
        <v>5855</v>
      </c>
      <c r="F2882" s="1" t="str">
        <f>"015295375"</f>
        <v>015295375</v>
      </c>
      <c r="G2882" s="1" t="s">
        <v>5381</v>
      </c>
      <c r="H2882" s="1" t="s">
        <v>15</v>
      </c>
      <c r="I2882" s="1" t="str">
        <f>"4"</f>
        <v>4</v>
      </c>
      <c r="J2882" s="3">
        <v>431.09</v>
      </c>
      <c r="K2882" s="4">
        <v>46029</v>
      </c>
      <c r="L2882" s="4">
        <v>46035</v>
      </c>
      <c r="M2882" s="1" t="s">
        <v>5380</v>
      </c>
      <c r="N2882" s="1" t="s">
        <v>5379</v>
      </c>
    </row>
    <row r="2883" spans="1:14" s="1" customFormat="1" x14ac:dyDescent="0.35">
      <c r="A2883" s="1" t="s">
        <v>4492</v>
      </c>
      <c r="B2883" s="1" t="s">
        <v>1013</v>
      </c>
      <c r="C2883" s="1" t="s">
        <v>1095</v>
      </c>
      <c r="D2883" s="1" t="s">
        <v>5378</v>
      </c>
      <c r="E2883" s="1" t="str">
        <f>"6115"</f>
        <v>6115</v>
      </c>
      <c r="F2883" s="1" t="str">
        <f>"013134216"</f>
        <v>013134216</v>
      </c>
      <c r="G2883" s="1" t="s">
        <v>1218</v>
      </c>
      <c r="H2883" s="1" t="s">
        <v>15</v>
      </c>
      <c r="I2883" s="1" t="str">
        <f>"1"</f>
        <v>1</v>
      </c>
      <c r="J2883" s="3" t="str">
        <f>"33085"</f>
        <v>33085</v>
      </c>
      <c r="K2883" s="4">
        <v>46048</v>
      </c>
      <c r="L2883" s="4">
        <v>46108</v>
      </c>
      <c r="M2883" s="1" t="s">
        <v>5377</v>
      </c>
      <c r="N2883" s="1" t="s">
        <v>5376</v>
      </c>
    </row>
    <row r="2884" spans="1:14" s="1" customFormat="1" x14ac:dyDescent="0.35">
      <c r="A2884" s="1" t="s">
        <v>4492</v>
      </c>
      <c r="B2884" s="1" t="s">
        <v>2368</v>
      </c>
      <c r="C2884" s="1" t="s">
        <v>2575</v>
      </c>
      <c r="D2884" s="1" t="s">
        <v>5375</v>
      </c>
      <c r="E2884" s="1" t="str">
        <f>"6545"</f>
        <v>6545</v>
      </c>
      <c r="F2884" s="1" t="str">
        <f>"015392732"</f>
        <v>015392732</v>
      </c>
      <c r="G2884" s="1" t="s">
        <v>990</v>
      </c>
      <c r="H2884" s="1" t="s">
        <v>168</v>
      </c>
      <c r="I2884" s="1" t="str">
        <f>"1"</f>
        <v>1</v>
      </c>
      <c r="J2884" s="3">
        <v>446.17</v>
      </c>
      <c r="K2884" s="4">
        <v>46022</v>
      </c>
      <c r="L2884" s="4">
        <v>46044</v>
      </c>
      <c r="M2884" s="1" t="s">
        <v>5374</v>
      </c>
      <c r="N2884" s="1" t="s">
        <v>5369</v>
      </c>
    </row>
    <row r="2885" spans="1:14" s="1" customFormat="1" x14ac:dyDescent="0.35">
      <c r="A2885" s="1" t="s">
        <v>4492</v>
      </c>
      <c r="B2885" s="1" t="s">
        <v>2368</v>
      </c>
      <c r="C2885" s="1" t="s">
        <v>2575</v>
      </c>
      <c r="D2885" s="1" t="s">
        <v>5373</v>
      </c>
      <c r="E2885" s="1" t="str">
        <f>"6545"</f>
        <v>6545</v>
      </c>
      <c r="F2885" s="1" t="str">
        <f>"015300929"</f>
        <v>015300929</v>
      </c>
      <c r="G2885" s="1" t="s">
        <v>167</v>
      </c>
      <c r="H2885" s="1" t="s">
        <v>168</v>
      </c>
      <c r="I2885" s="1" t="str">
        <f>"6"</f>
        <v>6</v>
      </c>
      <c r="J2885" s="3">
        <v>48.71</v>
      </c>
      <c r="K2885" s="4">
        <v>46022</v>
      </c>
      <c r="L2885" s="4">
        <v>46044</v>
      </c>
      <c r="M2885" s="1" t="s">
        <v>5372</v>
      </c>
      <c r="N2885" s="1" t="s">
        <v>5369</v>
      </c>
    </row>
    <row r="2886" spans="1:14" s="1" customFormat="1" x14ac:dyDescent="0.35">
      <c r="A2886" s="1" t="s">
        <v>4492</v>
      </c>
      <c r="B2886" s="1" t="s">
        <v>2368</v>
      </c>
      <c r="C2886" s="1" t="s">
        <v>2575</v>
      </c>
      <c r="D2886" s="1" t="s">
        <v>5371</v>
      </c>
      <c r="E2886" s="1" t="str">
        <f>"6545"</f>
        <v>6545</v>
      </c>
      <c r="F2886" s="1" t="str">
        <f>"015841582"</f>
        <v>015841582</v>
      </c>
      <c r="G2886" s="1" t="s">
        <v>990</v>
      </c>
      <c r="H2886" s="1" t="s">
        <v>168</v>
      </c>
      <c r="I2886" s="1" t="str">
        <f>"1"</f>
        <v>1</v>
      </c>
      <c r="J2886" s="3">
        <v>103.24</v>
      </c>
      <c r="K2886" s="4">
        <v>46022</v>
      </c>
      <c r="L2886" s="4">
        <v>46044</v>
      </c>
      <c r="M2886" s="1" t="s">
        <v>5370</v>
      </c>
      <c r="N2886" s="1" t="s">
        <v>5369</v>
      </c>
    </row>
    <row r="2887" spans="1:14" s="1" customFormat="1" x14ac:dyDescent="0.35">
      <c r="A2887" s="1" t="s">
        <v>4492</v>
      </c>
      <c r="B2887" s="1" t="s">
        <v>2368</v>
      </c>
      <c r="C2887" s="1" t="s">
        <v>2575</v>
      </c>
      <c r="D2887" s="1" t="s">
        <v>5368</v>
      </c>
      <c r="E2887" s="1" t="str">
        <f>"6230"</f>
        <v>6230</v>
      </c>
      <c r="F2887" s="1" t="s">
        <v>3594</v>
      </c>
      <c r="G2887" s="1" t="s">
        <v>3595</v>
      </c>
      <c r="H2887" s="1" t="s">
        <v>15</v>
      </c>
      <c r="I2887" s="1" t="str">
        <f>"1"</f>
        <v>1</v>
      </c>
      <c r="J2887" s="3">
        <v>175.99</v>
      </c>
      <c r="K2887" s="4">
        <v>46022</v>
      </c>
      <c r="L2887" s="4">
        <v>46044</v>
      </c>
      <c r="M2887" s="1" t="s">
        <v>5367</v>
      </c>
      <c r="N2887" s="1" t="s">
        <v>5366</v>
      </c>
    </row>
    <row r="2888" spans="1:14" s="1" customFormat="1" x14ac:dyDescent="0.35">
      <c r="A2888" s="1" t="s">
        <v>4492</v>
      </c>
      <c r="B2888" s="1" t="s">
        <v>2368</v>
      </c>
      <c r="C2888" s="1" t="s">
        <v>2575</v>
      </c>
      <c r="D2888" s="1" t="s">
        <v>5365</v>
      </c>
      <c r="E2888" s="1" t="str">
        <f>"1240"</f>
        <v>1240</v>
      </c>
      <c r="F2888" s="1" t="str">
        <f>"014111265"</f>
        <v>014111265</v>
      </c>
      <c r="G2888" s="1" t="s">
        <v>71</v>
      </c>
      <c r="H2888" s="1" t="s">
        <v>15</v>
      </c>
      <c r="I2888" s="1" t="str">
        <f>"5"</f>
        <v>5</v>
      </c>
      <c r="J2888" s="3" t="str">
        <f>"339"</f>
        <v>339</v>
      </c>
      <c r="K2888" s="4">
        <v>46022</v>
      </c>
      <c r="L2888" s="4">
        <v>46028</v>
      </c>
      <c r="M2888" s="1" t="s">
        <v>5364</v>
      </c>
      <c r="N2888" s="1" t="s">
        <v>2577</v>
      </c>
    </row>
    <row r="2889" spans="1:14" s="1" customFormat="1" x14ac:dyDescent="0.35">
      <c r="A2889" s="1" t="s">
        <v>4492</v>
      </c>
      <c r="B2889" s="1" t="s">
        <v>2368</v>
      </c>
      <c r="C2889" s="1" t="s">
        <v>2575</v>
      </c>
      <c r="D2889" s="1" t="s">
        <v>5363</v>
      </c>
      <c r="E2889" s="1" t="str">
        <f>"1240"</f>
        <v>1240</v>
      </c>
      <c r="F2889" s="1" t="str">
        <f>"014111265"</f>
        <v>014111265</v>
      </c>
      <c r="G2889" s="1" t="s">
        <v>71</v>
      </c>
      <c r="H2889" s="1" t="s">
        <v>15</v>
      </c>
      <c r="I2889" s="1" t="str">
        <f>"2"</f>
        <v>2</v>
      </c>
      <c r="J2889" s="3" t="str">
        <f>"339"</f>
        <v>339</v>
      </c>
      <c r="K2889" s="4">
        <v>46022</v>
      </c>
      <c r="L2889" s="4">
        <v>46029</v>
      </c>
      <c r="M2889" s="1" t="s">
        <v>5362</v>
      </c>
      <c r="N2889" s="1" t="s">
        <v>2577</v>
      </c>
    </row>
    <row r="2890" spans="1:14" s="1" customFormat="1" x14ac:dyDescent="0.35">
      <c r="A2890" s="1" t="s">
        <v>4492</v>
      </c>
      <c r="B2890" s="1" t="s">
        <v>2368</v>
      </c>
      <c r="C2890" s="1" t="s">
        <v>2575</v>
      </c>
      <c r="D2890" s="1" t="s">
        <v>5361</v>
      </c>
      <c r="E2890" s="1" t="str">
        <f>"1240"</f>
        <v>1240</v>
      </c>
      <c r="F2890" s="1" t="str">
        <f>"014111265"</f>
        <v>014111265</v>
      </c>
      <c r="G2890" s="1" t="s">
        <v>71</v>
      </c>
      <c r="H2890" s="1" t="s">
        <v>15</v>
      </c>
      <c r="I2890" s="1" t="str">
        <f>"7"</f>
        <v>7</v>
      </c>
      <c r="J2890" s="3" t="str">
        <f>"339"</f>
        <v>339</v>
      </c>
      <c r="K2890" s="4">
        <v>46022</v>
      </c>
      <c r="L2890" s="4">
        <v>46028</v>
      </c>
      <c r="M2890" s="1" t="s">
        <v>5360</v>
      </c>
      <c r="N2890" s="1" t="s">
        <v>2577</v>
      </c>
    </row>
    <row r="2891" spans="1:14" s="1" customFormat="1" x14ac:dyDescent="0.35">
      <c r="A2891" s="1" t="s">
        <v>4492</v>
      </c>
      <c r="B2891" s="1" t="s">
        <v>2368</v>
      </c>
      <c r="C2891" s="1" t="s">
        <v>2575</v>
      </c>
      <c r="D2891" s="1" t="s">
        <v>5359</v>
      </c>
      <c r="E2891" s="1" t="str">
        <f>"1240"</f>
        <v>1240</v>
      </c>
      <c r="F2891" s="1" t="str">
        <f>"014847213"</f>
        <v>014847213</v>
      </c>
      <c r="G2891" s="1" t="s">
        <v>4579</v>
      </c>
      <c r="H2891" s="1" t="s">
        <v>15</v>
      </c>
      <c r="I2891" s="1" t="str">
        <f>"2"</f>
        <v>2</v>
      </c>
      <c r="J2891" s="3">
        <v>606.83000000000004</v>
      </c>
      <c r="K2891" s="4">
        <v>46084</v>
      </c>
      <c r="L2891" s="4">
        <v>46097</v>
      </c>
      <c r="M2891" s="1" t="s">
        <v>5358</v>
      </c>
      <c r="N2891" s="1" t="s">
        <v>5357</v>
      </c>
    </row>
    <row r="2892" spans="1:14" s="1" customFormat="1" x14ac:dyDescent="0.35">
      <c r="A2892" s="1" t="s">
        <v>4492</v>
      </c>
      <c r="B2892" s="1" t="s">
        <v>2368</v>
      </c>
      <c r="C2892" s="1" t="s">
        <v>2575</v>
      </c>
      <c r="D2892" s="1" t="s">
        <v>5356</v>
      </c>
      <c r="E2892" s="1" t="str">
        <f>"1240"</f>
        <v>1240</v>
      </c>
      <c r="F2892" s="1" t="str">
        <f>"014847213"</f>
        <v>014847213</v>
      </c>
      <c r="G2892" s="1" t="s">
        <v>4579</v>
      </c>
      <c r="H2892" s="1" t="s">
        <v>15</v>
      </c>
      <c r="I2892" s="1" t="str">
        <f>"2"</f>
        <v>2</v>
      </c>
      <c r="J2892" s="3">
        <v>606.83000000000004</v>
      </c>
      <c r="K2892" s="4">
        <v>46086</v>
      </c>
      <c r="L2892" s="4">
        <v>46088</v>
      </c>
      <c r="M2892" s="1" t="s">
        <v>5355</v>
      </c>
      <c r="N2892" s="1" t="s">
        <v>5354</v>
      </c>
    </row>
    <row r="2893" spans="1:14" s="1" customFormat="1" x14ac:dyDescent="0.35">
      <c r="A2893" s="1" t="s">
        <v>4492</v>
      </c>
      <c r="B2893" s="1" t="s">
        <v>2368</v>
      </c>
      <c r="C2893" s="1" t="s">
        <v>2575</v>
      </c>
      <c r="D2893" s="1" t="s">
        <v>5353</v>
      </c>
      <c r="E2893" s="1" t="str">
        <f>"1240"</f>
        <v>1240</v>
      </c>
      <c r="F2893" s="1" t="str">
        <f>"016520150"</f>
        <v>016520150</v>
      </c>
      <c r="G2893" s="1" t="s">
        <v>4579</v>
      </c>
      <c r="H2893" s="1" t="s">
        <v>15</v>
      </c>
      <c r="I2893" s="1" t="str">
        <f>"4"</f>
        <v>4</v>
      </c>
      <c r="J2893" s="3">
        <v>813.79</v>
      </c>
      <c r="K2893" s="4">
        <v>46083</v>
      </c>
      <c r="L2893" s="4">
        <v>46087</v>
      </c>
      <c r="M2893" s="1" t="s">
        <v>5352</v>
      </c>
      <c r="N2893" s="1" t="s">
        <v>5351</v>
      </c>
    </row>
    <row r="2894" spans="1:14" s="1" customFormat="1" x14ac:dyDescent="0.35">
      <c r="A2894" s="1" t="s">
        <v>4492</v>
      </c>
      <c r="B2894" s="1" t="s">
        <v>2368</v>
      </c>
      <c r="C2894" s="1" t="s">
        <v>2575</v>
      </c>
      <c r="D2894" s="1" t="s">
        <v>5350</v>
      </c>
      <c r="E2894" s="1" t="str">
        <f>"7830"</f>
        <v>7830</v>
      </c>
      <c r="F2894" s="1" t="s">
        <v>2008</v>
      </c>
      <c r="G2894" s="1" t="s">
        <v>2009</v>
      </c>
      <c r="H2894" s="1" t="s">
        <v>15</v>
      </c>
      <c r="I2894" s="1" t="str">
        <f>"1"</f>
        <v>1</v>
      </c>
      <c r="J2894" s="3" t="str">
        <f>"500"</f>
        <v>500</v>
      </c>
      <c r="K2894" s="4">
        <v>46094</v>
      </c>
      <c r="L2894" s="4">
        <v>46099</v>
      </c>
      <c r="M2894" s="1" t="s">
        <v>5349</v>
      </c>
      <c r="N2894" s="1" t="s">
        <v>5348</v>
      </c>
    </row>
    <row r="2895" spans="1:14" s="1" customFormat="1" x14ac:dyDescent="0.35">
      <c r="A2895" s="1" t="s">
        <v>4492</v>
      </c>
      <c r="B2895" s="1" t="s">
        <v>2368</v>
      </c>
      <c r="C2895" s="1" t="s">
        <v>2575</v>
      </c>
      <c r="D2895" s="1" t="s">
        <v>5347</v>
      </c>
      <c r="E2895" s="1" t="str">
        <f>"5965"</f>
        <v>5965</v>
      </c>
      <c r="F2895" s="1" t="str">
        <f>"016190258"</f>
        <v>016190258</v>
      </c>
      <c r="G2895" s="1" t="s">
        <v>209</v>
      </c>
      <c r="H2895" s="1" t="s">
        <v>15</v>
      </c>
      <c r="I2895" s="1" t="str">
        <f>"10"</f>
        <v>10</v>
      </c>
      <c r="J2895" s="3" t="str">
        <f>"3049"</f>
        <v>3049</v>
      </c>
      <c r="K2895" s="4">
        <v>46101</v>
      </c>
      <c r="L2895" s="4">
        <v>46102</v>
      </c>
      <c r="M2895" s="1" t="s">
        <v>4524</v>
      </c>
      <c r="N2895" s="1" t="s">
        <v>5346</v>
      </c>
    </row>
    <row r="2896" spans="1:14" s="1" customFormat="1" x14ac:dyDescent="0.35">
      <c r="A2896" s="1" t="s">
        <v>4492</v>
      </c>
      <c r="B2896" s="1" t="s">
        <v>2368</v>
      </c>
      <c r="C2896" s="1" t="s">
        <v>2575</v>
      </c>
      <c r="D2896" s="1" t="s">
        <v>5345</v>
      </c>
      <c r="E2896" s="1" t="str">
        <f>"6130"</f>
        <v>6130</v>
      </c>
      <c r="F2896" s="1" t="str">
        <f>"016485273"</f>
        <v>016485273</v>
      </c>
      <c r="G2896" s="1" t="s">
        <v>882</v>
      </c>
      <c r="H2896" s="1" t="s">
        <v>15</v>
      </c>
      <c r="I2896" s="1" t="str">
        <f>"4"</f>
        <v>4</v>
      </c>
      <c r="J2896" s="3">
        <v>397.58</v>
      </c>
      <c r="K2896" s="4">
        <v>46101</v>
      </c>
      <c r="L2896" s="4">
        <v>46102</v>
      </c>
      <c r="M2896" s="1" t="s">
        <v>4524</v>
      </c>
      <c r="N2896" s="1" t="s">
        <v>5344</v>
      </c>
    </row>
    <row r="2897" spans="1:14" s="1" customFormat="1" x14ac:dyDescent="0.35">
      <c r="A2897" s="1" t="s">
        <v>4492</v>
      </c>
      <c r="B2897" s="1" t="s">
        <v>73</v>
      </c>
      <c r="C2897" s="1" t="s">
        <v>5343</v>
      </c>
      <c r="D2897" s="1" t="s">
        <v>5342</v>
      </c>
      <c r="E2897" s="1" t="str">
        <f>"8465"</f>
        <v>8465</v>
      </c>
      <c r="F2897" s="1" t="str">
        <f>"009734807"</f>
        <v>009734807</v>
      </c>
      <c r="G2897" s="1" t="s">
        <v>3069</v>
      </c>
      <c r="H2897" s="1" t="s">
        <v>15</v>
      </c>
      <c r="I2897" s="1" t="str">
        <f>"10"</f>
        <v>10</v>
      </c>
      <c r="J2897" s="3">
        <v>91.05</v>
      </c>
      <c r="K2897" s="4">
        <v>46091</v>
      </c>
      <c r="L2897" s="4">
        <v>46103</v>
      </c>
      <c r="M2897" s="1" t="s">
        <v>5341</v>
      </c>
      <c r="N2897" s="1" t="s">
        <v>5340</v>
      </c>
    </row>
    <row r="2898" spans="1:14" s="1" customFormat="1" x14ac:dyDescent="0.35">
      <c r="A2898" s="1" t="s">
        <v>4492</v>
      </c>
      <c r="B2898" s="1" t="s">
        <v>4456</v>
      </c>
      <c r="C2898" s="1" t="s">
        <v>5339</v>
      </c>
      <c r="D2898" s="1" t="s">
        <v>5338</v>
      </c>
      <c r="E2898" s="1" t="str">
        <f>"1240"</f>
        <v>1240</v>
      </c>
      <c r="F2898" s="1" t="str">
        <f>"015403690"</f>
        <v>015403690</v>
      </c>
      <c r="G2898" s="1" t="s">
        <v>71</v>
      </c>
      <c r="H2898" s="1" t="s">
        <v>15</v>
      </c>
      <c r="I2898" s="1" t="str">
        <f>"5"</f>
        <v>5</v>
      </c>
      <c r="J2898" s="3" t="str">
        <f>"340"</f>
        <v>340</v>
      </c>
      <c r="K2898" s="4">
        <v>46084</v>
      </c>
      <c r="L2898" s="4">
        <v>46087</v>
      </c>
      <c r="M2898" s="1" t="s">
        <v>5337</v>
      </c>
      <c r="N2898" s="1" t="s">
        <v>5336</v>
      </c>
    </row>
    <row r="2899" spans="1:14" s="1" customFormat="1" x14ac:dyDescent="0.35">
      <c r="A2899" s="1" t="s">
        <v>4492</v>
      </c>
      <c r="B2899" s="1" t="s">
        <v>2368</v>
      </c>
      <c r="C2899" s="1" t="s">
        <v>5335</v>
      </c>
      <c r="D2899" s="1" t="s">
        <v>5334</v>
      </c>
      <c r="E2899" s="1" t="str">
        <f>"6515"</f>
        <v>6515</v>
      </c>
      <c r="F2899" s="1" t="str">
        <f>"015217976"</f>
        <v>015217976</v>
      </c>
      <c r="G2899" s="1" t="s">
        <v>2250</v>
      </c>
      <c r="H2899" s="1" t="s">
        <v>15</v>
      </c>
      <c r="I2899" s="1" t="str">
        <f>"9"</f>
        <v>9</v>
      </c>
      <c r="J2899" s="3">
        <v>31.1</v>
      </c>
      <c r="K2899" s="4">
        <v>46096</v>
      </c>
      <c r="L2899" s="4">
        <v>46097</v>
      </c>
      <c r="M2899" s="1" t="s">
        <v>4524</v>
      </c>
      <c r="N2899" s="1" t="s">
        <v>5333</v>
      </c>
    </row>
    <row r="2900" spans="1:14" s="1" customFormat="1" x14ac:dyDescent="0.35">
      <c r="A2900" s="1" t="s">
        <v>4492</v>
      </c>
      <c r="B2900" s="1" t="s">
        <v>3822</v>
      </c>
      <c r="C2900" s="1" t="s">
        <v>4202</v>
      </c>
      <c r="D2900" s="1" t="s">
        <v>5332</v>
      </c>
      <c r="E2900" s="1" t="str">
        <f>"6130"</f>
        <v>6130</v>
      </c>
      <c r="F2900" s="1" t="str">
        <f>"014952839"</f>
        <v>014952839</v>
      </c>
      <c r="G2900" s="1" t="s">
        <v>882</v>
      </c>
      <c r="H2900" s="1" t="s">
        <v>15</v>
      </c>
      <c r="I2900" s="1" t="str">
        <f>"3"</f>
        <v>3</v>
      </c>
      <c r="J2900" s="3" t="str">
        <f>"4393"</f>
        <v>4393</v>
      </c>
      <c r="K2900" s="4">
        <v>46014</v>
      </c>
      <c r="L2900" s="4">
        <v>46029</v>
      </c>
      <c r="M2900" s="1" t="s">
        <v>5331</v>
      </c>
      <c r="N2900" s="1" t="s">
        <v>5330</v>
      </c>
    </row>
    <row r="2901" spans="1:14" s="1" customFormat="1" x14ac:dyDescent="0.35">
      <c r="A2901" s="1" t="s">
        <v>4492</v>
      </c>
      <c r="B2901" s="1" t="s">
        <v>3822</v>
      </c>
      <c r="C2901" s="1" t="s">
        <v>4202</v>
      </c>
      <c r="D2901" s="1" t="s">
        <v>5329</v>
      </c>
      <c r="E2901" s="1" t="str">
        <f>"2320"</f>
        <v>2320</v>
      </c>
      <c r="F2901" s="1" t="str">
        <f>"013719583"</f>
        <v>013719583</v>
      </c>
      <c r="G2901" s="1" t="s">
        <v>1860</v>
      </c>
      <c r="H2901" s="1" t="s">
        <v>15</v>
      </c>
      <c r="I2901" s="1" t="str">
        <f>"1"</f>
        <v>1</v>
      </c>
      <c r="J2901" s="3" t="str">
        <f>"63682"</f>
        <v>63682</v>
      </c>
      <c r="K2901" s="4">
        <v>46032</v>
      </c>
      <c r="L2901" s="4">
        <v>46046</v>
      </c>
      <c r="M2901" s="1" t="s">
        <v>5328</v>
      </c>
      <c r="N2901" s="1" t="s">
        <v>5327</v>
      </c>
    </row>
    <row r="2902" spans="1:14" s="1" customFormat="1" x14ac:dyDescent="0.35">
      <c r="A2902" s="1" t="s">
        <v>4492</v>
      </c>
      <c r="B2902" s="1" t="s">
        <v>3822</v>
      </c>
      <c r="C2902" s="1" t="s">
        <v>4202</v>
      </c>
      <c r="D2902" s="1" t="s">
        <v>5326</v>
      </c>
      <c r="E2902" s="1" t="str">
        <f>"4120"</f>
        <v>4120</v>
      </c>
      <c r="F2902" s="1" t="str">
        <f>"013933717"</f>
        <v>013933717</v>
      </c>
      <c r="G2902" s="1" t="s">
        <v>1088</v>
      </c>
      <c r="H2902" s="1" t="s">
        <v>15</v>
      </c>
      <c r="I2902" s="1" t="str">
        <f>"1"</f>
        <v>1</v>
      </c>
      <c r="J2902" s="3">
        <v>2173.04</v>
      </c>
      <c r="K2902" s="4">
        <v>46053</v>
      </c>
      <c r="L2902" s="4">
        <v>46059</v>
      </c>
      <c r="M2902" s="1" t="s">
        <v>5325</v>
      </c>
      <c r="N2902" s="1" t="s">
        <v>5324</v>
      </c>
    </row>
    <row r="2903" spans="1:14" s="1" customFormat="1" x14ac:dyDescent="0.35">
      <c r="A2903" s="1" t="s">
        <v>4492</v>
      </c>
      <c r="B2903" s="1" t="s">
        <v>3822</v>
      </c>
      <c r="C2903" s="1" t="s">
        <v>4202</v>
      </c>
      <c r="D2903" s="1" t="s">
        <v>5323</v>
      </c>
      <c r="E2903" s="1" t="str">
        <f>"5130"</f>
        <v>5130</v>
      </c>
      <c r="F2903" s="1" t="str">
        <f>"015476397"</f>
        <v>015476397</v>
      </c>
      <c r="G2903" s="1" t="s">
        <v>376</v>
      </c>
      <c r="H2903" s="1" t="s">
        <v>15</v>
      </c>
      <c r="I2903" s="1" t="str">
        <f>"1"</f>
        <v>1</v>
      </c>
      <c r="J2903" s="3">
        <v>492.38</v>
      </c>
      <c r="K2903" s="4">
        <v>46053</v>
      </c>
      <c r="L2903" s="4">
        <v>46060</v>
      </c>
      <c r="M2903" s="1" t="s">
        <v>5322</v>
      </c>
      <c r="N2903" s="1" t="s">
        <v>5321</v>
      </c>
    </row>
    <row r="2904" spans="1:14" s="1" customFormat="1" x14ac:dyDescent="0.35">
      <c r="A2904" s="1" t="s">
        <v>4492</v>
      </c>
      <c r="B2904" s="1" t="s">
        <v>3822</v>
      </c>
      <c r="C2904" s="1" t="s">
        <v>4202</v>
      </c>
      <c r="D2904" s="1" t="s">
        <v>5320</v>
      </c>
      <c r="E2904" s="1" t="str">
        <f>"1005"</f>
        <v>1005</v>
      </c>
      <c r="F2904" s="1" t="str">
        <f>"016316502"</f>
        <v>016316502</v>
      </c>
      <c r="G2904" s="1" t="s">
        <v>2502</v>
      </c>
      <c r="H2904" s="1" t="s">
        <v>15</v>
      </c>
      <c r="I2904" s="1" t="str">
        <f>"7"</f>
        <v>7</v>
      </c>
      <c r="J2904" s="3">
        <v>1140.4100000000001</v>
      </c>
      <c r="K2904" s="4">
        <v>46056</v>
      </c>
      <c r="L2904" s="4">
        <v>46060</v>
      </c>
      <c r="M2904" s="1" t="s">
        <v>5319</v>
      </c>
      <c r="N2904" s="1" t="s">
        <v>5318</v>
      </c>
    </row>
    <row r="2905" spans="1:14" s="1" customFormat="1" x14ac:dyDescent="0.35">
      <c r="A2905" s="1" t="s">
        <v>4492</v>
      </c>
      <c r="B2905" s="1" t="s">
        <v>3822</v>
      </c>
      <c r="C2905" s="1" t="s">
        <v>4202</v>
      </c>
      <c r="D2905" s="1" t="s">
        <v>5317</v>
      </c>
      <c r="E2905" s="1" t="str">
        <f>"8115"</f>
        <v>8115</v>
      </c>
      <c r="F2905" s="1" t="str">
        <f>"001682275"</f>
        <v>001682275</v>
      </c>
      <c r="G2905" s="1" t="s">
        <v>431</v>
      </c>
      <c r="H2905" s="1" t="s">
        <v>15</v>
      </c>
      <c r="I2905" s="1" t="str">
        <f>"1"</f>
        <v>1</v>
      </c>
      <c r="J2905" s="3" t="str">
        <f>"1324"</f>
        <v>1324</v>
      </c>
      <c r="K2905" s="4">
        <v>46062</v>
      </c>
      <c r="L2905" s="4">
        <v>46065</v>
      </c>
      <c r="M2905" s="1" t="s">
        <v>5316</v>
      </c>
      <c r="N2905" s="1" t="s">
        <v>5315</v>
      </c>
    </row>
    <row r="2906" spans="1:14" s="1" customFormat="1" x14ac:dyDescent="0.35">
      <c r="A2906" s="1" t="s">
        <v>4492</v>
      </c>
      <c r="B2906" s="1" t="s">
        <v>388</v>
      </c>
      <c r="C2906" s="1" t="s">
        <v>399</v>
      </c>
      <c r="D2906" s="1" t="s">
        <v>5314</v>
      </c>
      <c r="E2906" s="1" t="str">
        <f>"8145"</f>
        <v>8145</v>
      </c>
      <c r="F2906" s="1" t="s">
        <v>4546</v>
      </c>
      <c r="G2906" s="1" t="s">
        <v>4545</v>
      </c>
      <c r="H2906" s="1" t="s">
        <v>15</v>
      </c>
      <c r="I2906" s="1" t="str">
        <f>"1"</f>
        <v>1</v>
      </c>
      <c r="J2906" s="3" t="str">
        <f>"635"</f>
        <v>635</v>
      </c>
      <c r="K2906" s="4">
        <v>46030</v>
      </c>
      <c r="L2906" s="4">
        <v>46031</v>
      </c>
      <c r="M2906" s="1" t="s">
        <v>4524</v>
      </c>
      <c r="N2906" s="1" t="s">
        <v>5313</v>
      </c>
    </row>
    <row r="2907" spans="1:14" s="1" customFormat="1" x14ac:dyDescent="0.35">
      <c r="A2907" s="1" t="s">
        <v>4492</v>
      </c>
      <c r="B2907" s="1" t="s">
        <v>388</v>
      </c>
      <c r="C2907" s="1" t="s">
        <v>399</v>
      </c>
      <c r="D2907" s="1" t="s">
        <v>5312</v>
      </c>
      <c r="E2907" s="1" t="str">
        <f>"8145"</f>
        <v>8145</v>
      </c>
      <c r="F2907" s="1" t="s">
        <v>2453</v>
      </c>
      <c r="G2907" s="1" t="s">
        <v>2454</v>
      </c>
      <c r="H2907" s="1" t="s">
        <v>15</v>
      </c>
      <c r="I2907" s="1" t="str">
        <f>"7"</f>
        <v>7</v>
      </c>
      <c r="J2907" s="3">
        <v>357.95</v>
      </c>
      <c r="K2907" s="4">
        <v>46044</v>
      </c>
      <c r="L2907" s="4">
        <v>46051</v>
      </c>
      <c r="M2907" s="1" t="s">
        <v>4524</v>
      </c>
      <c r="N2907" s="1" t="s">
        <v>5311</v>
      </c>
    </row>
    <row r="2908" spans="1:14" s="1" customFormat="1" x14ac:dyDescent="0.35">
      <c r="A2908" s="1" t="s">
        <v>4492</v>
      </c>
      <c r="B2908" s="1" t="s">
        <v>388</v>
      </c>
      <c r="C2908" s="1" t="s">
        <v>399</v>
      </c>
      <c r="D2908" s="1" t="s">
        <v>5310</v>
      </c>
      <c r="E2908" s="1" t="str">
        <f>"6665"</f>
        <v>6665</v>
      </c>
      <c r="F2908" s="1" t="str">
        <f>"219061023"</f>
        <v>219061023</v>
      </c>
      <c r="G2908" s="1" t="s">
        <v>408</v>
      </c>
      <c r="H2908" s="1" t="s">
        <v>15</v>
      </c>
      <c r="I2908" s="1" t="str">
        <f>"1"</f>
        <v>1</v>
      </c>
      <c r="J2908" s="3" t="str">
        <f>"2450"</f>
        <v>2450</v>
      </c>
      <c r="K2908" s="4">
        <v>46049</v>
      </c>
      <c r="L2908" s="4">
        <v>46060</v>
      </c>
      <c r="M2908" s="1" t="s">
        <v>5309</v>
      </c>
      <c r="N2908" s="1" t="s">
        <v>409</v>
      </c>
    </row>
    <row r="2909" spans="1:14" s="1" customFormat="1" x14ac:dyDescent="0.35">
      <c r="A2909" s="1" t="s">
        <v>4492</v>
      </c>
      <c r="B2909" s="1" t="s">
        <v>388</v>
      </c>
      <c r="C2909" s="1" t="s">
        <v>399</v>
      </c>
      <c r="D2909" s="1" t="s">
        <v>5308</v>
      </c>
      <c r="E2909" s="1" t="str">
        <f>"8345"</f>
        <v>8345</v>
      </c>
      <c r="F2909" s="1" t="str">
        <f>"002331782"</f>
        <v>002331782</v>
      </c>
      <c r="G2909" s="1" t="s">
        <v>5307</v>
      </c>
      <c r="H2909" s="1" t="s">
        <v>15</v>
      </c>
      <c r="I2909" s="1" t="str">
        <f>"10"</f>
        <v>10</v>
      </c>
      <c r="J2909" s="3">
        <v>300.25</v>
      </c>
      <c r="K2909" s="4">
        <v>46049</v>
      </c>
      <c r="L2909" s="4">
        <v>46057</v>
      </c>
      <c r="M2909" s="1" t="s">
        <v>5306</v>
      </c>
      <c r="N2909" s="1" t="s">
        <v>5305</v>
      </c>
    </row>
    <row r="2910" spans="1:14" s="1" customFormat="1" x14ac:dyDescent="0.35">
      <c r="A2910" s="1" t="s">
        <v>4492</v>
      </c>
      <c r="B2910" s="1" t="s">
        <v>388</v>
      </c>
      <c r="C2910" s="1" t="s">
        <v>399</v>
      </c>
      <c r="D2910" s="1" t="s">
        <v>5304</v>
      </c>
      <c r="E2910" s="1" t="str">
        <f>"8145"</f>
        <v>8145</v>
      </c>
      <c r="F2910" s="1" t="s">
        <v>2635</v>
      </c>
      <c r="G2910" s="1" t="s">
        <v>2636</v>
      </c>
      <c r="H2910" s="1" t="s">
        <v>15</v>
      </c>
      <c r="I2910" s="1" t="str">
        <f>"1"</f>
        <v>1</v>
      </c>
      <c r="J2910" s="3" t="str">
        <f>"13963"</f>
        <v>13963</v>
      </c>
      <c r="K2910" s="4">
        <v>46085</v>
      </c>
      <c r="L2910" s="4">
        <v>46087</v>
      </c>
      <c r="M2910" s="1" t="s">
        <v>5303</v>
      </c>
      <c r="N2910" s="1" t="s">
        <v>5296</v>
      </c>
    </row>
    <row r="2911" spans="1:14" s="1" customFormat="1" x14ac:dyDescent="0.35">
      <c r="A2911" s="1" t="s">
        <v>4492</v>
      </c>
      <c r="B2911" s="1" t="s">
        <v>388</v>
      </c>
      <c r="C2911" s="1" t="s">
        <v>399</v>
      </c>
      <c r="D2911" s="1" t="s">
        <v>5302</v>
      </c>
      <c r="E2911" s="1" t="str">
        <f>"8145"</f>
        <v>8145</v>
      </c>
      <c r="F2911" s="1" t="s">
        <v>2635</v>
      </c>
      <c r="G2911" s="1" t="s">
        <v>2636</v>
      </c>
      <c r="H2911" s="1" t="s">
        <v>15</v>
      </c>
      <c r="I2911" s="1" t="str">
        <f>"1"</f>
        <v>1</v>
      </c>
      <c r="J2911" s="3" t="str">
        <f>"13963"</f>
        <v>13963</v>
      </c>
      <c r="K2911" s="4">
        <v>46085</v>
      </c>
      <c r="L2911" s="4">
        <v>46087</v>
      </c>
      <c r="M2911" s="1" t="s">
        <v>5301</v>
      </c>
      <c r="N2911" s="1" t="s">
        <v>5296</v>
      </c>
    </row>
    <row r="2912" spans="1:14" s="1" customFormat="1" x14ac:dyDescent="0.35">
      <c r="A2912" s="1" t="s">
        <v>4492</v>
      </c>
      <c r="B2912" s="1" t="s">
        <v>388</v>
      </c>
      <c r="C2912" s="1" t="s">
        <v>399</v>
      </c>
      <c r="D2912" s="1" t="s">
        <v>5300</v>
      </c>
      <c r="E2912" s="1" t="str">
        <f>"8145"</f>
        <v>8145</v>
      </c>
      <c r="F2912" s="1" t="s">
        <v>2635</v>
      </c>
      <c r="G2912" s="1" t="s">
        <v>2636</v>
      </c>
      <c r="H2912" s="1" t="s">
        <v>15</v>
      </c>
      <c r="I2912" s="1" t="str">
        <f>"1"</f>
        <v>1</v>
      </c>
      <c r="J2912" s="3" t="str">
        <f>"13963"</f>
        <v>13963</v>
      </c>
      <c r="K2912" s="4">
        <v>46085</v>
      </c>
      <c r="L2912" s="4">
        <v>46087</v>
      </c>
      <c r="M2912" s="1" t="s">
        <v>5299</v>
      </c>
      <c r="N2912" s="1" t="s">
        <v>5296</v>
      </c>
    </row>
    <row r="2913" spans="1:14" s="1" customFormat="1" x14ac:dyDescent="0.35">
      <c r="A2913" s="1" t="s">
        <v>4492</v>
      </c>
      <c r="B2913" s="1" t="s">
        <v>388</v>
      </c>
      <c r="C2913" s="1" t="s">
        <v>399</v>
      </c>
      <c r="D2913" s="1" t="s">
        <v>5298</v>
      </c>
      <c r="E2913" s="1" t="str">
        <f>"8145"</f>
        <v>8145</v>
      </c>
      <c r="F2913" s="1" t="s">
        <v>2635</v>
      </c>
      <c r="G2913" s="1" t="s">
        <v>2636</v>
      </c>
      <c r="H2913" s="1" t="s">
        <v>15</v>
      </c>
      <c r="I2913" s="1" t="str">
        <f>"1"</f>
        <v>1</v>
      </c>
      <c r="J2913" s="3" t="str">
        <f>"13963"</f>
        <v>13963</v>
      </c>
      <c r="K2913" s="4">
        <v>46085</v>
      </c>
      <c r="L2913" s="4">
        <v>46087</v>
      </c>
      <c r="M2913" s="1" t="s">
        <v>5297</v>
      </c>
      <c r="N2913" s="1" t="s">
        <v>5296</v>
      </c>
    </row>
    <row r="2914" spans="1:14" s="1" customFormat="1" x14ac:dyDescent="0.35">
      <c r="A2914" s="1" t="s">
        <v>4492</v>
      </c>
      <c r="B2914" s="1" t="s">
        <v>388</v>
      </c>
      <c r="C2914" s="1" t="s">
        <v>399</v>
      </c>
      <c r="D2914" s="1" t="s">
        <v>5295</v>
      </c>
      <c r="E2914" s="1" t="str">
        <f>"6230"</f>
        <v>6230</v>
      </c>
      <c r="F2914" s="1" t="s">
        <v>5291</v>
      </c>
      <c r="G2914" s="1" t="s">
        <v>5290</v>
      </c>
      <c r="H2914" s="1" t="s">
        <v>15</v>
      </c>
      <c r="I2914" s="1" t="str">
        <f>"36"</f>
        <v>36</v>
      </c>
      <c r="J2914" s="3" t="str">
        <f>"195"</f>
        <v>195</v>
      </c>
      <c r="K2914" s="4">
        <v>46085</v>
      </c>
      <c r="L2914" s="4">
        <v>46087</v>
      </c>
      <c r="M2914" s="1" t="s">
        <v>5294</v>
      </c>
      <c r="N2914" s="1" t="s">
        <v>5293</v>
      </c>
    </row>
    <row r="2915" spans="1:14" s="1" customFormat="1" x14ac:dyDescent="0.35">
      <c r="A2915" s="1" t="s">
        <v>4492</v>
      </c>
      <c r="B2915" s="1" t="s">
        <v>388</v>
      </c>
      <c r="C2915" s="1" t="s">
        <v>399</v>
      </c>
      <c r="D2915" s="1" t="s">
        <v>5292</v>
      </c>
      <c r="E2915" s="1" t="str">
        <f>"6230"</f>
        <v>6230</v>
      </c>
      <c r="F2915" s="1" t="s">
        <v>5291</v>
      </c>
      <c r="G2915" s="1" t="s">
        <v>5290</v>
      </c>
      <c r="H2915" s="1" t="s">
        <v>15</v>
      </c>
      <c r="I2915" s="1" t="str">
        <f>"4"</f>
        <v>4</v>
      </c>
      <c r="J2915" s="3">
        <v>89.84</v>
      </c>
      <c r="K2915" s="4">
        <v>46085</v>
      </c>
      <c r="L2915" s="4">
        <v>46087</v>
      </c>
      <c r="M2915" s="1" t="s">
        <v>5289</v>
      </c>
      <c r="N2915" s="1" t="s">
        <v>5288</v>
      </c>
    </row>
    <row r="2916" spans="1:14" s="1" customFormat="1" x14ac:dyDescent="0.35">
      <c r="A2916" s="1" t="s">
        <v>4492</v>
      </c>
      <c r="B2916" s="1" t="s">
        <v>388</v>
      </c>
      <c r="C2916" s="1" t="s">
        <v>399</v>
      </c>
      <c r="D2916" s="1" t="s">
        <v>5287</v>
      </c>
      <c r="E2916" s="1" t="str">
        <f>"6665"</f>
        <v>6665</v>
      </c>
      <c r="F2916" s="1" t="str">
        <f>"219061023"</f>
        <v>219061023</v>
      </c>
      <c r="G2916" s="1" t="s">
        <v>408</v>
      </c>
      <c r="H2916" s="1" t="s">
        <v>15</v>
      </c>
      <c r="I2916" s="1" t="str">
        <f>"2"</f>
        <v>2</v>
      </c>
      <c r="J2916" s="3" t="str">
        <f>"2450"</f>
        <v>2450</v>
      </c>
      <c r="K2916" s="4">
        <v>46093</v>
      </c>
      <c r="L2916" s="4">
        <v>46104</v>
      </c>
      <c r="M2916" s="1" t="s">
        <v>5286</v>
      </c>
      <c r="N2916" s="1" t="s">
        <v>5285</v>
      </c>
    </row>
    <row r="2917" spans="1:14" s="1" customFormat="1" x14ac:dyDescent="0.35">
      <c r="A2917" s="1" t="s">
        <v>4492</v>
      </c>
      <c r="B2917" s="1" t="s">
        <v>3356</v>
      </c>
      <c r="C2917" s="1" t="s">
        <v>5284</v>
      </c>
      <c r="D2917" s="1" t="s">
        <v>5283</v>
      </c>
      <c r="E2917" s="1" t="str">
        <f>"1550"</f>
        <v>1550</v>
      </c>
      <c r="F2917" s="1" t="str">
        <f>"016515315"</f>
        <v>016515315</v>
      </c>
      <c r="G2917" s="1" t="s">
        <v>1789</v>
      </c>
      <c r="H2917" s="1" t="s">
        <v>168</v>
      </c>
      <c r="I2917" s="1" t="str">
        <f>"4"</f>
        <v>4</v>
      </c>
      <c r="J2917" s="3" t="str">
        <f>"6700"</f>
        <v>6700</v>
      </c>
      <c r="K2917" s="4">
        <v>46084</v>
      </c>
      <c r="L2917" s="4">
        <v>46084</v>
      </c>
      <c r="M2917" s="1" t="s">
        <v>4556</v>
      </c>
      <c r="N2917" s="1" t="s">
        <v>5282</v>
      </c>
    </row>
    <row r="2918" spans="1:14" s="1" customFormat="1" x14ac:dyDescent="0.35">
      <c r="A2918" s="1" t="s">
        <v>4492</v>
      </c>
      <c r="B2918" s="1" t="s">
        <v>73</v>
      </c>
      <c r="C2918" s="1" t="s">
        <v>224</v>
      </c>
      <c r="D2918" s="1" t="s">
        <v>5281</v>
      </c>
      <c r="E2918" s="1" t="str">
        <f>"4030"</f>
        <v>4030</v>
      </c>
      <c r="F2918" s="1" t="str">
        <f>"001629668"</f>
        <v>001629668</v>
      </c>
      <c r="G2918" s="1" t="s">
        <v>1424</v>
      </c>
      <c r="H2918" s="1" t="s">
        <v>15</v>
      </c>
      <c r="I2918" s="1" t="str">
        <f>"20"</f>
        <v>20</v>
      </c>
      <c r="J2918" s="3">
        <v>11.97</v>
      </c>
      <c r="K2918" s="4">
        <v>45937</v>
      </c>
      <c r="L2918" s="4">
        <v>46031</v>
      </c>
      <c r="M2918" s="1" t="s">
        <v>5280</v>
      </c>
      <c r="N2918" s="1" t="s">
        <v>258</v>
      </c>
    </row>
    <row r="2919" spans="1:14" s="1" customFormat="1" x14ac:dyDescent="0.35">
      <c r="A2919" s="1" t="s">
        <v>4492</v>
      </c>
      <c r="B2919" s="1" t="s">
        <v>73</v>
      </c>
      <c r="C2919" s="1" t="s">
        <v>224</v>
      </c>
      <c r="D2919" s="1" t="s">
        <v>5279</v>
      </c>
      <c r="E2919" s="1" t="str">
        <f>"9535"</f>
        <v>9535</v>
      </c>
      <c r="F2919" s="1" t="str">
        <f>"002320489"</f>
        <v>002320489</v>
      </c>
      <c r="G2919" s="1" t="s">
        <v>5278</v>
      </c>
      <c r="H2919" s="1" t="s">
        <v>5277</v>
      </c>
      <c r="I2919" s="1" t="str">
        <f>"39"</f>
        <v>39</v>
      </c>
      <c r="J2919" s="3">
        <v>145.06</v>
      </c>
      <c r="K2919" s="4">
        <v>45974</v>
      </c>
      <c r="L2919" s="4">
        <v>46031</v>
      </c>
      <c r="M2919" s="1" t="s">
        <v>5276</v>
      </c>
      <c r="N2919" s="1" t="s">
        <v>5275</v>
      </c>
    </row>
    <row r="2920" spans="1:14" s="1" customFormat="1" x14ac:dyDescent="0.35">
      <c r="A2920" s="1" t="s">
        <v>4492</v>
      </c>
      <c r="B2920" s="1" t="s">
        <v>73</v>
      </c>
      <c r="C2920" s="1" t="s">
        <v>224</v>
      </c>
      <c r="D2920" s="1" t="s">
        <v>5274</v>
      </c>
      <c r="E2920" s="1" t="str">
        <f>"2310"</f>
        <v>2310</v>
      </c>
      <c r="F2920" s="1" t="str">
        <f>"014998019"</f>
        <v>014998019</v>
      </c>
      <c r="G2920" s="1" t="s">
        <v>4671</v>
      </c>
      <c r="H2920" s="1" t="s">
        <v>15</v>
      </c>
      <c r="I2920" s="1" t="str">
        <f>"1"</f>
        <v>1</v>
      </c>
      <c r="J2920" s="3" t="str">
        <f>"165000"</f>
        <v>165000</v>
      </c>
      <c r="K2920" s="4">
        <v>45984</v>
      </c>
      <c r="L2920" s="4">
        <v>46043</v>
      </c>
      <c r="M2920" s="1" t="s">
        <v>5273</v>
      </c>
      <c r="N2920" s="1" t="s">
        <v>5272</v>
      </c>
    </row>
    <row r="2921" spans="1:14" s="1" customFormat="1" x14ac:dyDescent="0.35">
      <c r="A2921" s="1" t="s">
        <v>4492</v>
      </c>
      <c r="B2921" s="1" t="s">
        <v>73</v>
      </c>
      <c r="C2921" s="1" t="s">
        <v>224</v>
      </c>
      <c r="D2921" s="1" t="s">
        <v>5271</v>
      </c>
      <c r="E2921" s="1" t="str">
        <f>"9930"</f>
        <v>9930</v>
      </c>
      <c r="F2921" s="1" t="str">
        <f>"013316244"</f>
        <v>013316244</v>
      </c>
      <c r="G2921" s="1" t="s">
        <v>690</v>
      </c>
      <c r="H2921" s="1" t="s">
        <v>15</v>
      </c>
      <c r="I2921" s="1" t="str">
        <f>"30"</f>
        <v>30</v>
      </c>
      <c r="J2921" s="3">
        <v>45.01</v>
      </c>
      <c r="K2921" s="4">
        <v>46000</v>
      </c>
      <c r="L2921" s="4">
        <v>46031</v>
      </c>
      <c r="M2921" s="1" t="s">
        <v>5270</v>
      </c>
      <c r="N2921" s="1" t="s">
        <v>5269</v>
      </c>
    </row>
    <row r="2922" spans="1:14" s="1" customFormat="1" x14ac:dyDescent="0.35">
      <c r="A2922" s="1" t="s">
        <v>4492</v>
      </c>
      <c r="B2922" s="1" t="s">
        <v>73</v>
      </c>
      <c r="C2922" s="1" t="s">
        <v>224</v>
      </c>
      <c r="D2922" s="1" t="s">
        <v>5268</v>
      </c>
      <c r="E2922" s="1" t="str">
        <f>"4220"</f>
        <v>4220</v>
      </c>
      <c r="F2922" s="1" t="str">
        <f>"012484175"</f>
        <v>012484175</v>
      </c>
      <c r="G2922" s="1" t="s">
        <v>5267</v>
      </c>
      <c r="H2922" s="1" t="s">
        <v>15</v>
      </c>
      <c r="I2922" s="1" t="str">
        <f>"8"</f>
        <v>8</v>
      </c>
      <c r="J2922" s="3">
        <v>370.56</v>
      </c>
      <c r="K2922" s="4">
        <v>46006</v>
      </c>
      <c r="L2922" s="4">
        <v>46070</v>
      </c>
      <c r="M2922" s="1" t="s">
        <v>5266</v>
      </c>
      <c r="N2922" s="1" t="s">
        <v>5265</v>
      </c>
    </row>
    <row r="2923" spans="1:14" s="1" customFormat="1" x14ac:dyDescent="0.35">
      <c r="A2923" s="1" t="s">
        <v>4492</v>
      </c>
      <c r="B2923" s="1" t="s">
        <v>73</v>
      </c>
      <c r="C2923" s="1" t="s">
        <v>224</v>
      </c>
      <c r="D2923" s="1" t="s">
        <v>5264</v>
      </c>
      <c r="E2923" s="1" t="str">
        <f>"8430"</f>
        <v>8430</v>
      </c>
      <c r="F2923" s="1" t="str">
        <f>"016326262"</f>
        <v>016326262</v>
      </c>
      <c r="G2923" s="1" t="s">
        <v>908</v>
      </c>
      <c r="H2923" s="1" t="s">
        <v>47</v>
      </c>
      <c r="I2923" s="1" t="str">
        <f>"10"</f>
        <v>10</v>
      </c>
      <c r="J2923" s="3">
        <v>153.44999999999999</v>
      </c>
      <c r="K2923" s="4">
        <v>46011</v>
      </c>
      <c r="L2923" s="4">
        <v>46066</v>
      </c>
      <c r="M2923" s="1" t="s">
        <v>5263</v>
      </c>
      <c r="N2923" s="1" t="s">
        <v>5260</v>
      </c>
    </row>
    <row r="2924" spans="1:14" s="1" customFormat="1" x14ac:dyDescent="0.35">
      <c r="A2924" s="1" t="s">
        <v>4492</v>
      </c>
      <c r="B2924" s="1" t="s">
        <v>73</v>
      </c>
      <c r="C2924" s="1" t="s">
        <v>224</v>
      </c>
      <c r="D2924" s="1" t="s">
        <v>5262</v>
      </c>
      <c r="E2924" s="1" t="str">
        <f>"8430"</f>
        <v>8430</v>
      </c>
      <c r="F2924" s="1" t="str">
        <f>"016325908"</f>
        <v>016325908</v>
      </c>
      <c r="G2924" s="1" t="s">
        <v>908</v>
      </c>
      <c r="H2924" s="1" t="s">
        <v>47</v>
      </c>
      <c r="I2924" s="1" t="str">
        <f>"10"</f>
        <v>10</v>
      </c>
      <c r="J2924" s="3">
        <v>153.44999999999999</v>
      </c>
      <c r="K2924" s="4">
        <v>46011</v>
      </c>
      <c r="L2924" s="4">
        <v>46065</v>
      </c>
      <c r="M2924" s="1" t="s">
        <v>5261</v>
      </c>
      <c r="N2924" s="1" t="s">
        <v>5260</v>
      </c>
    </row>
    <row r="2925" spans="1:14" s="1" customFormat="1" x14ac:dyDescent="0.35">
      <c r="A2925" s="1" t="s">
        <v>4492</v>
      </c>
      <c r="B2925" s="1" t="s">
        <v>73</v>
      </c>
      <c r="C2925" s="1" t="s">
        <v>224</v>
      </c>
      <c r="D2925" s="1" t="s">
        <v>5259</v>
      </c>
      <c r="E2925" s="1" t="str">
        <f>"1740"</f>
        <v>1740</v>
      </c>
      <c r="F2925" s="1" t="str">
        <f>"013894119"</f>
        <v>013894119</v>
      </c>
      <c r="G2925" s="1" t="s">
        <v>5258</v>
      </c>
      <c r="H2925" s="1" t="s">
        <v>15</v>
      </c>
      <c r="I2925" s="1" t="str">
        <f>"1"</f>
        <v>1</v>
      </c>
      <c r="J2925" s="3">
        <v>29723.74</v>
      </c>
      <c r="K2925" s="4">
        <v>46013</v>
      </c>
      <c r="L2925" s="4">
        <v>46043</v>
      </c>
      <c r="M2925" s="1" t="s">
        <v>4524</v>
      </c>
      <c r="N2925" s="1" t="s">
        <v>229</v>
      </c>
    </row>
    <row r="2926" spans="1:14" s="1" customFormat="1" x14ac:dyDescent="0.35">
      <c r="A2926" s="1" t="s">
        <v>4492</v>
      </c>
      <c r="B2926" s="1" t="s">
        <v>73</v>
      </c>
      <c r="C2926" s="1" t="s">
        <v>224</v>
      </c>
      <c r="D2926" s="1" t="s">
        <v>5257</v>
      </c>
      <c r="E2926" s="1" t="str">
        <f>"8430"</f>
        <v>8430</v>
      </c>
      <c r="F2926" s="1" t="str">
        <f>"016325907"</f>
        <v>016325907</v>
      </c>
      <c r="G2926" s="1" t="s">
        <v>908</v>
      </c>
      <c r="H2926" s="1" t="s">
        <v>47</v>
      </c>
      <c r="I2926" s="1" t="str">
        <f>"15"</f>
        <v>15</v>
      </c>
      <c r="J2926" s="3">
        <v>153.44999999999999</v>
      </c>
      <c r="K2926" s="4">
        <v>46011</v>
      </c>
      <c r="L2926" s="4">
        <v>46044</v>
      </c>
      <c r="M2926" s="1" t="s">
        <v>5256</v>
      </c>
      <c r="N2926" s="1" t="s">
        <v>5249</v>
      </c>
    </row>
    <row r="2927" spans="1:14" s="1" customFormat="1" x14ac:dyDescent="0.35">
      <c r="A2927" s="1" t="s">
        <v>4492</v>
      </c>
      <c r="B2927" s="1" t="s">
        <v>73</v>
      </c>
      <c r="C2927" s="1" t="s">
        <v>224</v>
      </c>
      <c r="D2927" s="1" t="s">
        <v>5255</v>
      </c>
      <c r="E2927" s="1" t="str">
        <f>"8430"</f>
        <v>8430</v>
      </c>
      <c r="F2927" s="1" t="str">
        <f>"016325894"</f>
        <v>016325894</v>
      </c>
      <c r="G2927" s="1" t="s">
        <v>908</v>
      </c>
      <c r="H2927" s="1" t="s">
        <v>47</v>
      </c>
      <c r="I2927" s="1" t="str">
        <f>"15"</f>
        <v>15</v>
      </c>
      <c r="J2927" s="3">
        <v>153.44999999999999</v>
      </c>
      <c r="K2927" s="4">
        <v>46011</v>
      </c>
      <c r="L2927" s="4">
        <v>46044</v>
      </c>
      <c r="M2927" s="1" t="s">
        <v>5254</v>
      </c>
      <c r="N2927" s="1" t="s">
        <v>5249</v>
      </c>
    </row>
    <row r="2928" spans="1:14" s="1" customFormat="1" x14ac:dyDescent="0.35">
      <c r="A2928" s="1" t="s">
        <v>4492</v>
      </c>
      <c r="B2928" s="1" t="s">
        <v>73</v>
      </c>
      <c r="C2928" s="1" t="s">
        <v>224</v>
      </c>
      <c r="D2928" s="1" t="s">
        <v>5253</v>
      </c>
      <c r="E2928" s="1" t="str">
        <f>"8430"</f>
        <v>8430</v>
      </c>
      <c r="F2928" s="1" t="str">
        <f>"015985046"</f>
        <v>015985046</v>
      </c>
      <c r="G2928" s="1" t="s">
        <v>905</v>
      </c>
      <c r="H2928" s="1" t="s">
        <v>47</v>
      </c>
      <c r="I2928" s="1" t="str">
        <f>"15"</f>
        <v>15</v>
      </c>
      <c r="J2928" s="3">
        <v>72.010000000000005</v>
      </c>
      <c r="K2928" s="4">
        <v>46011</v>
      </c>
      <c r="L2928" s="4">
        <v>46044</v>
      </c>
      <c r="M2928" s="1" t="s">
        <v>5252</v>
      </c>
      <c r="N2928" s="1" t="s">
        <v>5249</v>
      </c>
    </row>
    <row r="2929" spans="1:14" s="1" customFormat="1" x14ac:dyDescent="0.35">
      <c r="A2929" s="1" t="s">
        <v>4492</v>
      </c>
      <c r="B2929" s="1" t="s">
        <v>73</v>
      </c>
      <c r="C2929" s="1" t="s">
        <v>224</v>
      </c>
      <c r="D2929" s="1" t="s">
        <v>5251</v>
      </c>
      <c r="E2929" s="1" t="str">
        <f>"8430"</f>
        <v>8430</v>
      </c>
      <c r="F2929" s="1" t="str">
        <f>"015985041"</f>
        <v>015985041</v>
      </c>
      <c r="G2929" s="1" t="s">
        <v>905</v>
      </c>
      <c r="H2929" s="1" t="s">
        <v>47</v>
      </c>
      <c r="I2929" s="1" t="str">
        <f>"15"</f>
        <v>15</v>
      </c>
      <c r="J2929" s="3">
        <v>72.010000000000005</v>
      </c>
      <c r="K2929" s="4">
        <v>46011</v>
      </c>
      <c r="L2929" s="4">
        <v>46044</v>
      </c>
      <c r="M2929" s="1" t="s">
        <v>5250</v>
      </c>
      <c r="N2929" s="1" t="s">
        <v>5249</v>
      </c>
    </row>
    <row r="2930" spans="1:14" s="1" customFormat="1" x14ac:dyDescent="0.35">
      <c r="A2930" s="1" t="s">
        <v>4492</v>
      </c>
      <c r="B2930" s="1" t="s">
        <v>73</v>
      </c>
      <c r="C2930" s="1" t="s">
        <v>224</v>
      </c>
      <c r="D2930" s="1" t="s">
        <v>5248</v>
      </c>
      <c r="E2930" s="1" t="str">
        <f>"2320"</f>
        <v>2320</v>
      </c>
      <c r="F2930" s="1" t="str">
        <f>"008925938"</f>
        <v>008925938</v>
      </c>
      <c r="G2930" s="1" t="s">
        <v>930</v>
      </c>
      <c r="H2930" s="1" t="s">
        <v>15</v>
      </c>
      <c r="I2930" s="1" t="str">
        <f>"1"</f>
        <v>1</v>
      </c>
      <c r="J2930" s="3" t="str">
        <f>"27290"</f>
        <v>27290</v>
      </c>
      <c r="K2930" s="4">
        <v>46011</v>
      </c>
      <c r="L2930" s="4">
        <v>46025</v>
      </c>
      <c r="M2930" s="1" t="s">
        <v>5247</v>
      </c>
      <c r="N2930" s="1" t="s">
        <v>5246</v>
      </c>
    </row>
    <row r="2931" spans="1:14" s="1" customFormat="1" x14ac:dyDescent="0.35">
      <c r="A2931" s="1" t="s">
        <v>4492</v>
      </c>
      <c r="B2931" s="1" t="s">
        <v>73</v>
      </c>
      <c r="C2931" s="1" t="s">
        <v>224</v>
      </c>
      <c r="D2931" s="1" t="s">
        <v>5245</v>
      </c>
      <c r="E2931" s="1" t="str">
        <f>"3920"</f>
        <v>3920</v>
      </c>
      <c r="F2931" s="1" t="str">
        <f>"015643191"</f>
        <v>015643191</v>
      </c>
      <c r="G2931" s="1" t="s">
        <v>1677</v>
      </c>
      <c r="H2931" s="1" t="s">
        <v>15</v>
      </c>
      <c r="I2931" s="1" t="str">
        <f>"4"</f>
        <v>4</v>
      </c>
      <c r="J2931" s="3">
        <v>438.18</v>
      </c>
      <c r="K2931" s="4">
        <v>46021</v>
      </c>
      <c r="L2931" s="4">
        <v>46032</v>
      </c>
      <c r="M2931" s="1" t="s">
        <v>5244</v>
      </c>
      <c r="N2931" s="1" t="s">
        <v>5243</v>
      </c>
    </row>
    <row r="2932" spans="1:14" s="1" customFormat="1" x14ac:dyDescent="0.35">
      <c r="A2932" s="1" t="s">
        <v>4492</v>
      </c>
      <c r="B2932" s="1" t="s">
        <v>73</v>
      </c>
      <c r="C2932" s="1" t="s">
        <v>224</v>
      </c>
      <c r="D2932" s="1" t="s">
        <v>5242</v>
      </c>
      <c r="E2932" s="1" t="str">
        <f>"2320"</f>
        <v>2320</v>
      </c>
      <c r="F2932" s="1" t="str">
        <f>"009354448"</f>
        <v>009354448</v>
      </c>
      <c r="G2932" s="1" t="s">
        <v>394</v>
      </c>
      <c r="H2932" s="1" t="s">
        <v>15</v>
      </c>
      <c r="I2932" s="1" t="str">
        <f>"1"</f>
        <v>1</v>
      </c>
      <c r="J2932" s="3" t="str">
        <f>"116776"</f>
        <v>116776</v>
      </c>
      <c r="K2932" s="4">
        <v>46032</v>
      </c>
      <c r="L2932" s="4">
        <v>46046</v>
      </c>
      <c r="M2932" s="1" t="s">
        <v>5241</v>
      </c>
      <c r="N2932" s="1" t="s">
        <v>229</v>
      </c>
    </row>
    <row r="2933" spans="1:14" s="1" customFormat="1" x14ac:dyDescent="0.35">
      <c r="A2933" s="1" t="s">
        <v>4492</v>
      </c>
      <c r="B2933" s="1" t="s">
        <v>73</v>
      </c>
      <c r="C2933" s="1" t="s">
        <v>224</v>
      </c>
      <c r="D2933" s="1" t="s">
        <v>5240</v>
      </c>
      <c r="E2933" s="1" t="str">
        <f>"2330"</f>
        <v>2330</v>
      </c>
      <c r="F2933" s="1" t="str">
        <f>"000140494"</f>
        <v>000140494</v>
      </c>
      <c r="G2933" s="1" t="s">
        <v>1526</v>
      </c>
      <c r="H2933" s="1" t="s">
        <v>15</v>
      </c>
      <c r="I2933" s="1" t="str">
        <f>"1"</f>
        <v>1</v>
      </c>
      <c r="J2933" s="3" t="str">
        <f>"8134"</f>
        <v>8134</v>
      </c>
      <c r="K2933" s="4">
        <v>46032</v>
      </c>
      <c r="L2933" s="4">
        <v>46046</v>
      </c>
      <c r="M2933" s="1" t="s">
        <v>5239</v>
      </c>
      <c r="N2933" s="1" t="s">
        <v>5238</v>
      </c>
    </row>
    <row r="2934" spans="1:14" s="1" customFormat="1" x14ac:dyDescent="0.35">
      <c r="A2934" s="1" t="s">
        <v>4492</v>
      </c>
      <c r="B2934" s="1" t="s">
        <v>73</v>
      </c>
      <c r="C2934" s="1" t="s">
        <v>224</v>
      </c>
      <c r="D2934" s="1" t="s">
        <v>5237</v>
      </c>
      <c r="E2934" s="1" t="str">
        <f>"6230"</f>
        <v>6230</v>
      </c>
      <c r="F2934" s="1" t="s">
        <v>3594</v>
      </c>
      <c r="G2934" s="1" t="s">
        <v>3595</v>
      </c>
      <c r="H2934" s="1" t="s">
        <v>15</v>
      </c>
      <c r="I2934" s="1" t="str">
        <f>"25"</f>
        <v>25</v>
      </c>
      <c r="J2934" s="3" t="str">
        <f>"60"</f>
        <v>60</v>
      </c>
      <c r="K2934" s="4">
        <v>46035</v>
      </c>
      <c r="L2934" s="4">
        <v>46036</v>
      </c>
      <c r="M2934" s="1" t="s">
        <v>5236</v>
      </c>
      <c r="N2934" s="1" t="s">
        <v>5235</v>
      </c>
    </row>
    <row r="2935" spans="1:14" s="1" customFormat="1" x14ac:dyDescent="0.35">
      <c r="A2935" s="1" t="s">
        <v>4492</v>
      </c>
      <c r="B2935" s="1" t="s">
        <v>73</v>
      </c>
      <c r="C2935" s="1" t="s">
        <v>224</v>
      </c>
      <c r="D2935" s="1" t="s">
        <v>5234</v>
      </c>
      <c r="E2935" s="1" t="str">
        <f>"8460"</f>
        <v>8460</v>
      </c>
      <c r="F2935" s="1" t="s">
        <v>1006</v>
      </c>
      <c r="G2935" s="1" t="s">
        <v>1007</v>
      </c>
      <c r="H2935" s="1" t="s">
        <v>15</v>
      </c>
      <c r="I2935" s="1" t="str">
        <f>"42"</f>
        <v>42</v>
      </c>
      <c r="J2935" s="3" t="str">
        <f>"50"</f>
        <v>50</v>
      </c>
      <c r="K2935" s="4">
        <v>46051</v>
      </c>
      <c r="L2935" s="4">
        <v>46055</v>
      </c>
      <c r="M2935" s="1" t="s">
        <v>5233</v>
      </c>
      <c r="N2935" s="1" t="s">
        <v>5232</v>
      </c>
    </row>
    <row r="2936" spans="1:14" s="1" customFormat="1" x14ac:dyDescent="0.35">
      <c r="A2936" s="1" t="s">
        <v>4492</v>
      </c>
      <c r="B2936" s="1" t="s">
        <v>73</v>
      </c>
      <c r="C2936" s="1" t="s">
        <v>224</v>
      </c>
      <c r="D2936" s="1" t="s">
        <v>5231</v>
      </c>
      <c r="E2936" s="1" t="str">
        <f>"2310"</f>
        <v>2310</v>
      </c>
      <c r="F2936" s="1" t="s">
        <v>4332</v>
      </c>
      <c r="G2936" s="1" t="s">
        <v>4333</v>
      </c>
      <c r="H2936" s="1" t="s">
        <v>15</v>
      </c>
      <c r="I2936" s="1" t="str">
        <f>"1"</f>
        <v>1</v>
      </c>
      <c r="J2936" s="3" t="str">
        <f>"20000"</f>
        <v>20000</v>
      </c>
      <c r="K2936" s="4">
        <v>46046</v>
      </c>
      <c r="L2936" s="4">
        <v>46060</v>
      </c>
      <c r="M2936" s="1" t="s">
        <v>5230</v>
      </c>
      <c r="N2936" s="1" t="s">
        <v>5181</v>
      </c>
    </row>
    <row r="2937" spans="1:14" s="1" customFormat="1" x14ac:dyDescent="0.35">
      <c r="A2937" s="1" t="s">
        <v>4492</v>
      </c>
      <c r="B2937" s="1" t="s">
        <v>73</v>
      </c>
      <c r="C2937" s="1" t="s">
        <v>224</v>
      </c>
      <c r="D2937" s="1" t="s">
        <v>5229</v>
      </c>
      <c r="E2937" s="1" t="str">
        <f>"2320"</f>
        <v>2320</v>
      </c>
      <c r="F2937" s="1" t="str">
        <f>"014391306"</f>
        <v>014391306</v>
      </c>
      <c r="G2937" s="1" t="s">
        <v>2570</v>
      </c>
      <c r="H2937" s="1" t="s">
        <v>15</v>
      </c>
      <c r="I2937" s="1" t="str">
        <f>"1"</f>
        <v>1</v>
      </c>
      <c r="J2937" s="3" t="str">
        <f>"25447"</f>
        <v>25447</v>
      </c>
      <c r="K2937" s="4">
        <v>46046</v>
      </c>
      <c r="L2937" s="4">
        <v>46055</v>
      </c>
      <c r="M2937" s="1" t="s">
        <v>5228</v>
      </c>
      <c r="N2937" s="1" t="s">
        <v>5181</v>
      </c>
    </row>
    <row r="2938" spans="1:14" s="1" customFormat="1" x14ac:dyDescent="0.35">
      <c r="A2938" s="1" t="s">
        <v>4492</v>
      </c>
      <c r="B2938" s="1" t="s">
        <v>73</v>
      </c>
      <c r="C2938" s="1" t="s">
        <v>224</v>
      </c>
      <c r="D2938" s="1" t="s">
        <v>5227</v>
      </c>
      <c r="E2938" s="1" t="str">
        <f>"2320"</f>
        <v>2320</v>
      </c>
      <c r="F2938" s="1" t="s">
        <v>1664</v>
      </c>
      <c r="G2938" s="1" t="s">
        <v>1665</v>
      </c>
      <c r="H2938" s="1" t="s">
        <v>15</v>
      </c>
      <c r="I2938" s="1" t="str">
        <f>"1"</f>
        <v>1</v>
      </c>
      <c r="J2938" s="3" t="str">
        <f>"20000"</f>
        <v>20000</v>
      </c>
      <c r="K2938" s="4">
        <v>46046</v>
      </c>
      <c r="L2938" s="4">
        <v>46055</v>
      </c>
      <c r="M2938" s="1" t="s">
        <v>5226</v>
      </c>
      <c r="N2938" s="1" t="s">
        <v>5181</v>
      </c>
    </row>
    <row r="2939" spans="1:14" s="1" customFormat="1" x14ac:dyDescent="0.35">
      <c r="A2939" s="1" t="s">
        <v>4492</v>
      </c>
      <c r="B2939" s="1" t="s">
        <v>73</v>
      </c>
      <c r="C2939" s="1" t="s">
        <v>224</v>
      </c>
      <c r="D2939" s="1" t="s">
        <v>5225</v>
      </c>
      <c r="E2939" s="1" t="str">
        <f>"6230"</f>
        <v>6230</v>
      </c>
      <c r="F2939" s="1" t="str">
        <f>"015894822"</f>
        <v>015894822</v>
      </c>
      <c r="G2939" s="1" t="s">
        <v>1571</v>
      </c>
      <c r="H2939" s="1" t="s">
        <v>15</v>
      </c>
      <c r="I2939" s="1" t="str">
        <f>"33"</f>
        <v>33</v>
      </c>
      <c r="J2939" s="3">
        <v>647.44000000000005</v>
      </c>
      <c r="K2939" s="4">
        <v>46058</v>
      </c>
      <c r="L2939" s="4">
        <v>46093</v>
      </c>
      <c r="M2939" s="1" t="s">
        <v>5224</v>
      </c>
      <c r="N2939" s="1" t="s">
        <v>5223</v>
      </c>
    </row>
    <row r="2940" spans="1:14" s="1" customFormat="1" x14ac:dyDescent="0.35">
      <c r="A2940" s="1" t="s">
        <v>4492</v>
      </c>
      <c r="B2940" s="1" t="s">
        <v>73</v>
      </c>
      <c r="C2940" s="1" t="s">
        <v>224</v>
      </c>
      <c r="D2940" s="1" t="s">
        <v>5222</v>
      </c>
      <c r="E2940" s="1" t="str">
        <f>"5136"</f>
        <v>5136</v>
      </c>
      <c r="F2940" s="1" t="str">
        <f>"014311787"</f>
        <v>014311787</v>
      </c>
      <c r="G2940" s="1" t="s">
        <v>264</v>
      </c>
      <c r="H2940" s="1" t="s">
        <v>257</v>
      </c>
      <c r="I2940" s="1" t="str">
        <f>"2"</f>
        <v>2</v>
      </c>
      <c r="J2940" s="3">
        <v>384.45</v>
      </c>
      <c r="K2940" s="4">
        <v>46070</v>
      </c>
      <c r="L2940" s="4">
        <v>46072</v>
      </c>
      <c r="M2940" s="1" t="s">
        <v>4524</v>
      </c>
      <c r="N2940" s="1" t="s">
        <v>270</v>
      </c>
    </row>
    <row r="2941" spans="1:14" s="1" customFormat="1" x14ac:dyDescent="0.35">
      <c r="A2941" s="1" t="s">
        <v>4492</v>
      </c>
      <c r="B2941" s="1" t="s">
        <v>73</v>
      </c>
      <c r="C2941" s="1" t="s">
        <v>224</v>
      </c>
      <c r="D2941" s="1" t="s">
        <v>5221</v>
      </c>
      <c r="E2941" s="1" t="str">
        <f>"5450"</f>
        <v>5450</v>
      </c>
      <c r="F2941" s="1" t="s">
        <v>4821</v>
      </c>
      <c r="G2941" s="1" t="s">
        <v>4820</v>
      </c>
      <c r="H2941" s="1" t="s">
        <v>15</v>
      </c>
      <c r="I2941" s="1" t="str">
        <f>"1"</f>
        <v>1</v>
      </c>
      <c r="J2941" s="3" t="str">
        <f>"1672614"</f>
        <v>1672614</v>
      </c>
      <c r="K2941" s="4">
        <v>46074</v>
      </c>
      <c r="L2941" s="4">
        <v>46088</v>
      </c>
      <c r="M2941" s="1" t="s">
        <v>5220</v>
      </c>
      <c r="N2941" s="1" t="s">
        <v>5219</v>
      </c>
    </row>
    <row r="2942" spans="1:14" s="1" customFormat="1" x14ac:dyDescent="0.35">
      <c r="A2942" s="1" t="s">
        <v>4492</v>
      </c>
      <c r="B2942" s="1" t="s">
        <v>73</v>
      </c>
      <c r="C2942" s="1" t="s">
        <v>224</v>
      </c>
      <c r="D2942" s="1" t="s">
        <v>5218</v>
      </c>
      <c r="E2942" s="1" t="str">
        <f>"2320"</f>
        <v>2320</v>
      </c>
      <c r="F2942" s="1" t="s">
        <v>100</v>
      </c>
      <c r="G2942" s="1" t="s">
        <v>101</v>
      </c>
      <c r="H2942" s="1" t="s">
        <v>15</v>
      </c>
      <c r="I2942" s="1" t="str">
        <f>"1"</f>
        <v>1</v>
      </c>
      <c r="J2942" s="3" t="str">
        <f>"2000"</f>
        <v>2000</v>
      </c>
      <c r="K2942" s="4">
        <v>46074</v>
      </c>
      <c r="L2942" s="4">
        <v>46077</v>
      </c>
      <c r="M2942" s="1" t="s">
        <v>4524</v>
      </c>
      <c r="N2942" s="1" t="s">
        <v>5175</v>
      </c>
    </row>
    <row r="2943" spans="1:14" s="1" customFormat="1" x14ac:dyDescent="0.35">
      <c r="A2943" s="1" t="s">
        <v>4492</v>
      </c>
      <c r="B2943" s="1" t="s">
        <v>73</v>
      </c>
      <c r="C2943" s="1" t="s">
        <v>224</v>
      </c>
      <c r="D2943" s="1" t="s">
        <v>5217</v>
      </c>
      <c r="E2943" s="1" t="str">
        <f>"2320"</f>
        <v>2320</v>
      </c>
      <c r="F2943" s="1" t="s">
        <v>100</v>
      </c>
      <c r="G2943" s="1" t="s">
        <v>101</v>
      </c>
      <c r="H2943" s="1" t="s">
        <v>15</v>
      </c>
      <c r="I2943" s="1" t="str">
        <f>"1"</f>
        <v>1</v>
      </c>
      <c r="J2943" s="3" t="str">
        <f>"2000"</f>
        <v>2000</v>
      </c>
      <c r="K2943" s="4">
        <v>46074</v>
      </c>
      <c r="L2943" s="4">
        <v>46088</v>
      </c>
      <c r="M2943" s="1" t="s">
        <v>5216</v>
      </c>
      <c r="N2943" s="1" t="s">
        <v>5175</v>
      </c>
    </row>
    <row r="2944" spans="1:14" s="1" customFormat="1" x14ac:dyDescent="0.35">
      <c r="A2944" s="1" t="s">
        <v>4492</v>
      </c>
      <c r="B2944" s="1" t="s">
        <v>73</v>
      </c>
      <c r="C2944" s="1" t="s">
        <v>224</v>
      </c>
      <c r="D2944" s="1" t="s">
        <v>5215</v>
      </c>
      <c r="E2944" s="1" t="str">
        <f>"2330"</f>
        <v>2330</v>
      </c>
      <c r="F2944" s="1" t="s">
        <v>104</v>
      </c>
      <c r="G2944" s="1" t="s">
        <v>105</v>
      </c>
      <c r="H2944" s="1" t="s">
        <v>15</v>
      </c>
      <c r="I2944" s="1" t="str">
        <f>"1"</f>
        <v>1</v>
      </c>
      <c r="J2944" s="3">
        <v>968678.86</v>
      </c>
      <c r="K2944" s="4">
        <v>46074</v>
      </c>
      <c r="L2944" s="4">
        <v>46088</v>
      </c>
      <c r="M2944" s="1" t="s">
        <v>5214</v>
      </c>
      <c r="N2944" s="1" t="s">
        <v>5213</v>
      </c>
    </row>
    <row r="2945" spans="1:14" s="1" customFormat="1" x14ac:dyDescent="0.35">
      <c r="A2945" s="1" t="s">
        <v>4492</v>
      </c>
      <c r="B2945" s="1" t="s">
        <v>73</v>
      </c>
      <c r="C2945" s="1" t="s">
        <v>224</v>
      </c>
      <c r="D2945" s="1" t="s">
        <v>5212</v>
      </c>
      <c r="E2945" s="1" t="str">
        <f>"2320"</f>
        <v>2320</v>
      </c>
      <c r="F2945" s="1" t="str">
        <f>"010911597"</f>
        <v>010911597</v>
      </c>
      <c r="G2945" s="1" t="s">
        <v>4468</v>
      </c>
      <c r="H2945" s="1" t="s">
        <v>15</v>
      </c>
      <c r="I2945" s="1" t="str">
        <f>"1"</f>
        <v>1</v>
      </c>
      <c r="J2945" s="3" t="str">
        <f>"150120"</f>
        <v>150120</v>
      </c>
      <c r="K2945" s="4">
        <v>46074</v>
      </c>
      <c r="L2945" s="4">
        <v>46088</v>
      </c>
      <c r="M2945" s="1" t="s">
        <v>5211</v>
      </c>
      <c r="N2945" s="1" t="s">
        <v>5210</v>
      </c>
    </row>
    <row r="2946" spans="1:14" s="1" customFormat="1" x14ac:dyDescent="0.35">
      <c r="A2946" s="1" t="s">
        <v>4492</v>
      </c>
      <c r="B2946" s="1" t="s">
        <v>73</v>
      </c>
      <c r="C2946" s="1" t="s">
        <v>224</v>
      </c>
      <c r="D2946" s="1" t="s">
        <v>5209</v>
      </c>
      <c r="E2946" s="1" t="str">
        <f>"7105"</f>
        <v>7105</v>
      </c>
      <c r="F2946" s="1" t="str">
        <f>"015970476"</f>
        <v>015970476</v>
      </c>
      <c r="G2946" s="1" t="s">
        <v>5208</v>
      </c>
      <c r="H2946" s="1" t="s">
        <v>15</v>
      </c>
      <c r="I2946" s="1" t="str">
        <f>"7"</f>
        <v>7</v>
      </c>
      <c r="J2946" s="3" t="str">
        <f>"200"</f>
        <v>200</v>
      </c>
      <c r="K2946" s="4">
        <v>46079</v>
      </c>
      <c r="L2946" s="4">
        <v>46108</v>
      </c>
      <c r="M2946" s="1" t="s">
        <v>5207</v>
      </c>
      <c r="N2946" s="1" t="s">
        <v>5206</v>
      </c>
    </row>
    <row r="2947" spans="1:14" s="1" customFormat="1" x14ac:dyDescent="0.35">
      <c r="A2947" s="1" t="s">
        <v>4492</v>
      </c>
      <c r="B2947" s="1" t="s">
        <v>73</v>
      </c>
      <c r="C2947" s="1" t="s">
        <v>224</v>
      </c>
      <c r="D2947" s="1" t="s">
        <v>5205</v>
      </c>
      <c r="E2947" s="1" t="str">
        <f>"4940"</f>
        <v>4940</v>
      </c>
      <c r="F2947" s="1" t="str">
        <f>"013619720"</f>
        <v>013619720</v>
      </c>
      <c r="G2947" s="1" t="s">
        <v>1226</v>
      </c>
      <c r="H2947" s="1" t="s">
        <v>15</v>
      </c>
      <c r="I2947" s="1" t="str">
        <f>"1"</f>
        <v>1</v>
      </c>
      <c r="J2947" s="3" t="str">
        <f>"137000"</f>
        <v>137000</v>
      </c>
      <c r="K2947" s="4">
        <v>46079</v>
      </c>
      <c r="L2947" s="4">
        <v>46088</v>
      </c>
      <c r="M2947" s="1" t="s">
        <v>5204</v>
      </c>
      <c r="N2947" s="1" t="s">
        <v>5203</v>
      </c>
    </row>
    <row r="2948" spans="1:14" s="1" customFormat="1" x14ac:dyDescent="0.35">
      <c r="A2948" s="1" t="s">
        <v>4492</v>
      </c>
      <c r="B2948" s="1" t="s">
        <v>73</v>
      </c>
      <c r="C2948" s="1" t="s">
        <v>224</v>
      </c>
      <c r="D2948" s="1" t="s">
        <v>5202</v>
      </c>
      <c r="E2948" s="1" t="str">
        <f>"4520"</f>
        <v>4520</v>
      </c>
      <c r="F2948" s="1" t="str">
        <f>"014789207"</f>
        <v>014789207</v>
      </c>
      <c r="G2948" s="1" t="s">
        <v>138</v>
      </c>
      <c r="H2948" s="1" t="s">
        <v>15</v>
      </c>
      <c r="I2948" s="1" t="str">
        <f>"2"</f>
        <v>2</v>
      </c>
      <c r="J2948" s="3">
        <v>1451.86</v>
      </c>
      <c r="K2948" s="4">
        <v>46079</v>
      </c>
      <c r="L2948" s="4">
        <v>46108</v>
      </c>
      <c r="M2948" s="1" t="s">
        <v>5201</v>
      </c>
      <c r="N2948" s="1" t="s">
        <v>5200</v>
      </c>
    </row>
    <row r="2949" spans="1:14" s="1" customFormat="1" x14ac:dyDescent="0.35">
      <c r="A2949" s="1" t="s">
        <v>4492</v>
      </c>
      <c r="B2949" s="1" t="s">
        <v>73</v>
      </c>
      <c r="C2949" s="1" t="s">
        <v>224</v>
      </c>
      <c r="D2949" s="1" t="s">
        <v>5199</v>
      </c>
      <c r="E2949" s="1" t="str">
        <f>"6545"</f>
        <v>6545</v>
      </c>
      <c r="F2949" s="1" t="str">
        <f>"015300929"</f>
        <v>015300929</v>
      </c>
      <c r="G2949" s="1" t="s">
        <v>167</v>
      </c>
      <c r="H2949" s="1" t="s">
        <v>168</v>
      </c>
      <c r="I2949" s="1" t="str">
        <f>"45"</f>
        <v>45</v>
      </c>
      <c r="J2949" s="3">
        <v>48.71</v>
      </c>
      <c r="K2949" s="4">
        <v>46079</v>
      </c>
      <c r="L2949" s="4">
        <v>46087</v>
      </c>
      <c r="M2949" s="1" t="s">
        <v>5198</v>
      </c>
      <c r="N2949" s="1" t="s">
        <v>5195</v>
      </c>
    </row>
    <row r="2950" spans="1:14" s="1" customFormat="1" x14ac:dyDescent="0.35">
      <c r="A2950" s="1" t="s">
        <v>4492</v>
      </c>
      <c r="B2950" s="1" t="s">
        <v>73</v>
      </c>
      <c r="C2950" s="1" t="s">
        <v>224</v>
      </c>
      <c r="D2950" s="1" t="s">
        <v>5197</v>
      </c>
      <c r="E2950" s="1" t="str">
        <f>"6545"</f>
        <v>6545</v>
      </c>
      <c r="F2950" s="1" t="str">
        <f>"015300929"</f>
        <v>015300929</v>
      </c>
      <c r="G2950" s="1" t="s">
        <v>167</v>
      </c>
      <c r="H2950" s="1" t="s">
        <v>168</v>
      </c>
      <c r="I2950" s="1" t="str">
        <f>"55"</f>
        <v>55</v>
      </c>
      <c r="J2950" s="3">
        <v>48.71</v>
      </c>
      <c r="K2950" s="4">
        <v>46079</v>
      </c>
      <c r="L2950" s="4">
        <v>46087</v>
      </c>
      <c r="M2950" s="1" t="s">
        <v>5196</v>
      </c>
      <c r="N2950" s="1" t="s">
        <v>5195</v>
      </c>
    </row>
    <row r="2951" spans="1:14" s="1" customFormat="1" x14ac:dyDescent="0.35">
      <c r="A2951" s="1" t="s">
        <v>4492</v>
      </c>
      <c r="B2951" s="1" t="s">
        <v>73</v>
      </c>
      <c r="C2951" s="1" t="s">
        <v>224</v>
      </c>
      <c r="D2951" s="1" t="s">
        <v>5194</v>
      </c>
      <c r="E2951" s="1" t="str">
        <f>"3590"</f>
        <v>3590</v>
      </c>
      <c r="F2951" s="1" t="s">
        <v>1052</v>
      </c>
      <c r="G2951" s="1" t="s">
        <v>1053</v>
      </c>
      <c r="H2951" s="1" t="s">
        <v>15</v>
      </c>
      <c r="I2951" s="1" t="str">
        <f>"1"</f>
        <v>1</v>
      </c>
      <c r="J2951" s="3" t="str">
        <f>"20000"</f>
        <v>20000</v>
      </c>
      <c r="K2951" s="4">
        <v>46080</v>
      </c>
      <c r="L2951" s="4">
        <v>46087</v>
      </c>
      <c r="M2951" s="1" t="s">
        <v>5193</v>
      </c>
      <c r="N2951" s="1" t="s">
        <v>5192</v>
      </c>
    </row>
    <row r="2952" spans="1:14" s="1" customFormat="1" x14ac:dyDescent="0.35">
      <c r="A2952" s="1" t="s">
        <v>4492</v>
      </c>
      <c r="B2952" s="1" t="s">
        <v>73</v>
      </c>
      <c r="C2952" s="1" t="s">
        <v>224</v>
      </c>
      <c r="D2952" s="1" t="s">
        <v>5191</v>
      </c>
      <c r="E2952" s="1" t="str">
        <f>"3805"</f>
        <v>3805</v>
      </c>
      <c r="F2952" s="1" t="str">
        <f>"015497814"</f>
        <v>015497814</v>
      </c>
      <c r="G2952" s="1" t="s">
        <v>420</v>
      </c>
      <c r="H2952" s="1" t="s">
        <v>15</v>
      </c>
      <c r="I2952" s="1" t="str">
        <f>"1"</f>
        <v>1</v>
      </c>
      <c r="J2952" s="3" t="str">
        <f>"123508"</f>
        <v>123508</v>
      </c>
      <c r="K2952" s="4">
        <v>46082</v>
      </c>
      <c r="L2952" s="4">
        <v>46095</v>
      </c>
      <c r="M2952" s="1" t="s">
        <v>5190</v>
      </c>
      <c r="N2952" s="1" t="s">
        <v>5175</v>
      </c>
    </row>
    <row r="2953" spans="1:14" s="1" customFormat="1" x14ac:dyDescent="0.35">
      <c r="A2953" s="1" t="s">
        <v>4492</v>
      </c>
      <c r="B2953" s="1" t="s">
        <v>73</v>
      </c>
      <c r="C2953" s="1" t="s">
        <v>224</v>
      </c>
      <c r="D2953" s="1" t="s">
        <v>5189</v>
      </c>
      <c r="E2953" s="1" t="str">
        <f>"2330"</f>
        <v>2330</v>
      </c>
      <c r="F2953" s="1" t="s">
        <v>104</v>
      </c>
      <c r="G2953" s="1" t="s">
        <v>105</v>
      </c>
      <c r="H2953" s="1" t="s">
        <v>15</v>
      </c>
      <c r="I2953" s="1" t="str">
        <f>"1"</f>
        <v>1</v>
      </c>
      <c r="J2953" s="3">
        <v>2645.5</v>
      </c>
      <c r="K2953" s="4">
        <v>46082</v>
      </c>
      <c r="L2953" s="4">
        <v>46095</v>
      </c>
      <c r="M2953" s="1" t="s">
        <v>5188</v>
      </c>
      <c r="N2953" s="1" t="s">
        <v>5187</v>
      </c>
    </row>
    <row r="2954" spans="1:14" s="1" customFormat="1" x14ac:dyDescent="0.35">
      <c r="A2954" s="1" t="s">
        <v>4492</v>
      </c>
      <c r="B2954" s="1" t="s">
        <v>73</v>
      </c>
      <c r="C2954" s="1" t="s">
        <v>224</v>
      </c>
      <c r="D2954" s="1" t="s">
        <v>5186</v>
      </c>
      <c r="E2954" s="1" t="str">
        <f>"2320"</f>
        <v>2320</v>
      </c>
      <c r="F2954" s="1" t="s">
        <v>100</v>
      </c>
      <c r="G2954" s="1" t="s">
        <v>101</v>
      </c>
      <c r="H2954" s="1" t="s">
        <v>15</v>
      </c>
      <c r="I2954" s="1" t="str">
        <f>"1"</f>
        <v>1</v>
      </c>
      <c r="J2954" s="3" t="str">
        <f>"183753"</f>
        <v>183753</v>
      </c>
      <c r="K2954" s="4">
        <v>46084</v>
      </c>
      <c r="L2954" s="4">
        <v>46095</v>
      </c>
      <c r="M2954" s="1" t="s">
        <v>5185</v>
      </c>
      <c r="N2954" s="1" t="s">
        <v>5184</v>
      </c>
    </row>
    <row r="2955" spans="1:14" s="1" customFormat="1" x14ac:dyDescent="0.35">
      <c r="A2955" s="1" t="s">
        <v>4492</v>
      </c>
      <c r="B2955" s="1" t="s">
        <v>73</v>
      </c>
      <c r="C2955" s="1" t="s">
        <v>224</v>
      </c>
      <c r="D2955" s="1" t="s">
        <v>5183</v>
      </c>
      <c r="E2955" s="1" t="str">
        <f>"2320"</f>
        <v>2320</v>
      </c>
      <c r="F2955" s="1" t="str">
        <f>"011519558"</f>
        <v>011519558</v>
      </c>
      <c r="G2955" s="1" t="s">
        <v>930</v>
      </c>
      <c r="H2955" s="1" t="s">
        <v>15</v>
      </c>
      <c r="I2955" s="1" t="str">
        <f>"1"</f>
        <v>1</v>
      </c>
      <c r="J2955" s="3" t="str">
        <f>"8823"</f>
        <v>8823</v>
      </c>
      <c r="K2955" s="4">
        <v>46084</v>
      </c>
      <c r="L2955" s="4">
        <v>46095</v>
      </c>
      <c r="M2955" s="1" t="s">
        <v>5182</v>
      </c>
      <c r="N2955" s="1" t="s">
        <v>5181</v>
      </c>
    </row>
    <row r="2956" spans="1:14" s="1" customFormat="1" x14ac:dyDescent="0.35">
      <c r="A2956" s="1" t="s">
        <v>4492</v>
      </c>
      <c r="B2956" s="1" t="s">
        <v>73</v>
      </c>
      <c r="C2956" s="1" t="s">
        <v>224</v>
      </c>
      <c r="D2956" s="1" t="s">
        <v>5180</v>
      </c>
      <c r="E2956" s="1" t="str">
        <f>"5450"</f>
        <v>5450</v>
      </c>
      <c r="F2956" s="1" t="s">
        <v>4821</v>
      </c>
      <c r="G2956" s="1" t="s">
        <v>4820</v>
      </c>
      <c r="H2956" s="1" t="s">
        <v>15</v>
      </c>
      <c r="I2956" s="1" t="str">
        <f>"1"</f>
        <v>1</v>
      </c>
      <c r="J2956" s="3" t="str">
        <f>"1672614"</f>
        <v>1672614</v>
      </c>
      <c r="K2956" s="4">
        <v>46099</v>
      </c>
      <c r="L2956" s="4">
        <v>46105</v>
      </c>
      <c r="M2956" s="1" t="s">
        <v>5179</v>
      </c>
      <c r="N2956" s="1" t="s">
        <v>5178</v>
      </c>
    </row>
    <row r="2957" spans="1:14" s="1" customFormat="1" x14ac:dyDescent="0.35">
      <c r="A2957" s="1" t="s">
        <v>4492</v>
      </c>
      <c r="B2957" s="1" t="s">
        <v>73</v>
      </c>
      <c r="C2957" s="1" t="s">
        <v>224</v>
      </c>
      <c r="D2957" s="1" t="s">
        <v>5177</v>
      </c>
      <c r="E2957" s="1" t="str">
        <f>"3805"</f>
        <v>3805</v>
      </c>
      <c r="F2957" s="1" t="str">
        <f>"012729749"</f>
        <v>012729749</v>
      </c>
      <c r="G2957" s="1" t="s">
        <v>420</v>
      </c>
      <c r="H2957" s="1" t="s">
        <v>15</v>
      </c>
      <c r="I2957" s="1" t="str">
        <f>"1"</f>
        <v>1</v>
      </c>
      <c r="J2957" s="3">
        <v>138265.54999999999</v>
      </c>
      <c r="K2957" s="4">
        <v>46095</v>
      </c>
      <c r="L2957" s="4">
        <v>46109</v>
      </c>
      <c r="M2957" s="1" t="s">
        <v>5176</v>
      </c>
      <c r="N2957" s="1" t="s">
        <v>5175</v>
      </c>
    </row>
    <row r="2958" spans="1:14" s="1" customFormat="1" x14ac:dyDescent="0.35">
      <c r="A2958" s="1" t="s">
        <v>4492</v>
      </c>
      <c r="B2958" s="1" t="s">
        <v>73</v>
      </c>
      <c r="C2958" s="1" t="s">
        <v>224</v>
      </c>
      <c r="D2958" s="1" t="s">
        <v>5174</v>
      </c>
      <c r="E2958" s="1" t="str">
        <f>"2320"</f>
        <v>2320</v>
      </c>
      <c r="F2958" s="1" t="str">
        <f>"010907892"</f>
        <v>010907892</v>
      </c>
      <c r="G2958" s="1" t="s">
        <v>930</v>
      </c>
      <c r="H2958" s="1" t="s">
        <v>15</v>
      </c>
      <c r="I2958" s="1" t="str">
        <f>"2"</f>
        <v>2</v>
      </c>
      <c r="J2958" s="3" t="str">
        <f>"23000"</f>
        <v>23000</v>
      </c>
      <c r="K2958" s="4">
        <v>46095</v>
      </c>
      <c r="L2958" s="4">
        <v>46100</v>
      </c>
      <c r="M2958" s="1" t="s">
        <v>5173</v>
      </c>
      <c r="N2958" s="1" t="s">
        <v>5172</v>
      </c>
    </row>
    <row r="2959" spans="1:14" s="1" customFormat="1" x14ac:dyDescent="0.35">
      <c r="A2959" s="1" t="s">
        <v>4492</v>
      </c>
      <c r="B2959" s="1" t="s">
        <v>73</v>
      </c>
      <c r="C2959" s="1" t="s">
        <v>224</v>
      </c>
      <c r="D2959" s="1" t="s">
        <v>5171</v>
      </c>
      <c r="E2959" s="1" t="str">
        <f>"3930"</f>
        <v>3930</v>
      </c>
      <c r="F2959" s="1" t="str">
        <f>"015085458"</f>
        <v>015085458</v>
      </c>
      <c r="G2959" s="1" t="s">
        <v>124</v>
      </c>
      <c r="H2959" s="1" t="s">
        <v>15</v>
      </c>
      <c r="I2959" s="1" t="str">
        <f>"1"</f>
        <v>1</v>
      </c>
      <c r="J2959" s="3">
        <v>121987.35</v>
      </c>
      <c r="K2959" s="4">
        <v>46098</v>
      </c>
      <c r="L2959" s="4">
        <v>46109</v>
      </c>
      <c r="M2959" s="1" t="s">
        <v>5170</v>
      </c>
      <c r="N2959" s="1" t="s">
        <v>5169</v>
      </c>
    </row>
    <row r="2960" spans="1:14" s="1" customFormat="1" x14ac:dyDescent="0.35">
      <c r="A2960" s="1" t="s">
        <v>4492</v>
      </c>
      <c r="B2960" s="1" t="s">
        <v>1129</v>
      </c>
      <c r="C2960" s="1" t="s">
        <v>5168</v>
      </c>
      <c r="D2960" s="1" t="s">
        <v>5167</v>
      </c>
      <c r="E2960" s="1" t="str">
        <f>"2310"</f>
        <v>2310</v>
      </c>
      <c r="F2960" s="1" t="str">
        <f>"014998019"</f>
        <v>014998019</v>
      </c>
      <c r="G2960" s="1" t="s">
        <v>4671</v>
      </c>
      <c r="H2960" s="1" t="s">
        <v>15</v>
      </c>
      <c r="I2960" s="1" t="str">
        <f>"1"</f>
        <v>1</v>
      </c>
      <c r="J2960" s="3" t="str">
        <f>"165000"</f>
        <v>165000</v>
      </c>
      <c r="K2960" s="4">
        <v>46097</v>
      </c>
      <c r="L2960" s="4">
        <v>46097</v>
      </c>
      <c r="M2960" s="1" t="s">
        <v>4524</v>
      </c>
      <c r="N2960" s="1" t="s">
        <v>5166</v>
      </c>
    </row>
    <row r="2961" spans="1:14" s="1" customFormat="1" x14ac:dyDescent="0.35">
      <c r="A2961" s="1" t="s">
        <v>4492</v>
      </c>
      <c r="B2961" s="1" t="s">
        <v>1791</v>
      </c>
      <c r="C2961" s="1" t="s">
        <v>1896</v>
      </c>
      <c r="D2961" s="1" t="s">
        <v>5165</v>
      </c>
      <c r="E2961" s="1" t="str">
        <f>"2330"</f>
        <v>2330</v>
      </c>
      <c r="F2961" s="1" t="str">
        <f>"016272944"</f>
        <v>016272944</v>
      </c>
      <c r="G2961" s="1" t="s">
        <v>2101</v>
      </c>
      <c r="H2961" s="1" t="s">
        <v>15</v>
      </c>
      <c r="I2961" s="1" t="str">
        <f>"1"</f>
        <v>1</v>
      </c>
      <c r="J2961" s="3">
        <v>79463.929999999993</v>
      </c>
      <c r="K2961" s="4">
        <v>46097</v>
      </c>
      <c r="L2961" s="4">
        <v>46106</v>
      </c>
      <c r="M2961" s="1" t="s">
        <v>5164</v>
      </c>
      <c r="N2961" s="1" t="s">
        <v>5163</v>
      </c>
    </row>
    <row r="2962" spans="1:14" s="1" customFormat="1" x14ac:dyDescent="0.35">
      <c r="A2962" s="1" t="s">
        <v>4492</v>
      </c>
      <c r="B2962" s="1" t="s">
        <v>1791</v>
      </c>
      <c r="C2962" s="1" t="s">
        <v>1896</v>
      </c>
      <c r="D2962" s="1" t="s">
        <v>5162</v>
      </c>
      <c r="E2962" s="1" t="str">
        <f>"2330"</f>
        <v>2330</v>
      </c>
      <c r="F2962" s="1" t="str">
        <f>"016272944"</f>
        <v>016272944</v>
      </c>
      <c r="G2962" s="1" t="s">
        <v>2101</v>
      </c>
      <c r="H2962" s="1" t="s">
        <v>15</v>
      </c>
      <c r="I2962" s="1" t="str">
        <f>"1"</f>
        <v>1</v>
      </c>
      <c r="J2962" s="3">
        <v>79463.929999999993</v>
      </c>
      <c r="K2962" s="4">
        <v>46097</v>
      </c>
      <c r="L2962" s="4">
        <v>46106</v>
      </c>
      <c r="M2962" s="1" t="s">
        <v>5161</v>
      </c>
      <c r="N2962" s="1" t="s">
        <v>5160</v>
      </c>
    </row>
    <row r="2963" spans="1:14" s="1" customFormat="1" x14ac:dyDescent="0.35">
      <c r="A2963" s="1" t="s">
        <v>4492</v>
      </c>
      <c r="B2963" s="1" t="s">
        <v>1013</v>
      </c>
      <c r="C2963" s="1" t="s">
        <v>5153</v>
      </c>
      <c r="D2963" s="1" t="s">
        <v>5159</v>
      </c>
      <c r="E2963" s="1" t="str">
        <f>"5855"</f>
        <v>5855</v>
      </c>
      <c r="F2963" s="1" t="str">
        <f>"014199429"</f>
        <v>014199429</v>
      </c>
      <c r="G2963" s="1" t="s">
        <v>614</v>
      </c>
      <c r="H2963" s="1" t="s">
        <v>15</v>
      </c>
      <c r="I2963" s="1" t="str">
        <f>"16"</f>
        <v>16</v>
      </c>
      <c r="J2963" s="3" t="str">
        <f>"13003"</f>
        <v>13003</v>
      </c>
      <c r="K2963" s="4">
        <v>46084</v>
      </c>
      <c r="L2963" s="4">
        <v>46095</v>
      </c>
      <c r="M2963" s="1" t="s">
        <v>5158</v>
      </c>
      <c r="N2963" s="1" t="s">
        <v>5157</v>
      </c>
    </row>
    <row r="2964" spans="1:14" s="1" customFormat="1" x14ac:dyDescent="0.35">
      <c r="A2964" s="1" t="s">
        <v>4492</v>
      </c>
      <c r="B2964" s="1" t="s">
        <v>1013</v>
      </c>
      <c r="C2964" s="1" t="s">
        <v>5153</v>
      </c>
      <c r="D2964" s="1" t="s">
        <v>5156</v>
      </c>
      <c r="E2964" s="1" t="str">
        <f>"6545"</f>
        <v>6545</v>
      </c>
      <c r="F2964" s="1" t="str">
        <f>"015841582"</f>
        <v>015841582</v>
      </c>
      <c r="G2964" s="1" t="s">
        <v>990</v>
      </c>
      <c r="H2964" s="1" t="s">
        <v>168</v>
      </c>
      <c r="I2964" s="1" t="str">
        <f>"39"</f>
        <v>39</v>
      </c>
      <c r="J2964" s="3">
        <v>103.24</v>
      </c>
      <c r="K2964" s="4">
        <v>46091</v>
      </c>
      <c r="L2964" s="4">
        <v>46100</v>
      </c>
      <c r="M2964" s="1" t="s">
        <v>5155</v>
      </c>
      <c r="N2964" s="1" t="s">
        <v>5154</v>
      </c>
    </row>
    <row r="2965" spans="1:14" s="1" customFormat="1" x14ac:dyDescent="0.35">
      <c r="A2965" s="1" t="s">
        <v>4492</v>
      </c>
      <c r="B2965" s="1" t="s">
        <v>1013</v>
      </c>
      <c r="C2965" s="1" t="s">
        <v>5153</v>
      </c>
      <c r="D2965" s="1" t="s">
        <v>5152</v>
      </c>
      <c r="E2965" s="1" t="str">
        <f>"8415"</f>
        <v>8415</v>
      </c>
      <c r="F2965" s="1" t="s">
        <v>1944</v>
      </c>
      <c r="G2965" s="1" t="s">
        <v>1945</v>
      </c>
      <c r="H2965" s="1" t="s">
        <v>15</v>
      </c>
      <c r="I2965" s="1" t="str">
        <f>"17"</f>
        <v>17</v>
      </c>
      <c r="J2965" s="3">
        <v>256.45</v>
      </c>
      <c r="K2965" s="4">
        <v>46106</v>
      </c>
      <c r="L2965" s="4">
        <v>46109</v>
      </c>
      <c r="M2965" s="1" t="s">
        <v>5151</v>
      </c>
      <c r="N2965" s="1" t="s">
        <v>5150</v>
      </c>
    </row>
    <row r="2966" spans="1:14" s="1" customFormat="1" x14ac:dyDescent="0.35">
      <c r="A2966" s="1" t="s">
        <v>4492</v>
      </c>
      <c r="B2966" s="1" t="s">
        <v>861</v>
      </c>
      <c r="C2966" s="1" t="s">
        <v>899</v>
      </c>
      <c r="D2966" s="1" t="s">
        <v>5149</v>
      </c>
      <c r="E2966" s="1" t="str">
        <f>"8405"</f>
        <v>8405</v>
      </c>
      <c r="F2966" s="1" t="str">
        <f>"015472555"</f>
        <v>015472555</v>
      </c>
      <c r="G2966" s="1" t="s">
        <v>5064</v>
      </c>
      <c r="H2966" s="1" t="s">
        <v>15</v>
      </c>
      <c r="I2966" s="1" t="str">
        <f>"40"</f>
        <v>40</v>
      </c>
      <c r="J2966" s="3">
        <v>65.52</v>
      </c>
      <c r="K2966" s="4">
        <v>45922</v>
      </c>
      <c r="L2966" s="4">
        <v>46026</v>
      </c>
      <c r="M2966" s="1" t="s">
        <v>5148</v>
      </c>
      <c r="N2966" s="1" t="s">
        <v>5147</v>
      </c>
    </row>
    <row r="2967" spans="1:14" s="1" customFormat="1" x14ac:dyDescent="0.35">
      <c r="A2967" s="1" t="s">
        <v>4492</v>
      </c>
      <c r="B2967" s="1" t="s">
        <v>861</v>
      </c>
      <c r="C2967" s="1" t="s">
        <v>899</v>
      </c>
      <c r="D2967" s="1" t="s">
        <v>5146</v>
      </c>
      <c r="E2967" s="1" t="str">
        <f>"8405"</f>
        <v>8405</v>
      </c>
      <c r="F2967" s="1" t="str">
        <f>"015472555"</f>
        <v>015472555</v>
      </c>
      <c r="G2967" s="1" t="s">
        <v>5064</v>
      </c>
      <c r="H2967" s="1" t="s">
        <v>15</v>
      </c>
      <c r="I2967" s="1" t="str">
        <f>"37"</f>
        <v>37</v>
      </c>
      <c r="J2967" s="3">
        <v>65.52</v>
      </c>
      <c r="K2967" s="4">
        <v>45925</v>
      </c>
      <c r="L2967" s="4">
        <v>46026</v>
      </c>
      <c r="M2967" s="1" t="s">
        <v>5145</v>
      </c>
      <c r="N2967" s="1" t="s">
        <v>5144</v>
      </c>
    </row>
    <row r="2968" spans="1:14" s="1" customFormat="1" x14ac:dyDescent="0.35">
      <c r="A2968" s="1" t="s">
        <v>4492</v>
      </c>
      <c r="B2968" s="1" t="s">
        <v>861</v>
      </c>
      <c r="C2968" s="1" t="s">
        <v>899</v>
      </c>
      <c r="D2968" s="1" t="s">
        <v>5143</v>
      </c>
      <c r="E2968" s="1" t="str">
        <f>"8430"</f>
        <v>8430</v>
      </c>
      <c r="F2968" s="1" t="str">
        <f>"015145144"</f>
        <v>015145144</v>
      </c>
      <c r="G2968" s="1" t="s">
        <v>908</v>
      </c>
      <c r="H2968" s="1" t="s">
        <v>47</v>
      </c>
      <c r="I2968" s="1" t="str">
        <f>"2"</f>
        <v>2</v>
      </c>
      <c r="J2968" s="3">
        <v>70.17</v>
      </c>
      <c r="K2968" s="4">
        <v>45929</v>
      </c>
      <c r="L2968" s="4">
        <v>46026</v>
      </c>
      <c r="M2968" s="1" t="s">
        <v>5142</v>
      </c>
      <c r="N2968" s="1" t="s">
        <v>5141</v>
      </c>
    </row>
    <row r="2969" spans="1:14" s="1" customFormat="1" x14ac:dyDescent="0.35">
      <c r="A2969" s="1" t="s">
        <v>4492</v>
      </c>
      <c r="B2969" s="1" t="s">
        <v>861</v>
      </c>
      <c r="C2969" s="1" t="s">
        <v>899</v>
      </c>
      <c r="D2969" s="1" t="s">
        <v>5140</v>
      </c>
      <c r="E2969" s="1" t="str">
        <f>"8465"</f>
        <v>8465</v>
      </c>
      <c r="F2969" s="1" t="str">
        <f>"016419671"</f>
        <v>016419671</v>
      </c>
      <c r="G2969" s="1" t="s">
        <v>1639</v>
      </c>
      <c r="H2969" s="1" t="s">
        <v>15</v>
      </c>
      <c r="I2969" s="1" t="str">
        <f>"20"</f>
        <v>20</v>
      </c>
      <c r="J2969" s="3">
        <v>40.4</v>
      </c>
      <c r="K2969" s="4">
        <v>46049</v>
      </c>
      <c r="L2969" s="4">
        <v>46063</v>
      </c>
      <c r="M2969" s="1" t="s">
        <v>5139</v>
      </c>
      <c r="N2969" s="1" t="s">
        <v>5138</v>
      </c>
    </row>
    <row r="2970" spans="1:14" s="1" customFormat="1" x14ac:dyDescent="0.35">
      <c r="A2970" s="1" t="s">
        <v>4492</v>
      </c>
      <c r="B2970" s="1" t="s">
        <v>861</v>
      </c>
      <c r="C2970" s="1" t="s">
        <v>899</v>
      </c>
      <c r="D2970" s="1" t="s">
        <v>5137</v>
      </c>
      <c r="E2970" s="1" t="str">
        <f>"8430"</f>
        <v>8430</v>
      </c>
      <c r="F2970" s="1" t="str">
        <f>"016324305"</f>
        <v>016324305</v>
      </c>
      <c r="G2970" s="1" t="s">
        <v>905</v>
      </c>
      <c r="H2970" s="1" t="s">
        <v>47</v>
      </c>
      <c r="I2970" s="1" t="str">
        <f>"1"</f>
        <v>1</v>
      </c>
      <c r="J2970" s="3">
        <v>118.5</v>
      </c>
      <c r="K2970" s="4">
        <v>46064</v>
      </c>
      <c r="L2970" s="4">
        <v>46093</v>
      </c>
      <c r="M2970" s="1" t="s">
        <v>5136</v>
      </c>
      <c r="N2970" s="1" t="s">
        <v>5135</v>
      </c>
    </row>
    <row r="2971" spans="1:14" s="1" customFormat="1" x14ac:dyDescent="0.35">
      <c r="A2971" s="1" t="s">
        <v>4492</v>
      </c>
      <c r="B2971" s="1" t="s">
        <v>861</v>
      </c>
      <c r="C2971" s="1" t="s">
        <v>899</v>
      </c>
      <c r="D2971" s="1" t="s">
        <v>5134</v>
      </c>
      <c r="E2971" s="1" t="str">
        <f>"8430"</f>
        <v>8430</v>
      </c>
      <c r="F2971" s="1" t="str">
        <f>"016759438"</f>
        <v>016759438</v>
      </c>
      <c r="G2971" s="1" t="s">
        <v>908</v>
      </c>
      <c r="H2971" s="1" t="s">
        <v>47</v>
      </c>
      <c r="I2971" s="1" t="str">
        <f>"2"</f>
        <v>2</v>
      </c>
      <c r="J2971" s="3">
        <v>164.15</v>
      </c>
      <c r="K2971" s="4">
        <v>46064</v>
      </c>
      <c r="L2971" s="4">
        <v>46086</v>
      </c>
      <c r="M2971" s="1" t="s">
        <v>5133</v>
      </c>
      <c r="N2971" s="1" t="s">
        <v>906</v>
      </c>
    </row>
    <row r="2972" spans="1:14" s="1" customFormat="1" x14ac:dyDescent="0.35">
      <c r="A2972" s="1" t="s">
        <v>4492</v>
      </c>
      <c r="B2972" s="1" t="s">
        <v>4883</v>
      </c>
      <c r="C2972" s="1" t="s">
        <v>5132</v>
      </c>
      <c r="D2972" s="1" t="s">
        <v>5131</v>
      </c>
      <c r="E2972" s="1" t="str">
        <f>"2340"</f>
        <v>2340</v>
      </c>
      <c r="F2972" s="1" t="str">
        <f>"015066222"</f>
        <v>015066222</v>
      </c>
      <c r="G2972" s="1" t="s">
        <v>3524</v>
      </c>
      <c r="H2972" s="1" t="s">
        <v>15</v>
      </c>
      <c r="I2972" s="1" t="str">
        <f>"2"</f>
        <v>2</v>
      </c>
      <c r="J2972" s="3" t="str">
        <f>"16104"</f>
        <v>16104</v>
      </c>
      <c r="K2972" s="4">
        <v>46020</v>
      </c>
      <c r="L2972" s="4">
        <v>46032</v>
      </c>
      <c r="M2972" s="1" t="s">
        <v>4524</v>
      </c>
      <c r="N2972" s="1" t="s">
        <v>5130</v>
      </c>
    </row>
    <row r="2973" spans="1:14" s="1" customFormat="1" x14ac:dyDescent="0.35">
      <c r="A2973" s="1" t="s">
        <v>4492</v>
      </c>
      <c r="B2973" s="1" t="s">
        <v>435</v>
      </c>
      <c r="C2973" s="1" t="s">
        <v>5129</v>
      </c>
      <c r="D2973" s="1" t="s">
        <v>5128</v>
      </c>
      <c r="E2973" s="1" t="str">
        <f>"8140"</f>
        <v>8140</v>
      </c>
      <c r="F2973" s="1" t="str">
        <f>"009601699"</f>
        <v>009601699</v>
      </c>
      <c r="G2973" s="1" t="s">
        <v>4074</v>
      </c>
      <c r="H2973" s="1" t="s">
        <v>15</v>
      </c>
      <c r="I2973" s="1" t="str">
        <f>"150"</f>
        <v>150</v>
      </c>
      <c r="J2973" s="3">
        <v>11.1</v>
      </c>
      <c r="K2973" s="4">
        <v>46078</v>
      </c>
      <c r="L2973" s="4">
        <v>46111</v>
      </c>
      <c r="M2973" s="1" t="s">
        <v>5127</v>
      </c>
      <c r="N2973" s="1" t="s">
        <v>5126</v>
      </c>
    </row>
    <row r="2974" spans="1:14" s="1" customFormat="1" x14ac:dyDescent="0.35">
      <c r="A2974" s="1" t="s">
        <v>4492</v>
      </c>
      <c r="B2974" s="1" t="s">
        <v>4456</v>
      </c>
      <c r="C2974" s="1" t="s">
        <v>5125</v>
      </c>
      <c r="D2974" s="1" t="s">
        <v>5124</v>
      </c>
      <c r="E2974" s="1" t="str">
        <f>"2340"</f>
        <v>2340</v>
      </c>
      <c r="F2974" s="1" t="s">
        <v>4496</v>
      </c>
      <c r="G2974" s="1" t="s">
        <v>4495</v>
      </c>
      <c r="H2974" s="1" t="s">
        <v>15</v>
      </c>
      <c r="I2974" s="1" t="str">
        <f>"3"</f>
        <v>3</v>
      </c>
      <c r="J2974" s="3">
        <v>12903.63</v>
      </c>
      <c r="K2974" s="4">
        <v>46006</v>
      </c>
      <c r="L2974" s="4">
        <v>46048</v>
      </c>
      <c r="M2974" s="1" t="s">
        <v>5123</v>
      </c>
      <c r="N2974" s="1" t="s">
        <v>5122</v>
      </c>
    </row>
    <row r="2975" spans="1:14" s="1" customFormat="1" x14ac:dyDescent="0.35">
      <c r="A2975" s="1" t="s">
        <v>4492</v>
      </c>
      <c r="B2975" s="1" t="s">
        <v>3356</v>
      </c>
      <c r="C2975" s="1" t="s">
        <v>3766</v>
      </c>
      <c r="D2975" s="1" t="s">
        <v>5121</v>
      </c>
      <c r="E2975" s="1" t="str">
        <f>"2320"</f>
        <v>2320</v>
      </c>
      <c r="F2975" s="1" t="str">
        <f>"010907796"</f>
        <v>010907796</v>
      </c>
      <c r="G2975" s="1" t="s">
        <v>3774</v>
      </c>
      <c r="H2975" s="1" t="s">
        <v>15</v>
      </c>
      <c r="I2975" s="1" t="str">
        <f>"1"</f>
        <v>1</v>
      </c>
      <c r="J2975" s="3" t="str">
        <f>"59635"</f>
        <v>59635</v>
      </c>
      <c r="K2975" s="4">
        <v>45994</v>
      </c>
      <c r="L2975" s="4">
        <v>46027</v>
      </c>
      <c r="M2975" s="1" t="s">
        <v>5120</v>
      </c>
      <c r="N2975" s="1" t="s">
        <v>5119</v>
      </c>
    </row>
    <row r="2976" spans="1:14" s="1" customFormat="1" x14ac:dyDescent="0.35">
      <c r="A2976" s="1" t="s">
        <v>4492</v>
      </c>
      <c r="B2976" s="1" t="s">
        <v>3356</v>
      </c>
      <c r="C2976" s="1" t="s">
        <v>3766</v>
      </c>
      <c r="D2976" s="1" t="s">
        <v>5118</v>
      </c>
      <c r="E2976" s="1" t="str">
        <f>"3805"</f>
        <v>3805</v>
      </c>
      <c r="F2976" s="1" t="s">
        <v>1020</v>
      </c>
      <c r="G2976" s="1" t="s">
        <v>1021</v>
      </c>
      <c r="H2976" s="1" t="s">
        <v>15</v>
      </c>
      <c r="I2976" s="1" t="str">
        <f>"1"</f>
        <v>1</v>
      </c>
      <c r="J2976" s="3" t="str">
        <f>"20000"</f>
        <v>20000</v>
      </c>
      <c r="K2976" s="4">
        <v>46020</v>
      </c>
      <c r="L2976" s="4">
        <v>46028</v>
      </c>
      <c r="M2976" s="1" t="s">
        <v>5117</v>
      </c>
      <c r="N2976" s="1" t="s">
        <v>5116</v>
      </c>
    </row>
    <row r="2977" spans="1:14" s="1" customFormat="1" x14ac:dyDescent="0.35">
      <c r="A2977" s="1" t="s">
        <v>4492</v>
      </c>
      <c r="B2977" s="1" t="s">
        <v>3356</v>
      </c>
      <c r="C2977" s="1" t="s">
        <v>3766</v>
      </c>
      <c r="D2977" s="1" t="s">
        <v>5115</v>
      </c>
      <c r="E2977" s="1" t="str">
        <f>"2310"</f>
        <v>2310</v>
      </c>
      <c r="F2977" s="1" t="str">
        <f>"016231545"</f>
        <v>016231545</v>
      </c>
      <c r="G2977" s="1" t="s">
        <v>232</v>
      </c>
      <c r="H2977" s="1" t="s">
        <v>15</v>
      </c>
      <c r="I2977" s="1" t="str">
        <f>"1"</f>
        <v>1</v>
      </c>
      <c r="J2977" s="3" t="str">
        <f>"32000"</f>
        <v>32000</v>
      </c>
      <c r="K2977" s="4">
        <v>46027</v>
      </c>
      <c r="L2977" s="4">
        <v>46027</v>
      </c>
      <c r="M2977" s="1" t="s">
        <v>5114</v>
      </c>
      <c r="N2977" s="1" t="s">
        <v>5113</v>
      </c>
    </row>
    <row r="2978" spans="1:14" s="1" customFormat="1" x14ac:dyDescent="0.35">
      <c r="A2978" s="1" t="s">
        <v>4492</v>
      </c>
      <c r="B2978" s="1" t="s">
        <v>3356</v>
      </c>
      <c r="C2978" s="1" t="s">
        <v>3766</v>
      </c>
      <c r="D2978" s="1" t="s">
        <v>5112</v>
      </c>
      <c r="E2978" s="1" t="str">
        <f>"3805"</f>
        <v>3805</v>
      </c>
      <c r="F2978" s="1" t="s">
        <v>1020</v>
      </c>
      <c r="G2978" s="1" t="s">
        <v>1021</v>
      </c>
      <c r="H2978" s="1" t="s">
        <v>15</v>
      </c>
      <c r="I2978" s="1" t="str">
        <f>"1"</f>
        <v>1</v>
      </c>
      <c r="J2978" s="3">
        <v>102143.01</v>
      </c>
      <c r="K2978" s="4">
        <v>46104</v>
      </c>
      <c r="L2978" s="4">
        <v>46106</v>
      </c>
      <c r="M2978" s="1" t="s">
        <v>5111</v>
      </c>
      <c r="N2978" s="1" t="s">
        <v>5110</v>
      </c>
    </row>
    <row r="2979" spans="1:14" s="1" customFormat="1" x14ac:dyDescent="0.35">
      <c r="A2979" s="1" t="s">
        <v>4492</v>
      </c>
      <c r="B2979" s="1" t="s">
        <v>913</v>
      </c>
      <c r="C2979" s="1" t="s">
        <v>977</v>
      </c>
      <c r="D2979" s="1" t="s">
        <v>5109</v>
      </c>
      <c r="E2979" s="1" t="str">
        <f>"6545"</f>
        <v>6545</v>
      </c>
      <c r="F2979" s="1" t="str">
        <f>"015841582"</f>
        <v>015841582</v>
      </c>
      <c r="G2979" s="1" t="s">
        <v>990</v>
      </c>
      <c r="H2979" s="1" t="s">
        <v>168</v>
      </c>
      <c r="I2979" s="1" t="str">
        <f>"1"</f>
        <v>1</v>
      </c>
      <c r="J2979" s="3">
        <v>103.24</v>
      </c>
      <c r="K2979" s="4">
        <v>46062</v>
      </c>
      <c r="L2979" s="4">
        <v>46067</v>
      </c>
      <c r="M2979" s="1" t="s">
        <v>5108</v>
      </c>
      <c r="N2979" s="1" t="s">
        <v>991</v>
      </c>
    </row>
    <row r="2980" spans="1:14" s="1" customFormat="1" x14ac:dyDescent="0.35">
      <c r="A2980" s="1" t="s">
        <v>4492</v>
      </c>
      <c r="B2980" s="1" t="s">
        <v>913</v>
      </c>
      <c r="C2980" s="1" t="s">
        <v>977</v>
      </c>
      <c r="D2980" s="1" t="s">
        <v>5107</v>
      </c>
      <c r="E2980" s="1" t="str">
        <f>"6545"</f>
        <v>6545</v>
      </c>
      <c r="F2980" s="1" t="str">
        <f>"015300929"</f>
        <v>015300929</v>
      </c>
      <c r="G2980" s="1" t="s">
        <v>167</v>
      </c>
      <c r="H2980" s="1" t="s">
        <v>168</v>
      </c>
      <c r="I2980" s="1" t="str">
        <f>"14"</f>
        <v>14</v>
      </c>
      <c r="J2980" s="3">
        <v>48.71</v>
      </c>
      <c r="K2980" s="4">
        <v>46062</v>
      </c>
      <c r="L2980" s="4">
        <v>46093</v>
      </c>
      <c r="M2980" s="1" t="s">
        <v>5106</v>
      </c>
      <c r="N2980" s="1" t="s">
        <v>997</v>
      </c>
    </row>
    <row r="2981" spans="1:14" s="1" customFormat="1" x14ac:dyDescent="0.35">
      <c r="A2981" s="1" t="s">
        <v>4492</v>
      </c>
      <c r="B2981" s="1" t="s">
        <v>913</v>
      </c>
      <c r="C2981" s="1" t="s">
        <v>977</v>
      </c>
      <c r="D2981" s="1" t="s">
        <v>5105</v>
      </c>
      <c r="E2981" s="1" t="str">
        <f>"6515"</f>
        <v>6515</v>
      </c>
      <c r="F2981" s="1" t="str">
        <f>"015217976"</f>
        <v>015217976</v>
      </c>
      <c r="G2981" s="1" t="s">
        <v>2250</v>
      </c>
      <c r="H2981" s="1" t="s">
        <v>15</v>
      </c>
      <c r="I2981" s="1" t="str">
        <f>"16"</f>
        <v>16</v>
      </c>
      <c r="J2981" s="3">
        <v>31.1</v>
      </c>
      <c r="K2981" s="4">
        <v>46062</v>
      </c>
      <c r="L2981" s="4">
        <v>46065</v>
      </c>
      <c r="M2981" s="1" t="s">
        <v>5104</v>
      </c>
      <c r="N2981" s="1" t="s">
        <v>991</v>
      </c>
    </row>
    <row r="2982" spans="1:14" s="1" customFormat="1" x14ac:dyDescent="0.35">
      <c r="A2982" s="1" t="s">
        <v>4492</v>
      </c>
      <c r="B2982" s="1" t="s">
        <v>913</v>
      </c>
      <c r="C2982" s="1" t="s">
        <v>977</v>
      </c>
      <c r="D2982" s="1" t="s">
        <v>5103</v>
      </c>
      <c r="E2982" s="1" t="str">
        <f>"5855"</f>
        <v>5855</v>
      </c>
      <c r="F2982" s="1" t="s">
        <v>985</v>
      </c>
      <c r="G2982" s="1" t="s">
        <v>986</v>
      </c>
      <c r="H2982" s="1" t="s">
        <v>15</v>
      </c>
      <c r="I2982" s="1" t="str">
        <f>"1"</f>
        <v>1</v>
      </c>
      <c r="J2982" s="3" t="str">
        <f>"1000"</f>
        <v>1000</v>
      </c>
      <c r="K2982" s="4">
        <v>46071</v>
      </c>
      <c r="L2982" s="4">
        <v>46071</v>
      </c>
      <c r="N2982" s="1" t="s">
        <v>5102</v>
      </c>
    </row>
    <row r="2983" spans="1:14" s="1" customFormat="1" x14ac:dyDescent="0.35">
      <c r="A2983" s="1" t="s">
        <v>4492</v>
      </c>
      <c r="B2983" s="1" t="s">
        <v>1989</v>
      </c>
      <c r="C2983" s="1" t="s">
        <v>2116</v>
      </c>
      <c r="D2983" s="1" t="s">
        <v>5101</v>
      </c>
      <c r="E2983" s="1" t="str">
        <f>"3470"</f>
        <v>3470</v>
      </c>
      <c r="F2983" s="1" t="str">
        <f>"014549877"</f>
        <v>014549877</v>
      </c>
      <c r="G2983" s="1" t="s">
        <v>4212</v>
      </c>
      <c r="H2983" s="1" t="s">
        <v>15</v>
      </c>
      <c r="I2983" s="1" t="str">
        <f>"1"</f>
        <v>1</v>
      </c>
      <c r="J2983" s="3" t="str">
        <f>"35000"</f>
        <v>35000</v>
      </c>
      <c r="K2983" s="4">
        <v>45978</v>
      </c>
      <c r="L2983" s="4">
        <v>46027</v>
      </c>
      <c r="M2983" s="1" t="s">
        <v>5100</v>
      </c>
      <c r="N2983" s="1" t="s">
        <v>5099</v>
      </c>
    </row>
    <row r="2984" spans="1:14" s="1" customFormat="1" x14ac:dyDescent="0.35">
      <c r="A2984" s="1" t="s">
        <v>4492</v>
      </c>
      <c r="B2984" s="1" t="s">
        <v>1989</v>
      </c>
      <c r="C2984" s="1" t="s">
        <v>2116</v>
      </c>
      <c r="D2984" s="1" t="s">
        <v>5098</v>
      </c>
      <c r="E2984" s="1" t="str">
        <f>"4940"</f>
        <v>4940</v>
      </c>
      <c r="F2984" s="1" t="s">
        <v>2479</v>
      </c>
      <c r="G2984" s="1" t="s">
        <v>2480</v>
      </c>
      <c r="H2984" s="1" t="s">
        <v>15</v>
      </c>
      <c r="I2984" s="1" t="str">
        <f>"1"</f>
        <v>1</v>
      </c>
      <c r="J2984" s="3">
        <v>117820.08</v>
      </c>
      <c r="K2984" s="4">
        <v>46035</v>
      </c>
      <c r="L2984" s="4">
        <v>46037</v>
      </c>
      <c r="N2984" s="1" t="s">
        <v>5097</v>
      </c>
    </row>
    <row r="2985" spans="1:14" s="1" customFormat="1" x14ac:dyDescent="0.35">
      <c r="A2985" s="1" t="s">
        <v>4492</v>
      </c>
      <c r="B2985" s="1" t="s">
        <v>1791</v>
      </c>
      <c r="C2985" s="1" t="s">
        <v>5096</v>
      </c>
      <c r="D2985" s="1" t="s">
        <v>5095</v>
      </c>
      <c r="E2985" s="1" t="str">
        <f>"2360"</f>
        <v>2360</v>
      </c>
      <c r="F2985" s="1" t="str">
        <f>"016631015"</f>
        <v>016631015</v>
      </c>
      <c r="G2985" s="1" t="s">
        <v>1275</v>
      </c>
      <c r="H2985" s="1" t="s">
        <v>15</v>
      </c>
      <c r="I2985" s="1" t="str">
        <f>"1"</f>
        <v>1</v>
      </c>
      <c r="J2985" s="3" t="str">
        <f>"126462"</f>
        <v>126462</v>
      </c>
      <c r="K2985" s="4">
        <v>46085</v>
      </c>
      <c r="L2985" s="4">
        <v>46088</v>
      </c>
      <c r="M2985" s="1" t="s">
        <v>5094</v>
      </c>
      <c r="N2985" s="1" t="s">
        <v>5093</v>
      </c>
    </row>
    <row r="2986" spans="1:14" s="1" customFormat="1" x14ac:dyDescent="0.35">
      <c r="A2986" s="1" t="s">
        <v>4492</v>
      </c>
      <c r="B2986" s="1" t="s">
        <v>4247</v>
      </c>
      <c r="C2986" s="1" t="s">
        <v>4330</v>
      </c>
      <c r="D2986" s="1" t="s">
        <v>5092</v>
      </c>
      <c r="E2986" s="1" t="str">
        <f>"2330"</f>
        <v>2330</v>
      </c>
      <c r="F2986" s="1" t="s">
        <v>5091</v>
      </c>
      <c r="G2986" s="1" t="s">
        <v>5090</v>
      </c>
      <c r="H2986" s="1" t="s">
        <v>15</v>
      </c>
      <c r="I2986" s="1" t="str">
        <f>"1"</f>
        <v>1</v>
      </c>
      <c r="J2986" s="3" t="str">
        <f>"70000"</f>
        <v>70000</v>
      </c>
      <c r="K2986" s="4">
        <v>45993</v>
      </c>
      <c r="L2986" s="4">
        <v>46035</v>
      </c>
      <c r="M2986" s="1" t="s">
        <v>5089</v>
      </c>
      <c r="N2986" s="1" t="s">
        <v>5088</v>
      </c>
    </row>
    <row r="2987" spans="1:14" s="1" customFormat="1" x14ac:dyDescent="0.35">
      <c r="A2987" s="1" t="s">
        <v>4492</v>
      </c>
      <c r="B2987" s="1" t="s">
        <v>4247</v>
      </c>
      <c r="C2987" s="1" t="s">
        <v>4330</v>
      </c>
      <c r="D2987" s="1" t="s">
        <v>5087</v>
      </c>
      <c r="E2987" s="1" t="str">
        <f>"2320"</f>
        <v>2320</v>
      </c>
      <c r="F2987" s="1" t="str">
        <f>"008925938"</f>
        <v>008925938</v>
      </c>
      <c r="G2987" s="1" t="s">
        <v>930</v>
      </c>
      <c r="H2987" s="1" t="s">
        <v>15</v>
      </c>
      <c r="I2987" s="1" t="str">
        <f>"1"</f>
        <v>1</v>
      </c>
      <c r="J2987" s="3" t="str">
        <f>"27290"</f>
        <v>27290</v>
      </c>
      <c r="K2987" s="4">
        <v>46011</v>
      </c>
      <c r="L2987" s="4">
        <v>46025</v>
      </c>
      <c r="M2987" s="1" t="s">
        <v>5086</v>
      </c>
      <c r="N2987" s="1" t="s">
        <v>5085</v>
      </c>
    </row>
    <row r="2988" spans="1:14" s="1" customFormat="1" x14ac:dyDescent="0.35">
      <c r="A2988" s="1" t="s">
        <v>4492</v>
      </c>
      <c r="B2988" s="1" t="s">
        <v>4247</v>
      </c>
      <c r="C2988" s="1" t="s">
        <v>4330</v>
      </c>
      <c r="D2988" s="1" t="s">
        <v>5084</v>
      </c>
      <c r="E2988" s="1" t="str">
        <f>"3830"</f>
        <v>3830</v>
      </c>
      <c r="F2988" s="1" t="s">
        <v>1544</v>
      </c>
      <c r="G2988" s="1" t="s">
        <v>1545</v>
      </c>
      <c r="H2988" s="1" t="s">
        <v>15</v>
      </c>
      <c r="I2988" s="1" t="str">
        <f>"1"</f>
        <v>1</v>
      </c>
      <c r="J2988" s="3" t="str">
        <f>"2000"</f>
        <v>2000</v>
      </c>
      <c r="K2988" s="4">
        <v>46028</v>
      </c>
      <c r="L2988" s="4">
        <v>46032</v>
      </c>
      <c r="M2988" s="1" t="s">
        <v>5083</v>
      </c>
      <c r="N2988" s="1" t="s">
        <v>5082</v>
      </c>
    </row>
    <row r="2989" spans="1:14" s="1" customFormat="1" x14ac:dyDescent="0.35">
      <c r="A2989" s="1" t="s">
        <v>4492</v>
      </c>
      <c r="B2989" s="1" t="s">
        <v>4247</v>
      </c>
      <c r="C2989" s="1" t="s">
        <v>4330</v>
      </c>
      <c r="D2989" s="1" t="s">
        <v>5081</v>
      </c>
      <c r="E2989" s="1" t="str">
        <f>"2320"</f>
        <v>2320</v>
      </c>
      <c r="F2989" s="1" t="str">
        <f>"013455182"</f>
        <v>013455182</v>
      </c>
      <c r="G2989" s="1" t="s">
        <v>394</v>
      </c>
      <c r="H2989" s="1" t="s">
        <v>15</v>
      </c>
      <c r="I2989" s="1" t="str">
        <f>"1"</f>
        <v>1</v>
      </c>
      <c r="J2989" s="3">
        <v>49520.89</v>
      </c>
      <c r="K2989" s="4">
        <v>46027</v>
      </c>
      <c r="L2989" s="4">
        <v>46028</v>
      </c>
      <c r="M2989" s="1" t="s">
        <v>5080</v>
      </c>
      <c r="N2989" s="1" t="s">
        <v>5079</v>
      </c>
    </row>
    <row r="2990" spans="1:14" s="1" customFormat="1" x14ac:dyDescent="0.35">
      <c r="A2990" s="1" t="s">
        <v>4492</v>
      </c>
      <c r="B2990" s="1" t="s">
        <v>4247</v>
      </c>
      <c r="C2990" s="1" t="s">
        <v>4330</v>
      </c>
      <c r="D2990" s="1" t="s">
        <v>5078</v>
      </c>
      <c r="E2990" s="1" t="str">
        <f>"2320"</f>
        <v>2320</v>
      </c>
      <c r="F2990" s="1" t="s">
        <v>100</v>
      </c>
      <c r="G2990" s="1" t="s">
        <v>101</v>
      </c>
      <c r="H2990" s="1" t="s">
        <v>15</v>
      </c>
      <c r="I2990" s="1" t="str">
        <f>"1"</f>
        <v>1</v>
      </c>
      <c r="J2990" s="3">
        <v>21545.32</v>
      </c>
      <c r="K2990" s="4">
        <v>46027</v>
      </c>
      <c r="L2990" s="4">
        <v>46039</v>
      </c>
      <c r="M2990" s="1" t="s">
        <v>5077</v>
      </c>
      <c r="N2990" s="1" t="s">
        <v>5076</v>
      </c>
    </row>
    <row r="2991" spans="1:14" s="1" customFormat="1" x14ac:dyDescent="0.35">
      <c r="A2991" s="1" t="s">
        <v>4492</v>
      </c>
      <c r="B2991" s="1" t="s">
        <v>4247</v>
      </c>
      <c r="C2991" s="1" t="s">
        <v>4330</v>
      </c>
      <c r="D2991" s="1" t="s">
        <v>5075</v>
      </c>
      <c r="E2991" s="1" t="str">
        <f>"2320"</f>
        <v>2320</v>
      </c>
      <c r="F2991" s="1" t="s">
        <v>100</v>
      </c>
      <c r="G2991" s="1" t="s">
        <v>101</v>
      </c>
      <c r="H2991" s="1" t="s">
        <v>15</v>
      </c>
      <c r="I2991" s="1" t="str">
        <f>"1"</f>
        <v>1</v>
      </c>
      <c r="J2991" s="3" t="str">
        <f>"40000"</f>
        <v>40000</v>
      </c>
      <c r="K2991" s="4">
        <v>46027</v>
      </c>
      <c r="L2991" s="4">
        <v>46028</v>
      </c>
      <c r="M2991" s="1" t="s">
        <v>5074</v>
      </c>
      <c r="N2991" s="1" t="s">
        <v>5073</v>
      </c>
    </row>
    <row r="2992" spans="1:14" s="1" customFormat="1" x14ac:dyDescent="0.35">
      <c r="A2992" s="1" t="s">
        <v>4492</v>
      </c>
      <c r="B2992" s="1" t="s">
        <v>4247</v>
      </c>
      <c r="C2992" s="1" t="s">
        <v>4330</v>
      </c>
      <c r="D2992" s="1" t="s">
        <v>5072</v>
      </c>
      <c r="E2992" s="1" t="str">
        <f>"8465"</f>
        <v>8465</v>
      </c>
      <c r="F2992" s="1" t="str">
        <f>"015245250"</f>
        <v>015245250</v>
      </c>
      <c r="G2992" s="1" t="s">
        <v>343</v>
      </c>
      <c r="H2992" s="1" t="s">
        <v>15</v>
      </c>
      <c r="I2992" s="1" t="str">
        <f>"19"</f>
        <v>19</v>
      </c>
      <c r="J2992" s="3">
        <v>75.150000000000006</v>
      </c>
      <c r="K2992" s="4">
        <v>46031</v>
      </c>
      <c r="L2992" s="4">
        <v>46071</v>
      </c>
      <c r="M2992" s="1" t="s">
        <v>5071</v>
      </c>
      <c r="N2992" s="1" t="s">
        <v>5070</v>
      </c>
    </row>
    <row r="2993" spans="1:14" s="1" customFormat="1" x14ac:dyDescent="0.35">
      <c r="A2993" s="1" t="s">
        <v>4492</v>
      </c>
      <c r="B2993" s="1" t="s">
        <v>4247</v>
      </c>
      <c r="C2993" s="1" t="s">
        <v>4330</v>
      </c>
      <c r="D2993" s="1" t="s">
        <v>5069</v>
      </c>
      <c r="E2993" s="1" t="str">
        <f>"8415"</f>
        <v>8415</v>
      </c>
      <c r="F2993" s="1" t="str">
        <f>"015302350"</f>
        <v>015302350</v>
      </c>
      <c r="G2993" s="1" t="s">
        <v>5068</v>
      </c>
      <c r="H2993" s="1" t="s">
        <v>47</v>
      </c>
      <c r="I2993" s="1" t="str">
        <f>"13"</f>
        <v>13</v>
      </c>
      <c r="J2993" s="3">
        <v>17.41</v>
      </c>
      <c r="K2993" s="4">
        <v>46031</v>
      </c>
      <c r="L2993" s="4">
        <v>46071</v>
      </c>
      <c r="M2993" s="1" t="s">
        <v>5067</v>
      </c>
      <c r="N2993" s="1" t="s">
        <v>5066</v>
      </c>
    </row>
    <row r="2994" spans="1:14" s="1" customFormat="1" x14ac:dyDescent="0.35">
      <c r="A2994" s="1" t="s">
        <v>4492</v>
      </c>
      <c r="B2994" s="1" t="s">
        <v>4247</v>
      </c>
      <c r="C2994" s="1" t="s">
        <v>4330</v>
      </c>
      <c r="D2994" s="1" t="s">
        <v>5065</v>
      </c>
      <c r="E2994" s="1" t="str">
        <f>"8405"</f>
        <v>8405</v>
      </c>
      <c r="F2994" s="1" t="str">
        <f>"015472555"</f>
        <v>015472555</v>
      </c>
      <c r="G2994" s="1" t="s">
        <v>5064</v>
      </c>
      <c r="H2994" s="1" t="s">
        <v>15</v>
      </c>
      <c r="I2994" s="1" t="str">
        <f>"37"</f>
        <v>37</v>
      </c>
      <c r="J2994" s="3">
        <v>63.02</v>
      </c>
      <c r="K2994" s="4">
        <v>46031</v>
      </c>
      <c r="L2994" s="4">
        <v>46071</v>
      </c>
      <c r="M2994" s="1" t="s">
        <v>5063</v>
      </c>
      <c r="N2994" s="1" t="s">
        <v>5062</v>
      </c>
    </row>
    <row r="2995" spans="1:14" s="1" customFormat="1" x14ac:dyDescent="0.35">
      <c r="A2995" s="1" t="s">
        <v>4492</v>
      </c>
      <c r="B2995" s="1" t="s">
        <v>4247</v>
      </c>
      <c r="C2995" s="1" t="s">
        <v>4330</v>
      </c>
      <c r="D2995" s="1" t="s">
        <v>5061</v>
      </c>
      <c r="E2995" s="1" t="str">
        <f>"8465"</f>
        <v>8465</v>
      </c>
      <c r="F2995" s="1" t="str">
        <f>"015313647"</f>
        <v>015313647</v>
      </c>
      <c r="G2995" s="1" t="s">
        <v>5060</v>
      </c>
      <c r="H2995" s="1" t="s">
        <v>15</v>
      </c>
      <c r="I2995" s="1" t="str">
        <f>"30"</f>
        <v>30</v>
      </c>
      <c r="J2995" s="3">
        <v>13.09</v>
      </c>
      <c r="K2995" s="4">
        <v>46031</v>
      </c>
      <c r="L2995" s="4">
        <v>46071</v>
      </c>
      <c r="M2995" s="1" t="s">
        <v>5059</v>
      </c>
      <c r="N2995" s="1" t="s">
        <v>5058</v>
      </c>
    </row>
    <row r="2996" spans="1:14" s="1" customFormat="1" x14ac:dyDescent="0.35">
      <c r="A2996" s="1" t="s">
        <v>4492</v>
      </c>
      <c r="B2996" s="1" t="s">
        <v>4247</v>
      </c>
      <c r="C2996" s="1" t="s">
        <v>4330</v>
      </c>
      <c r="D2996" s="1" t="s">
        <v>5057</v>
      </c>
      <c r="E2996" s="1" t="str">
        <f>"2320"</f>
        <v>2320</v>
      </c>
      <c r="F2996" s="1" t="str">
        <f>"009354448"</f>
        <v>009354448</v>
      </c>
      <c r="G2996" s="1" t="s">
        <v>394</v>
      </c>
      <c r="H2996" s="1" t="s">
        <v>15</v>
      </c>
      <c r="I2996" s="1" t="str">
        <f>"1"</f>
        <v>1</v>
      </c>
      <c r="J2996" s="3" t="str">
        <f>"116776"</f>
        <v>116776</v>
      </c>
      <c r="K2996" s="4">
        <v>46032</v>
      </c>
      <c r="L2996" s="4">
        <v>46046</v>
      </c>
      <c r="M2996" s="1" t="s">
        <v>5056</v>
      </c>
      <c r="N2996" s="1" t="s">
        <v>5055</v>
      </c>
    </row>
    <row r="2997" spans="1:14" s="1" customFormat="1" x14ac:dyDescent="0.35">
      <c r="A2997" s="1" t="s">
        <v>4492</v>
      </c>
      <c r="B2997" s="1" t="s">
        <v>4247</v>
      </c>
      <c r="C2997" s="1" t="s">
        <v>4330</v>
      </c>
      <c r="D2997" s="1" t="s">
        <v>5054</v>
      </c>
      <c r="E2997" s="1" t="str">
        <f>"2320"</f>
        <v>2320</v>
      </c>
      <c r="F2997" s="1" t="str">
        <f>"015016635"</f>
        <v>015016635</v>
      </c>
      <c r="G2997" s="1" t="s">
        <v>1765</v>
      </c>
      <c r="H2997" s="1" t="s">
        <v>15</v>
      </c>
      <c r="I2997" s="1" t="str">
        <f>"1"</f>
        <v>1</v>
      </c>
      <c r="J2997" s="3" t="str">
        <f>"45602"</f>
        <v>45602</v>
      </c>
      <c r="K2997" s="4">
        <v>46032</v>
      </c>
      <c r="L2997" s="4">
        <v>46035</v>
      </c>
      <c r="M2997" s="1" t="s">
        <v>5053</v>
      </c>
      <c r="N2997" s="1" t="s">
        <v>5052</v>
      </c>
    </row>
    <row r="2998" spans="1:14" s="1" customFormat="1" x14ac:dyDescent="0.35">
      <c r="A2998" s="1" t="s">
        <v>4492</v>
      </c>
      <c r="B2998" s="1" t="s">
        <v>4247</v>
      </c>
      <c r="C2998" s="1" t="s">
        <v>4330</v>
      </c>
      <c r="D2998" s="1" t="s">
        <v>5051</v>
      </c>
      <c r="E2998" s="1" t="str">
        <f>"6545"</f>
        <v>6545</v>
      </c>
      <c r="F2998" s="1" t="str">
        <f>"015300929"</f>
        <v>015300929</v>
      </c>
      <c r="G2998" s="1" t="s">
        <v>167</v>
      </c>
      <c r="H2998" s="1" t="s">
        <v>168</v>
      </c>
      <c r="I2998" s="1" t="str">
        <f>"27"</f>
        <v>27</v>
      </c>
      <c r="J2998" s="3">
        <v>48.71</v>
      </c>
      <c r="K2998" s="4">
        <v>46034</v>
      </c>
      <c r="L2998" s="4">
        <v>46035</v>
      </c>
      <c r="M2998" s="1" t="s">
        <v>5050</v>
      </c>
      <c r="N2998" s="1" t="s">
        <v>5049</v>
      </c>
    </row>
    <row r="2999" spans="1:14" s="1" customFormat="1" x14ac:dyDescent="0.35">
      <c r="A2999" s="1" t="s">
        <v>4492</v>
      </c>
      <c r="B2999" s="1" t="s">
        <v>4247</v>
      </c>
      <c r="C2999" s="1" t="s">
        <v>4330</v>
      </c>
      <c r="D2999" s="1" t="s">
        <v>5051</v>
      </c>
      <c r="E2999" s="1" t="str">
        <f>"6545"</f>
        <v>6545</v>
      </c>
      <c r="F2999" s="1" t="str">
        <f>"015300929"</f>
        <v>015300929</v>
      </c>
      <c r="G2999" s="1" t="s">
        <v>167</v>
      </c>
      <c r="H2999" s="1" t="s">
        <v>168</v>
      </c>
      <c r="I2999" s="1" t="str">
        <f>"27"</f>
        <v>27</v>
      </c>
      <c r="J2999" s="3">
        <v>48.71</v>
      </c>
      <c r="K2999" s="4">
        <v>46034</v>
      </c>
      <c r="L2999" s="4">
        <v>46035</v>
      </c>
      <c r="M2999" s="1" t="s">
        <v>5050</v>
      </c>
      <c r="N2999" s="1" t="s">
        <v>5049</v>
      </c>
    </row>
    <row r="3000" spans="1:14" s="1" customFormat="1" x14ac:dyDescent="0.35">
      <c r="A3000" s="1" t="s">
        <v>4492</v>
      </c>
      <c r="B3000" s="1" t="s">
        <v>4247</v>
      </c>
      <c r="C3000" s="1" t="s">
        <v>4330</v>
      </c>
      <c r="D3000" s="1" t="s">
        <v>5048</v>
      </c>
      <c r="E3000" s="1" t="str">
        <f>"5140"</f>
        <v>5140</v>
      </c>
      <c r="F3000" s="1" t="str">
        <f>"014408588"</f>
        <v>014408588</v>
      </c>
      <c r="G3000" s="1" t="s">
        <v>592</v>
      </c>
      <c r="H3000" s="1" t="s">
        <v>15</v>
      </c>
      <c r="I3000" s="1" t="str">
        <f>"1"</f>
        <v>1</v>
      </c>
      <c r="J3000" s="3">
        <v>2326.9699999999998</v>
      </c>
      <c r="K3000" s="4">
        <v>46034</v>
      </c>
      <c r="L3000" s="4">
        <v>46046</v>
      </c>
      <c r="M3000" s="1" t="s">
        <v>5047</v>
      </c>
      <c r="N3000" s="1" t="s">
        <v>5044</v>
      </c>
    </row>
    <row r="3001" spans="1:14" s="1" customFormat="1" x14ac:dyDescent="0.35">
      <c r="A3001" s="1" t="s">
        <v>4492</v>
      </c>
      <c r="B3001" s="1" t="s">
        <v>4247</v>
      </c>
      <c r="C3001" s="1" t="s">
        <v>4330</v>
      </c>
      <c r="D3001" s="1" t="s">
        <v>5046</v>
      </c>
      <c r="E3001" s="1" t="str">
        <f>"5140"</f>
        <v>5140</v>
      </c>
      <c r="F3001" s="1" t="str">
        <f>"014408588"</f>
        <v>014408588</v>
      </c>
      <c r="G3001" s="1" t="s">
        <v>592</v>
      </c>
      <c r="H3001" s="1" t="s">
        <v>15</v>
      </c>
      <c r="I3001" s="1" t="str">
        <f>"1"</f>
        <v>1</v>
      </c>
      <c r="J3001" s="3">
        <v>2326.9699999999998</v>
      </c>
      <c r="K3001" s="4">
        <v>46034</v>
      </c>
      <c r="L3001" s="4">
        <v>46046</v>
      </c>
      <c r="M3001" s="1" t="s">
        <v>5045</v>
      </c>
      <c r="N3001" s="1" t="s">
        <v>5044</v>
      </c>
    </row>
    <row r="3002" spans="1:14" s="1" customFormat="1" x14ac:dyDescent="0.35">
      <c r="A3002" s="1" t="s">
        <v>4492</v>
      </c>
      <c r="B3002" s="1" t="s">
        <v>4247</v>
      </c>
      <c r="C3002" s="1" t="s">
        <v>4330</v>
      </c>
      <c r="D3002" s="1" t="s">
        <v>5043</v>
      </c>
      <c r="E3002" s="1" t="str">
        <f>"6760"</f>
        <v>6760</v>
      </c>
      <c r="F3002" s="1" t="s">
        <v>1731</v>
      </c>
      <c r="G3002" s="1" t="s">
        <v>1732</v>
      </c>
      <c r="H3002" s="1" t="s">
        <v>15</v>
      </c>
      <c r="I3002" s="1" t="str">
        <f>"14"</f>
        <v>14</v>
      </c>
      <c r="J3002" s="3">
        <v>188.78</v>
      </c>
      <c r="K3002" s="4">
        <v>46055</v>
      </c>
      <c r="L3002" s="4">
        <v>46055</v>
      </c>
      <c r="M3002" s="1" t="s">
        <v>4524</v>
      </c>
      <c r="N3002" s="1" t="s">
        <v>5042</v>
      </c>
    </row>
    <row r="3003" spans="1:14" s="1" customFormat="1" x14ac:dyDescent="0.35">
      <c r="A3003" s="1" t="s">
        <v>4492</v>
      </c>
      <c r="B3003" s="1" t="s">
        <v>4247</v>
      </c>
      <c r="C3003" s="1" t="s">
        <v>4330</v>
      </c>
      <c r="D3003" s="1" t="s">
        <v>5041</v>
      </c>
      <c r="E3003" s="1" t="str">
        <f>"2320"</f>
        <v>2320</v>
      </c>
      <c r="F3003" s="1" t="s">
        <v>1664</v>
      </c>
      <c r="G3003" s="1" t="s">
        <v>1665</v>
      </c>
      <c r="H3003" s="1" t="s">
        <v>15</v>
      </c>
      <c r="I3003" s="1" t="str">
        <f>"1"</f>
        <v>1</v>
      </c>
      <c r="J3003" s="3" t="str">
        <f>"20000"</f>
        <v>20000</v>
      </c>
      <c r="K3003" s="4">
        <v>46046</v>
      </c>
      <c r="L3003" s="4">
        <v>46055</v>
      </c>
      <c r="M3003" s="1" t="s">
        <v>5040</v>
      </c>
      <c r="N3003" s="1" t="s">
        <v>5039</v>
      </c>
    </row>
    <row r="3004" spans="1:14" s="1" customFormat="1" x14ac:dyDescent="0.35">
      <c r="A3004" s="1" t="s">
        <v>4492</v>
      </c>
      <c r="B3004" s="1" t="s">
        <v>4247</v>
      </c>
      <c r="C3004" s="1" t="s">
        <v>4330</v>
      </c>
      <c r="D3004" s="1" t="s">
        <v>5038</v>
      </c>
      <c r="E3004" s="1" t="str">
        <f>"3830"</f>
        <v>3830</v>
      </c>
      <c r="F3004" s="1" t="s">
        <v>1544</v>
      </c>
      <c r="G3004" s="1" t="s">
        <v>1545</v>
      </c>
      <c r="H3004" s="1" t="s">
        <v>15</v>
      </c>
      <c r="I3004" s="1" t="str">
        <f>"6"</f>
        <v>6</v>
      </c>
      <c r="J3004" s="3" t="str">
        <f>"500"</f>
        <v>500</v>
      </c>
      <c r="K3004" s="4">
        <v>46051</v>
      </c>
      <c r="L3004" s="4">
        <v>46060</v>
      </c>
      <c r="M3004" s="1" t="s">
        <v>5037</v>
      </c>
      <c r="N3004" s="1" t="s">
        <v>5036</v>
      </c>
    </row>
    <row r="3005" spans="1:14" s="1" customFormat="1" x14ac:dyDescent="0.35">
      <c r="A3005" s="1" t="s">
        <v>4492</v>
      </c>
      <c r="B3005" s="1" t="s">
        <v>4247</v>
      </c>
      <c r="C3005" s="1" t="s">
        <v>4330</v>
      </c>
      <c r="D3005" s="1" t="s">
        <v>5035</v>
      </c>
      <c r="E3005" s="1" t="str">
        <f>"8340"</f>
        <v>8340</v>
      </c>
      <c r="F3005" s="1" t="str">
        <f>"014572206"</f>
        <v>014572206</v>
      </c>
      <c r="G3005" s="1" t="s">
        <v>2955</v>
      </c>
      <c r="H3005" s="1" t="s">
        <v>15</v>
      </c>
      <c r="I3005" s="1" t="str">
        <f>"1"</f>
        <v>1</v>
      </c>
      <c r="J3005" s="3">
        <v>17730.25</v>
      </c>
      <c r="K3005" s="4">
        <v>46055</v>
      </c>
      <c r="L3005" s="4">
        <v>46055</v>
      </c>
      <c r="M3005" s="1" t="s">
        <v>4524</v>
      </c>
      <c r="N3005" s="1" t="s">
        <v>5034</v>
      </c>
    </row>
    <row r="3006" spans="1:14" s="1" customFormat="1" x14ac:dyDescent="0.35">
      <c r="A3006" s="1" t="s">
        <v>4492</v>
      </c>
      <c r="B3006" s="1" t="s">
        <v>4247</v>
      </c>
      <c r="C3006" s="1" t="s">
        <v>4330</v>
      </c>
      <c r="D3006" s="1" t="s">
        <v>5033</v>
      </c>
      <c r="E3006" s="1" t="str">
        <f>"4240"</f>
        <v>4240</v>
      </c>
      <c r="F3006" s="1" t="str">
        <f>"015635699"</f>
        <v>015635699</v>
      </c>
      <c r="G3006" s="1" t="s">
        <v>5032</v>
      </c>
      <c r="H3006" s="1" t="s">
        <v>15</v>
      </c>
      <c r="I3006" s="1" t="str">
        <f>"56"</f>
        <v>56</v>
      </c>
      <c r="J3006" s="3" t="str">
        <f>"55"</f>
        <v>55</v>
      </c>
      <c r="K3006" s="4">
        <v>46055</v>
      </c>
      <c r="L3006" s="4">
        <v>46060</v>
      </c>
      <c r="M3006" s="1" t="s">
        <v>5031</v>
      </c>
      <c r="N3006" s="1" t="s">
        <v>5030</v>
      </c>
    </row>
    <row r="3007" spans="1:14" s="1" customFormat="1" x14ac:dyDescent="0.35">
      <c r="A3007" s="1" t="s">
        <v>4492</v>
      </c>
      <c r="B3007" s="1" t="s">
        <v>4247</v>
      </c>
      <c r="C3007" s="1" t="s">
        <v>4330</v>
      </c>
      <c r="D3007" s="1" t="s">
        <v>5029</v>
      </c>
      <c r="E3007" s="1" t="str">
        <f>"8340"</f>
        <v>8340</v>
      </c>
      <c r="F3007" s="1" t="str">
        <f>"014572206"</f>
        <v>014572206</v>
      </c>
      <c r="G3007" s="1" t="s">
        <v>2955</v>
      </c>
      <c r="H3007" s="1" t="s">
        <v>15</v>
      </c>
      <c r="I3007" s="1" t="str">
        <f>"1"</f>
        <v>1</v>
      </c>
      <c r="J3007" s="3">
        <v>17730.25</v>
      </c>
      <c r="K3007" s="4">
        <v>46055</v>
      </c>
      <c r="L3007" s="4">
        <v>46056</v>
      </c>
      <c r="M3007" s="1" t="s">
        <v>4556</v>
      </c>
      <c r="N3007" s="1" t="s">
        <v>5028</v>
      </c>
    </row>
    <row r="3008" spans="1:14" s="1" customFormat="1" x14ac:dyDescent="0.35">
      <c r="A3008" s="1" t="s">
        <v>4492</v>
      </c>
      <c r="B3008" s="1" t="s">
        <v>4247</v>
      </c>
      <c r="C3008" s="1" t="s">
        <v>4330</v>
      </c>
      <c r="D3008" s="1" t="s">
        <v>5027</v>
      </c>
      <c r="E3008" s="1" t="str">
        <f>"3695"</f>
        <v>3695</v>
      </c>
      <c r="F3008" s="1" t="str">
        <f>"013781453"</f>
        <v>013781453</v>
      </c>
      <c r="G3008" s="1" t="s">
        <v>2474</v>
      </c>
      <c r="H3008" s="1" t="s">
        <v>15</v>
      </c>
      <c r="I3008" s="1" t="str">
        <f>"1"</f>
        <v>1</v>
      </c>
      <c r="J3008" s="3">
        <v>554.24</v>
      </c>
      <c r="K3008" s="4">
        <v>46055</v>
      </c>
      <c r="L3008" s="4">
        <v>46057</v>
      </c>
      <c r="M3008" s="1" t="s">
        <v>5026</v>
      </c>
      <c r="N3008" s="1" t="s">
        <v>5023</v>
      </c>
    </row>
    <row r="3009" spans="1:14" s="1" customFormat="1" x14ac:dyDescent="0.35">
      <c r="A3009" s="1" t="s">
        <v>4492</v>
      </c>
      <c r="B3009" s="1" t="s">
        <v>4247</v>
      </c>
      <c r="C3009" s="1" t="s">
        <v>4330</v>
      </c>
      <c r="D3009" s="1" t="s">
        <v>5027</v>
      </c>
      <c r="E3009" s="1" t="str">
        <f>"3695"</f>
        <v>3695</v>
      </c>
      <c r="F3009" s="1" t="str">
        <f>"013781453"</f>
        <v>013781453</v>
      </c>
      <c r="G3009" s="1" t="s">
        <v>2474</v>
      </c>
      <c r="H3009" s="1" t="s">
        <v>15</v>
      </c>
      <c r="I3009" s="1" t="str">
        <f>"1"</f>
        <v>1</v>
      </c>
      <c r="J3009" s="3">
        <v>554.24</v>
      </c>
      <c r="K3009" s="4">
        <v>46055</v>
      </c>
      <c r="L3009" s="4">
        <v>46057</v>
      </c>
      <c r="M3009" s="1" t="s">
        <v>5026</v>
      </c>
      <c r="N3009" s="1" t="s">
        <v>5023</v>
      </c>
    </row>
    <row r="3010" spans="1:14" s="1" customFormat="1" x14ac:dyDescent="0.35">
      <c r="A3010" s="1" t="s">
        <v>4492</v>
      </c>
      <c r="B3010" s="1" t="s">
        <v>4247</v>
      </c>
      <c r="C3010" s="1" t="s">
        <v>4330</v>
      </c>
      <c r="D3010" s="1" t="s">
        <v>5025</v>
      </c>
      <c r="E3010" s="1" t="str">
        <f>"3695"</f>
        <v>3695</v>
      </c>
      <c r="F3010" s="1" t="str">
        <f>"013781453"</f>
        <v>013781453</v>
      </c>
      <c r="G3010" s="1" t="s">
        <v>2474</v>
      </c>
      <c r="H3010" s="1" t="s">
        <v>15</v>
      </c>
      <c r="I3010" s="1" t="str">
        <f>"2"</f>
        <v>2</v>
      </c>
      <c r="J3010" s="3">
        <v>554.24</v>
      </c>
      <c r="K3010" s="4">
        <v>46055</v>
      </c>
      <c r="L3010" s="4">
        <v>46060</v>
      </c>
      <c r="M3010" s="1" t="s">
        <v>5024</v>
      </c>
      <c r="N3010" s="1" t="s">
        <v>5023</v>
      </c>
    </row>
    <row r="3011" spans="1:14" s="1" customFormat="1" x14ac:dyDescent="0.35">
      <c r="A3011" s="1" t="s">
        <v>4492</v>
      </c>
      <c r="B3011" s="1" t="s">
        <v>4247</v>
      </c>
      <c r="C3011" s="1" t="s">
        <v>4330</v>
      </c>
      <c r="D3011" s="1" t="s">
        <v>5022</v>
      </c>
      <c r="E3011" s="1" t="str">
        <f>"2320"</f>
        <v>2320</v>
      </c>
      <c r="F3011" s="1" t="s">
        <v>4526</v>
      </c>
      <c r="G3011" s="1" t="s">
        <v>4525</v>
      </c>
      <c r="H3011" s="1" t="s">
        <v>15</v>
      </c>
      <c r="I3011" s="1" t="str">
        <f>"1"</f>
        <v>1</v>
      </c>
      <c r="J3011" s="3">
        <v>610434.26</v>
      </c>
      <c r="K3011" s="4">
        <v>46056</v>
      </c>
      <c r="L3011" s="4">
        <v>46056</v>
      </c>
      <c r="M3011" s="1" t="s">
        <v>4524</v>
      </c>
      <c r="N3011" s="1" t="s">
        <v>5021</v>
      </c>
    </row>
    <row r="3012" spans="1:14" s="1" customFormat="1" x14ac:dyDescent="0.35">
      <c r="A3012" s="1" t="s">
        <v>4492</v>
      </c>
      <c r="B3012" s="1" t="s">
        <v>4247</v>
      </c>
      <c r="C3012" s="1" t="s">
        <v>4330</v>
      </c>
      <c r="D3012" s="1" t="s">
        <v>5020</v>
      </c>
      <c r="E3012" s="1" t="str">
        <f>"5180"</f>
        <v>5180</v>
      </c>
      <c r="F3012" s="1" t="str">
        <f>"015595981"</f>
        <v>015595981</v>
      </c>
      <c r="G3012" s="1" t="s">
        <v>2584</v>
      </c>
      <c r="H3012" s="1" t="s">
        <v>168</v>
      </c>
      <c r="I3012" s="1" t="str">
        <f>"1"</f>
        <v>1</v>
      </c>
      <c r="J3012" s="3" t="str">
        <f>"1774"</f>
        <v>1774</v>
      </c>
      <c r="K3012" s="4">
        <v>46057</v>
      </c>
      <c r="L3012" s="4">
        <v>46105</v>
      </c>
      <c r="M3012" s="1" t="s">
        <v>5019</v>
      </c>
      <c r="N3012" s="1" t="s">
        <v>5016</v>
      </c>
    </row>
    <row r="3013" spans="1:14" s="1" customFormat="1" x14ac:dyDescent="0.35">
      <c r="A3013" s="1" t="s">
        <v>4492</v>
      </c>
      <c r="B3013" s="1" t="s">
        <v>4247</v>
      </c>
      <c r="C3013" s="1" t="s">
        <v>4330</v>
      </c>
      <c r="D3013" s="1" t="s">
        <v>5018</v>
      </c>
      <c r="E3013" s="1" t="str">
        <f>"5180"</f>
        <v>5180</v>
      </c>
      <c r="F3013" s="1" t="str">
        <f>"015595981"</f>
        <v>015595981</v>
      </c>
      <c r="G3013" s="1" t="s">
        <v>2584</v>
      </c>
      <c r="H3013" s="1" t="s">
        <v>168</v>
      </c>
      <c r="I3013" s="1" t="str">
        <f>"2"</f>
        <v>2</v>
      </c>
      <c r="J3013" s="3" t="str">
        <f>"1774"</f>
        <v>1774</v>
      </c>
      <c r="K3013" s="4">
        <v>46057</v>
      </c>
      <c r="L3013" s="4">
        <v>46067</v>
      </c>
      <c r="M3013" s="1" t="s">
        <v>5017</v>
      </c>
      <c r="N3013" s="1" t="s">
        <v>5016</v>
      </c>
    </row>
    <row r="3014" spans="1:14" s="1" customFormat="1" x14ac:dyDescent="0.35">
      <c r="A3014" s="1" t="s">
        <v>4492</v>
      </c>
      <c r="B3014" s="1" t="s">
        <v>4247</v>
      </c>
      <c r="C3014" s="1" t="s">
        <v>4330</v>
      </c>
      <c r="D3014" s="1" t="s">
        <v>5015</v>
      </c>
      <c r="E3014" s="1" t="str">
        <f>"2340"</f>
        <v>2340</v>
      </c>
      <c r="F3014" s="1" t="s">
        <v>1071</v>
      </c>
      <c r="G3014" s="1" t="s">
        <v>1072</v>
      </c>
      <c r="H3014" s="1" t="s">
        <v>15</v>
      </c>
      <c r="I3014" s="1" t="str">
        <f>"2"</f>
        <v>2</v>
      </c>
      <c r="J3014" s="3">
        <v>14227.95</v>
      </c>
      <c r="K3014" s="4">
        <v>46062</v>
      </c>
      <c r="L3014" s="4">
        <v>46062</v>
      </c>
      <c r="M3014" s="1" t="s">
        <v>4524</v>
      </c>
      <c r="N3014" s="1" t="s">
        <v>5014</v>
      </c>
    </row>
    <row r="3015" spans="1:14" s="1" customFormat="1" x14ac:dyDescent="0.35">
      <c r="A3015" s="1" t="s">
        <v>4492</v>
      </c>
      <c r="B3015" s="1" t="s">
        <v>4247</v>
      </c>
      <c r="C3015" s="1" t="s">
        <v>4330</v>
      </c>
      <c r="D3015" s="1" t="s">
        <v>5013</v>
      </c>
      <c r="E3015" s="1" t="str">
        <f>"2330"</f>
        <v>2330</v>
      </c>
      <c r="F3015" s="1" t="s">
        <v>104</v>
      </c>
      <c r="G3015" s="1" t="s">
        <v>105</v>
      </c>
      <c r="H3015" s="1" t="s">
        <v>15</v>
      </c>
      <c r="I3015" s="1" t="str">
        <f>"1"</f>
        <v>1</v>
      </c>
      <c r="J3015" s="3" t="str">
        <f>"45080"</f>
        <v>45080</v>
      </c>
      <c r="K3015" s="4">
        <v>46062</v>
      </c>
      <c r="L3015" s="4">
        <v>46062</v>
      </c>
      <c r="M3015" s="1" t="s">
        <v>4524</v>
      </c>
      <c r="N3015" s="1" t="s">
        <v>5012</v>
      </c>
    </row>
    <row r="3016" spans="1:14" s="1" customFormat="1" x14ac:dyDescent="0.35">
      <c r="A3016" s="1" t="s">
        <v>4492</v>
      </c>
      <c r="B3016" s="1" t="s">
        <v>4247</v>
      </c>
      <c r="C3016" s="1" t="s">
        <v>4330</v>
      </c>
      <c r="D3016" s="1" t="s">
        <v>5011</v>
      </c>
      <c r="E3016" s="1" t="str">
        <f>"2330"</f>
        <v>2330</v>
      </c>
      <c r="F3016" s="1" t="s">
        <v>104</v>
      </c>
      <c r="G3016" s="1" t="s">
        <v>105</v>
      </c>
      <c r="H3016" s="1" t="s">
        <v>15</v>
      </c>
      <c r="I3016" s="1" t="str">
        <f>"1"</f>
        <v>1</v>
      </c>
      <c r="J3016" s="3" t="str">
        <f>"45080"</f>
        <v>45080</v>
      </c>
      <c r="K3016" s="4">
        <v>46062</v>
      </c>
      <c r="L3016" s="4">
        <v>46062</v>
      </c>
      <c r="M3016" s="1" t="s">
        <v>4524</v>
      </c>
      <c r="N3016" s="1" t="s">
        <v>5010</v>
      </c>
    </row>
    <row r="3017" spans="1:14" s="1" customFormat="1" x14ac:dyDescent="0.35">
      <c r="A3017" s="1" t="s">
        <v>4492</v>
      </c>
      <c r="B3017" s="1" t="s">
        <v>4247</v>
      </c>
      <c r="C3017" s="1" t="s">
        <v>4330</v>
      </c>
      <c r="D3017" s="1" t="s">
        <v>5009</v>
      </c>
      <c r="E3017" s="1" t="str">
        <f>"2320"</f>
        <v>2320</v>
      </c>
      <c r="F3017" s="1" t="str">
        <f>"014370458"</f>
        <v>014370458</v>
      </c>
      <c r="G3017" s="1" t="s">
        <v>1306</v>
      </c>
      <c r="H3017" s="1" t="s">
        <v>15</v>
      </c>
      <c r="I3017" s="1" t="str">
        <f>"1"</f>
        <v>1</v>
      </c>
      <c r="J3017" s="3" t="str">
        <f>"20023"</f>
        <v>20023</v>
      </c>
      <c r="K3017" s="4">
        <v>46080</v>
      </c>
      <c r="L3017" s="4">
        <v>46082</v>
      </c>
      <c r="M3017" s="1" t="s">
        <v>4524</v>
      </c>
      <c r="N3017" s="1" t="s">
        <v>5008</v>
      </c>
    </row>
    <row r="3018" spans="1:14" s="1" customFormat="1" x14ac:dyDescent="0.35">
      <c r="A3018" s="1" t="s">
        <v>4492</v>
      </c>
      <c r="B3018" s="1" t="s">
        <v>4247</v>
      </c>
      <c r="C3018" s="1" t="s">
        <v>4330</v>
      </c>
      <c r="D3018" s="1" t="s">
        <v>5007</v>
      </c>
      <c r="E3018" s="1" t="str">
        <f>"2320"</f>
        <v>2320</v>
      </c>
      <c r="F3018" s="1" t="str">
        <f>"010911597"</f>
        <v>010911597</v>
      </c>
      <c r="G3018" s="1" t="s">
        <v>4468</v>
      </c>
      <c r="H3018" s="1" t="s">
        <v>15</v>
      </c>
      <c r="I3018" s="1" t="str">
        <f>"1"</f>
        <v>1</v>
      </c>
      <c r="J3018" s="3" t="str">
        <f>"150120"</f>
        <v>150120</v>
      </c>
      <c r="K3018" s="4">
        <v>46074</v>
      </c>
      <c r="L3018" s="4">
        <v>46088</v>
      </c>
      <c r="M3018" s="1" t="s">
        <v>5006</v>
      </c>
      <c r="N3018" s="1" t="s">
        <v>5005</v>
      </c>
    </row>
    <row r="3019" spans="1:14" s="1" customFormat="1" x14ac:dyDescent="0.35">
      <c r="A3019" s="1" t="s">
        <v>4492</v>
      </c>
      <c r="B3019" s="1" t="s">
        <v>4247</v>
      </c>
      <c r="C3019" s="1" t="s">
        <v>4330</v>
      </c>
      <c r="D3019" s="1" t="s">
        <v>5004</v>
      </c>
      <c r="E3019" s="1" t="str">
        <f>"2330"</f>
        <v>2330</v>
      </c>
      <c r="F3019" s="1" t="s">
        <v>104</v>
      </c>
      <c r="G3019" s="1" t="s">
        <v>105</v>
      </c>
      <c r="H3019" s="1" t="s">
        <v>15</v>
      </c>
      <c r="I3019" s="1" t="str">
        <f>"1"</f>
        <v>1</v>
      </c>
      <c r="J3019" s="3">
        <v>968678.86</v>
      </c>
      <c r="K3019" s="4">
        <v>46074</v>
      </c>
      <c r="L3019" s="4">
        <v>46088</v>
      </c>
      <c r="M3019" s="1" t="s">
        <v>5003</v>
      </c>
      <c r="N3019" s="1" t="s">
        <v>5002</v>
      </c>
    </row>
    <row r="3020" spans="1:14" s="1" customFormat="1" x14ac:dyDescent="0.35">
      <c r="A3020" s="1" t="s">
        <v>4492</v>
      </c>
      <c r="B3020" s="1" t="s">
        <v>4247</v>
      </c>
      <c r="C3020" s="1" t="s">
        <v>4330</v>
      </c>
      <c r="D3020" s="1" t="s">
        <v>5001</v>
      </c>
      <c r="E3020" s="1" t="str">
        <f>"2330"</f>
        <v>2330</v>
      </c>
      <c r="F3020" s="1" t="s">
        <v>104</v>
      </c>
      <c r="G3020" s="1" t="s">
        <v>105</v>
      </c>
      <c r="H3020" s="1" t="s">
        <v>15</v>
      </c>
      <c r="I3020" s="1" t="str">
        <f>"1"</f>
        <v>1</v>
      </c>
      <c r="J3020" s="3" t="str">
        <f>"5000"</f>
        <v>5000</v>
      </c>
      <c r="K3020" s="4">
        <v>46081</v>
      </c>
      <c r="L3020" s="4">
        <v>46088</v>
      </c>
      <c r="M3020" s="1" t="s">
        <v>5000</v>
      </c>
      <c r="N3020" s="1" t="s">
        <v>4994</v>
      </c>
    </row>
    <row r="3021" spans="1:14" s="1" customFormat="1" x14ac:dyDescent="0.35">
      <c r="A3021" s="1" t="s">
        <v>4492</v>
      </c>
      <c r="B3021" s="1" t="s">
        <v>4247</v>
      </c>
      <c r="C3021" s="1" t="s">
        <v>4330</v>
      </c>
      <c r="D3021" s="1" t="s">
        <v>4999</v>
      </c>
      <c r="E3021" s="1" t="str">
        <f>"2330"</f>
        <v>2330</v>
      </c>
      <c r="F3021" s="1" t="s">
        <v>104</v>
      </c>
      <c r="G3021" s="1" t="s">
        <v>105</v>
      </c>
      <c r="H3021" s="1" t="s">
        <v>15</v>
      </c>
      <c r="I3021" s="1" t="str">
        <f>"1"</f>
        <v>1</v>
      </c>
      <c r="J3021" s="3" t="str">
        <f>"5000"</f>
        <v>5000</v>
      </c>
      <c r="K3021" s="4">
        <v>46085</v>
      </c>
      <c r="L3021" s="4">
        <v>46107</v>
      </c>
      <c r="M3021" s="1" t="s">
        <v>4998</v>
      </c>
      <c r="N3021" s="1" t="s">
        <v>4997</v>
      </c>
    </row>
    <row r="3022" spans="1:14" s="1" customFormat="1" x14ac:dyDescent="0.35">
      <c r="A3022" s="1" t="s">
        <v>4492</v>
      </c>
      <c r="B3022" s="1" t="s">
        <v>4247</v>
      </c>
      <c r="C3022" s="1" t="s">
        <v>4330</v>
      </c>
      <c r="D3022" s="1" t="s">
        <v>4996</v>
      </c>
      <c r="E3022" s="1" t="str">
        <f>"2330"</f>
        <v>2330</v>
      </c>
      <c r="F3022" s="1" t="s">
        <v>104</v>
      </c>
      <c r="G3022" s="1" t="s">
        <v>105</v>
      </c>
      <c r="H3022" s="1" t="s">
        <v>15</v>
      </c>
      <c r="I3022" s="1" t="str">
        <f>"1"</f>
        <v>1</v>
      </c>
      <c r="J3022" s="3">
        <v>62760.99</v>
      </c>
      <c r="K3022" s="4">
        <v>46082</v>
      </c>
      <c r="L3022" s="4">
        <v>46087</v>
      </c>
      <c r="M3022" s="1" t="s">
        <v>4995</v>
      </c>
      <c r="N3022" s="1" t="s">
        <v>4994</v>
      </c>
    </row>
    <row r="3023" spans="1:14" s="1" customFormat="1" x14ac:dyDescent="0.35">
      <c r="A3023" s="1" t="s">
        <v>4492</v>
      </c>
      <c r="B3023" s="1" t="s">
        <v>4247</v>
      </c>
      <c r="C3023" s="1" t="s">
        <v>4330</v>
      </c>
      <c r="D3023" s="1" t="s">
        <v>4993</v>
      </c>
      <c r="E3023" s="1" t="str">
        <f>"2320"</f>
        <v>2320</v>
      </c>
      <c r="F3023" s="1" t="s">
        <v>100</v>
      </c>
      <c r="G3023" s="1" t="s">
        <v>101</v>
      </c>
      <c r="H3023" s="1" t="s">
        <v>15</v>
      </c>
      <c r="I3023" s="1" t="str">
        <f>"1"</f>
        <v>1</v>
      </c>
      <c r="J3023" s="3" t="str">
        <f>"33000"</f>
        <v>33000</v>
      </c>
      <c r="K3023" s="4">
        <v>46082</v>
      </c>
      <c r="L3023" s="4">
        <v>46095</v>
      </c>
      <c r="M3023" s="1" t="s">
        <v>4992</v>
      </c>
      <c r="N3023" s="1" t="s">
        <v>4991</v>
      </c>
    </row>
    <row r="3024" spans="1:14" s="1" customFormat="1" x14ac:dyDescent="0.35">
      <c r="A3024" s="1" t="s">
        <v>4492</v>
      </c>
      <c r="B3024" s="1" t="s">
        <v>4247</v>
      </c>
      <c r="C3024" s="1" t="s">
        <v>4330</v>
      </c>
      <c r="D3024" s="1" t="s">
        <v>4990</v>
      </c>
      <c r="E3024" s="1" t="str">
        <f>"2320"</f>
        <v>2320</v>
      </c>
      <c r="F3024" s="1" t="str">
        <f>"010907831"</f>
        <v>010907831</v>
      </c>
      <c r="G3024" s="1" t="s">
        <v>2570</v>
      </c>
      <c r="H3024" s="1" t="s">
        <v>15</v>
      </c>
      <c r="I3024" s="1" t="str">
        <f>"1"</f>
        <v>1</v>
      </c>
      <c r="J3024" s="3" t="str">
        <f>"15000"</f>
        <v>15000</v>
      </c>
      <c r="K3024" s="4">
        <v>46082</v>
      </c>
      <c r="L3024" s="4">
        <v>46095</v>
      </c>
      <c r="M3024" s="1" t="s">
        <v>4989</v>
      </c>
      <c r="N3024" s="1" t="s">
        <v>4988</v>
      </c>
    </row>
    <row r="3025" spans="1:14" s="1" customFormat="1" x14ac:dyDescent="0.35">
      <c r="A3025" s="1" t="s">
        <v>4492</v>
      </c>
      <c r="B3025" s="1" t="s">
        <v>4247</v>
      </c>
      <c r="C3025" s="1" t="s">
        <v>4330</v>
      </c>
      <c r="D3025" s="1" t="s">
        <v>4987</v>
      </c>
      <c r="E3025" s="1" t="str">
        <f>"2320"</f>
        <v>2320</v>
      </c>
      <c r="F3025" s="1" t="s">
        <v>100</v>
      </c>
      <c r="G3025" s="1" t="s">
        <v>101</v>
      </c>
      <c r="H3025" s="1" t="s">
        <v>15</v>
      </c>
      <c r="I3025" s="1" t="str">
        <f>"1"</f>
        <v>1</v>
      </c>
      <c r="J3025" s="3" t="str">
        <f>"80000"</f>
        <v>80000</v>
      </c>
      <c r="K3025" s="4">
        <v>46082</v>
      </c>
      <c r="L3025" s="4">
        <v>46100</v>
      </c>
      <c r="M3025" s="1" t="s">
        <v>4986</v>
      </c>
      <c r="N3025" s="1" t="s">
        <v>4985</v>
      </c>
    </row>
    <row r="3026" spans="1:14" s="1" customFormat="1" x14ac:dyDescent="0.35">
      <c r="A3026" s="1" t="s">
        <v>4492</v>
      </c>
      <c r="B3026" s="1" t="s">
        <v>4247</v>
      </c>
      <c r="C3026" s="1" t="s">
        <v>4330</v>
      </c>
      <c r="D3026" s="1" t="s">
        <v>4984</v>
      </c>
      <c r="E3026" s="1" t="str">
        <f>"2330"</f>
        <v>2330</v>
      </c>
      <c r="F3026" s="1" t="s">
        <v>104</v>
      </c>
      <c r="G3026" s="1" t="s">
        <v>105</v>
      </c>
      <c r="H3026" s="1" t="s">
        <v>15</v>
      </c>
      <c r="I3026" s="1" t="str">
        <f>"1"</f>
        <v>1</v>
      </c>
      <c r="J3026" s="3">
        <v>62760.99</v>
      </c>
      <c r="K3026" s="4">
        <v>46083</v>
      </c>
      <c r="L3026" s="4">
        <v>46087</v>
      </c>
      <c r="M3026" s="1" t="s">
        <v>4983</v>
      </c>
      <c r="N3026" s="1" t="s">
        <v>4982</v>
      </c>
    </row>
    <row r="3027" spans="1:14" s="1" customFormat="1" x14ac:dyDescent="0.35">
      <c r="A3027" s="1" t="s">
        <v>4492</v>
      </c>
      <c r="B3027" s="1" t="s">
        <v>4247</v>
      </c>
      <c r="C3027" s="1" t="s">
        <v>4330</v>
      </c>
      <c r="D3027" s="1" t="s">
        <v>4981</v>
      </c>
      <c r="E3027" s="1" t="str">
        <f>"2310"</f>
        <v>2310</v>
      </c>
      <c r="F3027" s="1" t="s">
        <v>4332</v>
      </c>
      <c r="G3027" s="1" t="s">
        <v>4333</v>
      </c>
      <c r="H3027" s="1" t="s">
        <v>15</v>
      </c>
      <c r="I3027" s="1" t="str">
        <f>"1"</f>
        <v>1</v>
      </c>
      <c r="J3027" s="3" t="str">
        <f>"15000"</f>
        <v>15000</v>
      </c>
      <c r="K3027" s="4">
        <v>46088</v>
      </c>
      <c r="L3027" s="4">
        <v>46107</v>
      </c>
      <c r="M3027" s="1" t="s">
        <v>4980</v>
      </c>
      <c r="N3027" s="1" t="s">
        <v>4979</v>
      </c>
    </row>
    <row r="3028" spans="1:14" s="1" customFormat="1" x14ac:dyDescent="0.35">
      <c r="A3028" s="1" t="s">
        <v>4492</v>
      </c>
      <c r="B3028" s="1" t="s">
        <v>4247</v>
      </c>
      <c r="C3028" s="1" t="s">
        <v>4330</v>
      </c>
      <c r="D3028" s="1" t="s">
        <v>4978</v>
      </c>
      <c r="E3028" s="1" t="str">
        <f>"2320"</f>
        <v>2320</v>
      </c>
      <c r="F3028" s="1" t="str">
        <f>"007529289"</f>
        <v>007529289</v>
      </c>
      <c r="G3028" s="1" t="s">
        <v>930</v>
      </c>
      <c r="H3028" s="1" t="s">
        <v>15</v>
      </c>
      <c r="I3028" s="1" t="str">
        <f>"1"</f>
        <v>1</v>
      </c>
      <c r="J3028" s="3" t="str">
        <f>"4202"</f>
        <v>4202</v>
      </c>
      <c r="K3028" s="4">
        <v>46090</v>
      </c>
      <c r="L3028" s="4">
        <v>46100</v>
      </c>
      <c r="M3028" s="1" t="s">
        <v>4977</v>
      </c>
      <c r="N3028" s="1" t="s">
        <v>4976</v>
      </c>
    </row>
    <row r="3029" spans="1:14" s="1" customFormat="1" x14ac:dyDescent="0.35">
      <c r="A3029" s="1" t="s">
        <v>4492</v>
      </c>
      <c r="B3029" s="1" t="s">
        <v>4247</v>
      </c>
      <c r="C3029" s="1" t="s">
        <v>4330</v>
      </c>
      <c r="D3029" s="1" t="s">
        <v>4975</v>
      </c>
      <c r="E3029" s="1" t="str">
        <f>"2320"</f>
        <v>2320</v>
      </c>
      <c r="F3029" s="1" t="str">
        <f>"010948229"</f>
        <v>010948229</v>
      </c>
      <c r="G3029" s="1" t="s">
        <v>930</v>
      </c>
      <c r="H3029" s="1" t="s">
        <v>15</v>
      </c>
      <c r="I3029" s="1" t="str">
        <f>"1"</f>
        <v>1</v>
      </c>
      <c r="J3029" s="3">
        <v>9989.75</v>
      </c>
      <c r="K3029" s="4">
        <v>46090</v>
      </c>
      <c r="L3029" s="4">
        <v>46100</v>
      </c>
      <c r="M3029" s="1" t="s">
        <v>4974</v>
      </c>
      <c r="N3029" s="1" t="s">
        <v>4973</v>
      </c>
    </row>
    <row r="3030" spans="1:14" s="1" customFormat="1" x14ac:dyDescent="0.35">
      <c r="A3030" s="1" t="s">
        <v>4492</v>
      </c>
      <c r="B3030" s="1" t="s">
        <v>4247</v>
      </c>
      <c r="C3030" s="1" t="s">
        <v>4330</v>
      </c>
      <c r="D3030" s="1" t="s">
        <v>4972</v>
      </c>
      <c r="E3030" s="1" t="str">
        <f>"2310"</f>
        <v>2310</v>
      </c>
      <c r="F3030" s="1" t="s">
        <v>4332</v>
      </c>
      <c r="G3030" s="1" t="s">
        <v>4333</v>
      </c>
      <c r="H3030" s="1" t="s">
        <v>15</v>
      </c>
      <c r="I3030" s="1" t="str">
        <f>"1"</f>
        <v>1</v>
      </c>
      <c r="J3030" s="3" t="str">
        <f>"81369"</f>
        <v>81369</v>
      </c>
      <c r="K3030" s="4">
        <v>46095</v>
      </c>
      <c r="L3030" s="4">
        <v>46109</v>
      </c>
      <c r="M3030" s="1" t="s">
        <v>4971</v>
      </c>
      <c r="N3030" s="1" t="s">
        <v>4970</v>
      </c>
    </row>
    <row r="3031" spans="1:14" s="1" customFormat="1" x14ac:dyDescent="0.35">
      <c r="A3031" s="1" t="s">
        <v>4492</v>
      </c>
      <c r="B3031" s="1" t="s">
        <v>4247</v>
      </c>
      <c r="C3031" s="1" t="s">
        <v>4330</v>
      </c>
      <c r="D3031" s="1" t="s">
        <v>4969</v>
      </c>
      <c r="E3031" s="1" t="str">
        <f>"2310"</f>
        <v>2310</v>
      </c>
      <c r="F3031" s="1" t="s">
        <v>4332</v>
      </c>
      <c r="G3031" s="1" t="s">
        <v>4333</v>
      </c>
      <c r="H3031" s="1" t="s">
        <v>15</v>
      </c>
      <c r="I3031" s="1" t="str">
        <f>"1"</f>
        <v>1</v>
      </c>
      <c r="J3031" s="3" t="str">
        <f>"81369"</f>
        <v>81369</v>
      </c>
      <c r="K3031" s="4">
        <v>46095</v>
      </c>
      <c r="L3031" s="4">
        <v>46109</v>
      </c>
      <c r="M3031" s="1" t="s">
        <v>4968</v>
      </c>
      <c r="N3031" s="1" t="s">
        <v>4967</v>
      </c>
    </row>
    <row r="3032" spans="1:14" s="1" customFormat="1" x14ac:dyDescent="0.35">
      <c r="A3032" s="1" t="s">
        <v>4492</v>
      </c>
      <c r="B3032" s="1" t="s">
        <v>4247</v>
      </c>
      <c r="C3032" s="1" t="s">
        <v>4330</v>
      </c>
      <c r="D3032" s="1" t="s">
        <v>4966</v>
      </c>
      <c r="E3032" s="1" t="str">
        <f>"2320"</f>
        <v>2320</v>
      </c>
      <c r="F3032" s="1" t="str">
        <f>"010907892"</f>
        <v>010907892</v>
      </c>
      <c r="G3032" s="1" t="s">
        <v>930</v>
      </c>
      <c r="H3032" s="1" t="s">
        <v>15</v>
      </c>
      <c r="I3032" s="1" t="str">
        <f>"1"</f>
        <v>1</v>
      </c>
      <c r="J3032" s="3" t="str">
        <f>"23000"</f>
        <v>23000</v>
      </c>
      <c r="K3032" s="4">
        <v>46095</v>
      </c>
      <c r="L3032" s="4">
        <v>46100</v>
      </c>
      <c r="M3032" s="1" t="s">
        <v>4965</v>
      </c>
      <c r="N3032" s="1" t="s">
        <v>4964</v>
      </c>
    </row>
    <row r="3033" spans="1:14" s="1" customFormat="1" x14ac:dyDescent="0.35">
      <c r="A3033" s="1" t="s">
        <v>4492</v>
      </c>
      <c r="B3033" s="1" t="s">
        <v>4247</v>
      </c>
      <c r="C3033" s="1" t="s">
        <v>4330</v>
      </c>
      <c r="D3033" s="1" t="s">
        <v>4963</v>
      </c>
      <c r="E3033" s="1" t="str">
        <f>"2330"</f>
        <v>2330</v>
      </c>
      <c r="F3033" s="1" t="s">
        <v>104</v>
      </c>
      <c r="G3033" s="1" t="s">
        <v>105</v>
      </c>
      <c r="H3033" s="1" t="s">
        <v>15</v>
      </c>
      <c r="I3033" s="1" t="str">
        <f>"1"</f>
        <v>1</v>
      </c>
      <c r="J3033" s="3" t="str">
        <f>"10000"</f>
        <v>10000</v>
      </c>
      <c r="K3033" s="4">
        <v>46095</v>
      </c>
      <c r="L3033" s="4">
        <v>46109</v>
      </c>
      <c r="M3033" s="1" t="s">
        <v>4962</v>
      </c>
      <c r="N3033" s="1" t="s">
        <v>4961</v>
      </c>
    </row>
    <row r="3034" spans="1:14" s="1" customFormat="1" x14ac:dyDescent="0.35">
      <c r="A3034" s="1" t="s">
        <v>4492</v>
      </c>
      <c r="B3034" s="1" t="s">
        <v>4247</v>
      </c>
      <c r="C3034" s="1" t="s">
        <v>4330</v>
      </c>
      <c r="D3034" s="1" t="s">
        <v>4960</v>
      </c>
      <c r="E3034" s="1" t="str">
        <f>"2330"</f>
        <v>2330</v>
      </c>
      <c r="F3034" s="1" t="s">
        <v>104</v>
      </c>
      <c r="G3034" s="1" t="s">
        <v>105</v>
      </c>
      <c r="H3034" s="1" t="s">
        <v>15</v>
      </c>
      <c r="I3034" s="1" t="str">
        <f>"1"</f>
        <v>1</v>
      </c>
      <c r="J3034" s="3" t="str">
        <f>"14555"</f>
        <v>14555</v>
      </c>
      <c r="K3034" s="4">
        <v>46096</v>
      </c>
      <c r="L3034" s="4">
        <v>46109</v>
      </c>
      <c r="M3034" s="1" t="s">
        <v>4959</v>
      </c>
      <c r="N3034" s="1" t="s">
        <v>4958</v>
      </c>
    </row>
    <row r="3035" spans="1:14" s="1" customFormat="1" x14ac:dyDescent="0.35">
      <c r="A3035" s="1" t="s">
        <v>4492</v>
      </c>
      <c r="B3035" s="1" t="s">
        <v>4247</v>
      </c>
      <c r="C3035" s="1" t="s">
        <v>4330</v>
      </c>
      <c r="D3035" s="1" t="s">
        <v>4957</v>
      </c>
      <c r="E3035" s="1" t="str">
        <f>"2330"</f>
        <v>2330</v>
      </c>
      <c r="F3035" s="1" t="s">
        <v>104</v>
      </c>
      <c r="G3035" s="1" t="s">
        <v>105</v>
      </c>
      <c r="H3035" s="1" t="s">
        <v>15</v>
      </c>
      <c r="I3035" s="1" t="str">
        <f>"1"</f>
        <v>1</v>
      </c>
      <c r="J3035" s="3" t="str">
        <f>"14555"</f>
        <v>14555</v>
      </c>
      <c r="K3035" s="4">
        <v>46096</v>
      </c>
      <c r="L3035" s="4">
        <v>46109</v>
      </c>
      <c r="M3035" s="1" t="s">
        <v>4956</v>
      </c>
      <c r="N3035" s="1" t="s">
        <v>4955</v>
      </c>
    </row>
    <row r="3036" spans="1:14" s="1" customFormat="1" x14ac:dyDescent="0.35">
      <c r="A3036" s="1" t="s">
        <v>4492</v>
      </c>
      <c r="B3036" s="1" t="s">
        <v>4247</v>
      </c>
      <c r="C3036" s="1" t="s">
        <v>4330</v>
      </c>
      <c r="D3036" s="1" t="s">
        <v>4954</v>
      </c>
      <c r="E3036" s="1" t="str">
        <f>"2330"</f>
        <v>2330</v>
      </c>
      <c r="F3036" s="1" t="s">
        <v>104</v>
      </c>
      <c r="G3036" s="1" t="s">
        <v>105</v>
      </c>
      <c r="H3036" s="1" t="s">
        <v>15</v>
      </c>
      <c r="I3036" s="1" t="str">
        <f>"1"</f>
        <v>1</v>
      </c>
      <c r="J3036" s="3" t="str">
        <f>"14555"</f>
        <v>14555</v>
      </c>
      <c r="K3036" s="4">
        <v>46096</v>
      </c>
      <c r="L3036" s="4">
        <v>46109</v>
      </c>
      <c r="M3036" s="1" t="s">
        <v>4953</v>
      </c>
      <c r="N3036" s="1" t="s">
        <v>4952</v>
      </c>
    </row>
    <row r="3037" spans="1:14" s="1" customFormat="1" x14ac:dyDescent="0.35">
      <c r="A3037" s="1" t="s">
        <v>4492</v>
      </c>
      <c r="B3037" s="1" t="s">
        <v>4247</v>
      </c>
      <c r="C3037" s="1" t="s">
        <v>4330</v>
      </c>
      <c r="D3037" s="1" t="s">
        <v>4951</v>
      </c>
      <c r="E3037" s="1" t="str">
        <f>"2320"</f>
        <v>2320</v>
      </c>
      <c r="F3037" s="1" t="s">
        <v>100</v>
      </c>
      <c r="G3037" s="1" t="s">
        <v>101</v>
      </c>
      <c r="H3037" s="1" t="s">
        <v>15</v>
      </c>
      <c r="I3037" s="1" t="str">
        <f>"1"</f>
        <v>1</v>
      </c>
      <c r="J3037" s="3" t="str">
        <f>"61735"</f>
        <v>61735</v>
      </c>
      <c r="K3037" s="4">
        <v>46098</v>
      </c>
      <c r="L3037" s="4">
        <v>46109</v>
      </c>
      <c r="M3037" s="1" t="s">
        <v>4950</v>
      </c>
      <c r="N3037" s="1" t="s">
        <v>4949</v>
      </c>
    </row>
    <row r="3038" spans="1:14" s="1" customFormat="1" x14ac:dyDescent="0.35">
      <c r="A3038" s="1" t="s">
        <v>4492</v>
      </c>
      <c r="B3038" s="1" t="s">
        <v>4247</v>
      </c>
      <c r="C3038" s="1" t="s">
        <v>4330</v>
      </c>
      <c r="D3038" s="1" t="s">
        <v>4948</v>
      </c>
      <c r="E3038" s="1" t="str">
        <f>"2310"</f>
        <v>2310</v>
      </c>
      <c r="F3038" s="1" t="s">
        <v>4332</v>
      </c>
      <c r="G3038" s="1" t="s">
        <v>4333</v>
      </c>
      <c r="H3038" s="1" t="s">
        <v>15</v>
      </c>
      <c r="I3038" s="1" t="str">
        <f>"1"</f>
        <v>1</v>
      </c>
      <c r="J3038" s="3">
        <v>26812.5</v>
      </c>
      <c r="K3038" s="4">
        <v>46098</v>
      </c>
      <c r="L3038" s="4">
        <v>46109</v>
      </c>
      <c r="M3038" s="1" t="s">
        <v>4947</v>
      </c>
      <c r="N3038" s="1" t="s">
        <v>4946</v>
      </c>
    </row>
    <row r="3039" spans="1:14" s="1" customFormat="1" x14ac:dyDescent="0.35">
      <c r="A3039" s="1" t="s">
        <v>4492</v>
      </c>
      <c r="B3039" s="1" t="s">
        <v>4247</v>
      </c>
      <c r="C3039" s="1" t="s">
        <v>4330</v>
      </c>
      <c r="D3039" s="1" t="s">
        <v>4945</v>
      </c>
      <c r="E3039" s="1" t="str">
        <f>"6230"</f>
        <v>6230</v>
      </c>
      <c r="F3039" s="1" t="s">
        <v>3594</v>
      </c>
      <c r="G3039" s="1" t="s">
        <v>3595</v>
      </c>
      <c r="H3039" s="1" t="s">
        <v>15</v>
      </c>
      <c r="I3039" s="1" t="str">
        <f>"10"</f>
        <v>10</v>
      </c>
      <c r="J3039" s="3" t="str">
        <f>"8000"</f>
        <v>8000</v>
      </c>
      <c r="K3039" s="4">
        <v>46098</v>
      </c>
      <c r="L3039" s="4">
        <v>46109</v>
      </c>
      <c r="M3039" s="1" t="s">
        <v>4944</v>
      </c>
      <c r="N3039" s="1" t="s">
        <v>4943</v>
      </c>
    </row>
    <row r="3040" spans="1:14" s="1" customFormat="1" x14ac:dyDescent="0.35">
      <c r="A3040" s="1" t="s">
        <v>4492</v>
      </c>
      <c r="B3040" s="1" t="s">
        <v>4247</v>
      </c>
      <c r="C3040" s="1" t="s">
        <v>4330</v>
      </c>
      <c r="D3040" s="1" t="s">
        <v>4942</v>
      </c>
      <c r="E3040" s="1" t="str">
        <f>"2310"</f>
        <v>2310</v>
      </c>
      <c r="F3040" s="1" t="s">
        <v>4332</v>
      </c>
      <c r="G3040" s="1" t="s">
        <v>4333</v>
      </c>
      <c r="H3040" s="1" t="s">
        <v>15</v>
      </c>
      <c r="I3040" s="1" t="str">
        <f>"1"</f>
        <v>1</v>
      </c>
      <c r="J3040" s="3" t="str">
        <f>"26275"</f>
        <v>26275</v>
      </c>
      <c r="K3040" s="4">
        <v>46098</v>
      </c>
      <c r="L3040" s="4">
        <v>46109</v>
      </c>
      <c r="M3040" s="1" t="s">
        <v>4941</v>
      </c>
      <c r="N3040" s="1" t="s">
        <v>4940</v>
      </c>
    </row>
    <row r="3041" spans="1:14" s="1" customFormat="1" x14ac:dyDescent="0.35">
      <c r="A3041" s="1" t="s">
        <v>4492</v>
      </c>
      <c r="B3041" s="1" t="s">
        <v>4247</v>
      </c>
      <c r="C3041" s="1" t="s">
        <v>4330</v>
      </c>
      <c r="D3041" s="1" t="s">
        <v>4939</v>
      </c>
      <c r="E3041" s="1" t="str">
        <f>"2340"</f>
        <v>2340</v>
      </c>
      <c r="F3041" s="1" t="s">
        <v>1071</v>
      </c>
      <c r="G3041" s="1" t="s">
        <v>1072</v>
      </c>
      <c r="H3041" s="1" t="s">
        <v>15</v>
      </c>
      <c r="I3041" s="1" t="str">
        <f>"1"</f>
        <v>1</v>
      </c>
      <c r="J3041" s="3" t="str">
        <f>"5000"</f>
        <v>5000</v>
      </c>
      <c r="K3041" s="4">
        <v>46098</v>
      </c>
      <c r="L3041" s="4">
        <v>46100</v>
      </c>
      <c r="M3041" s="1" t="s">
        <v>4938</v>
      </c>
      <c r="N3041" s="1" t="s">
        <v>4935</v>
      </c>
    </row>
    <row r="3042" spans="1:14" s="1" customFormat="1" x14ac:dyDescent="0.35">
      <c r="A3042" s="1" t="s">
        <v>4492</v>
      </c>
      <c r="B3042" s="1" t="s">
        <v>4247</v>
      </c>
      <c r="C3042" s="1" t="s">
        <v>4330</v>
      </c>
      <c r="D3042" s="1" t="s">
        <v>4937</v>
      </c>
      <c r="E3042" s="1" t="str">
        <f>"2340"</f>
        <v>2340</v>
      </c>
      <c r="F3042" s="1" t="s">
        <v>1071</v>
      </c>
      <c r="G3042" s="1" t="s">
        <v>1072</v>
      </c>
      <c r="H3042" s="1" t="s">
        <v>15</v>
      </c>
      <c r="I3042" s="1" t="str">
        <f>"1"</f>
        <v>1</v>
      </c>
      <c r="J3042" s="3" t="str">
        <f>"5000"</f>
        <v>5000</v>
      </c>
      <c r="K3042" s="4">
        <v>46098</v>
      </c>
      <c r="L3042" s="4">
        <v>46100</v>
      </c>
      <c r="M3042" s="1" t="s">
        <v>4936</v>
      </c>
      <c r="N3042" s="1" t="s">
        <v>4935</v>
      </c>
    </row>
    <row r="3043" spans="1:14" s="1" customFormat="1" x14ac:dyDescent="0.35">
      <c r="A3043" s="1" t="s">
        <v>4492</v>
      </c>
      <c r="B3043" s="1" t="s">
        <v>4247</v>
      </c>
      <c r="C3043" s="1" t="s">
        <v>4330</v>
      </c>
      <c r="D3043" s="1" t="s">
        <v>4934</v>
      </c>
      <c r="E3043" s="1" t="str">
        <f>"3805"</f>
        <v>3805</v>
      </c>
      <c r="F3043" s="1" t="str">
        <f>"015420473"</f>
        <v>015420473</v>
      </c>
      <c r="G3043" s="1" t="s">
        <v>4933</v>
      </c>
      <c r="H3043" s="1" t="s">
        <v>15</v>
      </c>
      <c r="I3043" s="1" t="str">
        <f>"1"</f>
        <v>1</v>
      </c>
      <c r="J3043" s="3" t="str">
        <f>"236830"</f>
        <v>236830</v>
      </c>
      <c r="K3043" s="4">
        <v>46104</v>
      </c>
      <c r="L3043" s="4">
        <v>46108</v>
      </c>
      <c r="M3043" s="1" t="s">
        <v>4932</v>
      </c>
      <c r="N3043" s="1" t="s">
        <v>4931</v>
      </c>
    </row>
    <row r="3044" spans="1:14" s="1" customFormat="1" x14ac:dyDescent="0.35">
      <c r="A3044" s="1" t="s">
        <v>4492</v>
      </c>
      <c r="B3044" s="1" t="s">
        <v>4247</v>
      </c>
      <c r="C3044" s="1" t="s">
        <v>4330</v>
      </c>
      <c r="D3044" s="1" t="s">
        <v>4930</v>
      </c>
      <c r="E3044" s="1" t="str">
        <f>"3805"</f>
        <v>3805</v>
      </c>
      <c r="F3044" s="1" t="s">
        <v>1020</v>
      </c>
      <c r="G3044" s="1" t="s">
        <v>1021</v>
      </c>
      <c r="H3044" s="1" t="s">
        <v>15</v>
      </c>
      <c r="I3044" s="1" t="str">
        <f>"1"</f>
        <v>1</v>
      </c>
      <c r="J3044" s="3">
        <v>102143.01</v>
      </c>
      <c r="K3044" s="4">
        <v>46104</v>
      </c>
      <c r="L3044" s="4">
        <v>46106</v>
      </c>
      <c r="M3044" s="1" t="s">
        <v>4929</v>
      </c>
      <c r="N3044" s="1" t="s">
        <v>4928</v>
      </c>
    </row>
    <row r="3045" spans="1:14" s="1" customFormat="1" x14ac:dyDescent="0.35">
      <c r="A3045" s="1" t="s">
        <v>4492</v>
      </c>
      <c r="B3045" s="1" t="s">
        <v>3356</v>
      </c>
      <c r="C3045" s="1" t="s">
        <v>3777</v>
      </c>
      <c r="D3045" s="1" t="s">
        <v>4927</v>
      </c>
      <c r="E3045" s="1" t="str">
        <f>"8470"</f>
        <v>8470</v>
      </c>
      <c r="F3045" s="1" t="str">
        <f>"016878649"</f>
        <v>016878649</v>
      </c>
      <c r="G3045" s="1" t="s">
        <v>4926</v>
      </c>
      <c r="H3045" s="1" t="s">
        <v>15</v>
      </c>
      <c r="I3045" s="1" t="str">
        <f>"1"</f>
        <v>1</v>
      </c>
      <c r="J3045" s="3">
        <v>2054.7199999999998</v>
      </c>
      <c r="K3045" s="4">
        <v>46030</v>
      </c>
      <c r="L3045" s="4">
        <v>46030</v>
      </c>
      <c r="M3045" s="1" t="s">
        <v>4556</v>
      </c>
    </row>
    <row r="3046" spans="1:14" s="1" customFormat="1" x14ac:dyDescent="0.35">
      <c r="A3046" s="1" t="s">
        <v>4492</v>
      </c>
      <c r="B3046" s="1" t="s">
        <v>3356</v>
      </c>
      <c r="C3046" s="1" t="s">
        <v>3777</v>
      </c>
      <c r="D3046" s="1" t="s">
        <v>4925</v>
      </c>
      <c r="E3046" s="1" t="str">
        <f>"2310"</f>
        <v>2310</v>
      </c>
      <c r="F3046" s="1" t="str">
        <f>"014998019"</f>
        <v>014998019</v>
      </c>
      <c r="G3046" s="1" t="s">
        <v>4671</v>
      </c>
      <c r="H3046" s="1" t="s">
        <v>15</v>
      </c>
      <c r="I3046" s="1" t="str">
        <f>"1"</f>
        <v>1</v>
      </c>
      <c r="J3046" s="3" t="str">
        <f>"165000"</f>
        <v>165000</v>
      </c>
      <c r="K3046" s="4">
        <v>46044</v>
      </c>
      <c r="L3046" s="4">
        <v>46055</v>
      </c>
      <c r="M3046" s="1" t="s">
        <v>4924</v>
      </c>
      <c r="N3046" s="1" t="s">
        <v>4923</v>
      </c>
    </row>
    <row r="3047" spans="1:14" s="1" customFormat="1" x14ac:dyDescent="0.35">
      <c r="A3047" s="1" t="s">
        <v>4492</v>
      </c>
      <c r="B3047" s="1" t="s">
        <v>3356</v>
      </c>
      <c r="C3047" s="1" t="s">
        <v>3777</v>
      </c>
      <c r="D3047" s="1" t="s">
        <v>4922</v>
      </c>
      <c r="E3047" s="1" t="str">
        <f>"2340"</f>
        <v>2340</v>
      </c>
      <c r="F3047" s="1" t="s">
        <v>179</v>
      </c>
      <c r="G3047" s="1" t="s">
        <v>180</v>
      </c>
      <c r="H3047" s="1" t="s">
        <v>15</v>
      </c>
      <c r="I3047" s="1" t="str">
        <f>"4"</f>
        <v>4</v>
      </c>
      <c r="J3047" s="3" t="str">
        <f>"12342"</f>
        <v>12342</v>
      </c>
      <c r="K3047" s="4">
        <v>46055</v>
      </c>
      <c r="L3047" s="4">
        <v>46055</v>
      </c>
      <c r="N3047" s="1" t="s">
        <v>4921</v>
      </c>
    </row>
    <row r="3048" spans="1:14" s="1" customFormat="1" x14ac:dyDescent="0.35">
      <c r="A3048" s="1" t="s">
        <v>4492</v>
      </c>
      <c r="B3048" s="1" t="s">
        <v>3356</v>
      </c>
      <c r="C3048" s="1" t="s">
        <v>3777</v>
      </c>
      <c r="D3048" s="1" t="s">
        <v>4920</v>
      </c>
      <c r="E3048" s="1" t="str">
        <f>"8340"</f>
        <v>8340</v>
      </c>
      <c r="F3048" s="1" t="str">
        <f>"014572206"</f>
        <v>014572206</v>
      </c>
      <c r="G3048" s="1" t="s">
        <v>2955</v>
      </c>
      <c r="H3048" s="1" t="s">
        <v>15</v>
      </c>
      <c r="I3048" s="1" t="str">
        <f>"1"</f>
        <v>1</v>
      </c>
      <c r="J3048" s="3">
        <v>17730.25</v>
      </c>
      <c r="K3048" s="4">
        <v>46055</v>
      </c>
      <c r="L3048" s="4">
        <v>46055</v>
      </c>
      <c r="M3048" s="1" t="s">
        <v>4524</v>
      </c>
      <c r="N3048" s="1" t="s">
        <v>4919</v>
      </c>
    </row>
    <row r="3049" spans="1:14" s="1" customFormat="1" x14ac:dyDescent="0.35">
      <c r="A3049" s="1" t="s">
        <v>4492</v>
      </c>
      <c r="B3049" s="1" t="s">
        <v>3356</v>
      </c>
      <c r="C3049" s="1" t="s">
        <v>3777</v>
      </c>
      <c r="D3049" s="1" t="s">
        <v>4918</v>
      </c>
      <c r="E3049" s="1" t="str">
        <f>"8415"</f>
        <v>8415</v>
      </c>
      <c r="F3049" s="1" t="str">
        <f>"015638411"</f>
        <v>015638411</v>
      </c>
      <c r="G3049" s="1" t="s">
        <v>4917</v>
      </c>
      <c r="H3049" s="1" t="s">
        <v>15</v>
      </c>
      <c r="I3049" s="1" t="str">
        <f>"1"</f>
        <v>1</v>
      </c>
      <c r="J3049" s="3">
        <v>14.17</v>
      </c>
      <c r="K3049" s="4">
        <v>46055</v>
      </c>
      <c r="L3049" s="4">
        <v>46055</v>
      </c>
      <c r="M3049" s="1" t="s">
        <v>4524</v>
      </c>
      <c r="N3049" s="1" t="s">
        <v>4916</v>
      </c>
    </row>
    <row r="3050" spans="1:14" s="1" customFormat="1" x14ac:dyDescent="0.35">
      <c r="A3050" s="1" t="s">
        <v>4492</v>
      </c>
      <c r="B3050" s="1" t="s">
        <v>3356</v>
      </c>
      <c r="C3050" s="1" t="s">
        <v>3777</v>
      </c>
      <c r="D3050" s="1" t="s">
        <v>4915</v>
      </c>
      <c r="E3050" s="1" t="str">
        <f>"8415"</f>
        <v>8415</v>
      </c>
      <c r="F3050" s="1" t="s">
        <v>1944</v>
      </c>
      <c r="G3050" s="1" t="s">
        <v>1945</v>
      </c>
      <c r="H3050" s="1" t="s">
        <v>15</v>
      </c>
      <c r="I3050" s="1" t="str">
        <f>"30"</f>
        <v>30</v>
      </c>
      <c r="J3050" s="3">
        <v>51.4</v>
      </c>
      <c r="K3050" s="4">
        <v>46055</v>
      </c>
      <c r="L3050" s="4">
        <v>46055</v>
      </c>
      <c r="M3050" s="1" t="s">
        <v>4524</v>
      </c>
      <c r="N3050" s="1" t="s">
        <v>4914</v>
      </c>
    </row>
    <row r="3051" spans="1:14" s="1" customFormat="1" x14ac:dyDescent="0.35">
      <c r="A3051" s="1" t="s">
        <v>4492</v>
      </c>
      <c r="B3051" s="1" t="s">
        <v>3356</v>
      </c>
      <c r="C3051" s="1" t="s">
        <v>3777</v>
      </c>
      <c r="D3051" s="1" t="s">
        <v>4913</v>
      </c>
      <c r="E3051" s="1" t="str">
        <f>"2340"</f>
        <v>2340</v>
      </c>
      <c r="F3051" s="1" t="s">
        <v>1071</v>
      </c>
      <c r="G3051" s="1" t="s">
        <v>1072</v>
      </c>
      <c r="H3051" s="1" t="s">
        <v>15</v>
      </c>
      <c r="I3051" s="1" t="str">
        <f>"4"</f>
        <v>4</v>
      </c>
      <c r="J3051" s="3">
        <v>14227.95</v>
      </c>
      <c r="K3051" s="4">
        <v>46062</v>
      </c>
      <c r="L3051" s="4">
        <v>46065</v>
      </c>
      <c r="M3051" s="1" t="s">
        <v>4556</v>
      </c>
      <c r="N3051" s="1" t="s">
        <v>4912</v>
      </c>
    </row>
    <row r="3052" spans="1:14" s="1" customFormat="1" x14ac:dyDescent="0.35">
      <c r="A3052" s="1" t="s">
        <v>4492</v>
      </c>
      <c r="B3052" s="1" t="s">
        <v>3356</v>
      </c>
      <c r="C3052" s="1" t="s">
        <v>3777</v>
      </c>
      <c r="D3052" s="1" t="s">
        <v>4911</v>
      </c>
      <c r="E3052" s="1" t="str">
        <f>"3805"</f>
        <v>3805</v>
      </c>
      <c r="F3052" s="1" t="str">
        <f>"015524487"</f>
        <v>015524487</v>
      </c>
      <c r="G3052" s="1" t="s">
        <v>4902</v>
      </c>
      <c r="H3052" s="1" t="s">
        <v>15</v>
      </c>
      <c r="I3052" s="1" t="str">
        <f>"1"</f>
        <v>1</v>
      </c>
      <c r="J3052" s="3" t="str">
        <f>"42630"</f>
        <v>42630</v>
      </c>
      <c r="K3052" s="4">
        <v>46062</v>
      </c>
      <c r="L3052" s="4">
        <v>46063</v>
      </c>
      <c r="N3052" s="1" t="s">
        <v>4910</v>
      </c>
    </row>
    <row r="3053" spans="1:14" s="1" customFormat="1" x14ac:dyDescent="0.35">
      <c r="A3053" s="1" t="s">
        <v>4492</v>
      </c>
      <c r="B3053" s="1" t="s">
        <v>3356</v>
      </c>
      <c r="C3053" s="1" t="s">
        <v>3777</v>
      </c>
      <c r="D3053" s="1" t="s">
        <v>4909</v>
      </c>
      <c r="E3053" s="1" t="str">
        <f>"2340"</f>
        <v>2340</v>
      </c>
      <c r="F3053" s="1" t="s">
        <v>1071</v>
      </c>
      <c r="G3053" s="1" t="s">
        <v>1072</v>
      </c>
      <c r="H3053" s="1" t="s">
        <v>15</v>
      </c>
      <c r="I3053" s="1" t="str">
        <f>"1"</f>
        <v>1</v>
      </c>
      <c r="J3053" s="3" t="str">
        <f>"1000"</f>
        <v>1000</v>
      </c>
      <c r="K3053" s="4">
        <v>46076</v>
      </c>
      <c r="L3053" s="4">
        <v>46105</v>
      </c>
      <c r="M3053" s="1" t="s">
        <v>4908</v>
      </c>
      <c r="N3053" s="1" t="s">
        <v>4907</v>
      </c>
    </row>
    <row r="3054" spans="1:14" s="1" customFormat="1" x14ac:dyDescent="0.35">
      <c r="A3054" s="1" t="s">
        <v>4492</v>
      </c>
      <c r="B3054" s="1" t="s">
        <v>3356</v>
      </c>
      <c r="C3054" s="1" t="s">
        <v>3777</v>
      </c>
      <c r="D3054" s="1" t="s">
        <v>4906</v>
      </c>
      <c r="E3054" s="1" t="str">
        <f>"1240"</f>
        <v>1240</v>
      </c>
      <c r="F3054" s="1" t="str">
        <f>"015591536"</f>
        <v>015591536</v>
      </c>
      <c r="G3054" s="1" t="s">
        <v>4579</v>
      </c>
      <c r="H3054" s="1" t="s">
        <v>15</v>
      </c>
      <c r="I3054" s="1" t="str">
        <f>"2"</f>
        <v>2</v>
      </c>
      <c r="J3054" s="3" t="str">
        <f>"430"</f>
        <v>430</v>
      </c>
      <c r="K3054" s="4">
        <v>46079</v>
      </c>
      <c r="L3054" s="4">
        <v>46087</v>
      </c>
      <c r="M3054" s="1" t="s">
        <v>4905</v>
      </c>
      <c r="N3054" s="1" t="s">
        <v>4904</v>
      </c>
    </row>
    <row r="3055" spans="1:14" s="1" customFormat="1" x14ac:dyDescent="0.35">
      <c r="A3055" s="1" t="s">
        <v>4492</v>
      </c>
      <c r="B3055" s="1" t="s">
        <v>3356</v>
      </c>
      <c r="C3055" s="1" t="s">
        <v>3777</v>
      </c>
      <c r="D3055" s="1" t="s">
        <v>4903</v>
      </c>
      <c r="E3055" s="1" t="str">
        <f>"3805"</f>
        <v>3805</v>
      </c>
      <c r="F3055" s="1" t="str">
        <f>"015524487"</f>
        <v>015524487</v>
      </c>
      <c r="G3055" s="1" t="s">
        <v>4902</v>
      </c>
      <c r="H3055" s="1" t="s">
        <v>15</v>
      </c>
      <c r="I3055" s="1" t="str">
        <f>"1"</f>
        <v>1</v>
      </c>
      <c r="J3055" s="3" t="str">
        <f>"42630"</f>
        <v>42630</v>
      </c>
      <c r="K3055" s="4">
        <v>46085</v>
      </c>
      <c r="L3055" s="4">
        <v>46088</v>
      </c>
      <c r="M3055" s="1" t="s">
        <v>4901</v>
      </c>
      <c r="N3055" s="1" t="s">
        <v>4900</v>
      </c>
    </row>
    <row r="3056" spans="1:14" s="1" customFormat="1" x14ac:dyDescent="0.35">
      <c r="A3056" s="1" t="s">
        <v>4492</v>
      </c>
      <c r="B3056" s="1" t="s">
        <v>3356</v>
      </c>
      <c r="C3056" s="1" t="s">
        <v>3777</v>
      </c>
      <c r="D3056" s="1" t="s">
        <v>4899</v>
      </c>
      <c r="E3056" s="1" t="str">
        <f>"3805"</f>
        <v>3805</v>
      </c>
      <c r="F3056" s="1" t="s">
        <v>1020</v>
      </c>
      <c r="G3056" s="1" t="s">
        <v>1021</v>
      </c>
      <c r="H3056" s="1" t="s">
        <v>15</v>
      </c>
      <c r="I3056" s="1" t="str">
        <f>"1"</f>
        <v>1</v>
      </c>
      <c r="J3056" s="3" t="str">
        <f>"15450"</f>
        <v>15450</v>
      </c>
      <c r="K3056" s="4">
        <v>46084</v>
      </c>
      <c r="L3056" s="4">
        <v>46095</v>
      </c>
      <c r="M3056" s="1" t="s">
        <v>4898</v>
      </c>
      <c r="N3056" s="1" t="s">
        <v>4897</v>
      </c>
    </row>
    <row r="3057" spans="1:14" s="1" customFormat="1" x14ac:dyDescent="0.35">
      <c r="A3057" s="1" t="s">
        <v>4492</v>
      </c>
      <c r="B3057" s="1" t="s">
        <v>3356</v>
      </c>
      <c r="C3057" s="1" t="s">
        <v>3777</v>
      </c>
      <c r="D3057" s="1" t="s">
        <v>4896</v>
      </c>
      <c r="E3057" s="1" t="str">
        <f>"3805"</f>
        <v>3805</v>
      </c>
      <c r="F3057" s="1" t="s">
        <v>1020</v>
      </c>
      <c r="G3057" s="1" t="s">
        <v>1021</v>
      </c>
      <c r="H3057" s="1" t="s">
        <v>15</v>
      </c>
      <c r="I3057" s="1" t="str">
        <f>"1"</f>
        <v>1</v>
      </c>
      <c r="J3057" s="3" t="str">
        <f>"12000"</f>
        <v>12000</v>
      </c>
      <c r="K3057" s="4">
        <v>46084</v>
      </c>
      <c r="L3057" s="4">
        <v>46095</v>
      </c>
      <c r="M3057" s="1" t="s">
        <v>4895</v>
      </c>
      <c r="N3057" s="1" t="s">
        <v>4894</v>
      </c>
    </row>
    <row r="3058" spans="1:14" s="1" customFormat="1" x14ac:dyDescent="0.35">
      <c r="A3058" s="1" t="s">
        <v>4492</v>
      </c>
      <c r="B3058" s="1" t="s">
        <v>3356</v>
      </c>
      <c r="C3058" s="1" t="s">
        <v>3777</v>
      </c>
      <c r="D3058" s="1" t="s">
        <v>4893</v>
      </c>
      <c r="E3058" s="1" t="str">
        <f>"7025"</f>
        <v>7025</v>
      </c>
      <c r="F3058" s="1" t="s">
        <v>4892</v>
      </c>
      <c r="G3058" s="1" t="s">
        <v>4891</v>
      </c>
      <c r="H3058" s="1" t="s">
        <v>15</v>
      </c>
      <c r="I3058" s="1" t="str">
        <f>"31"</f>
        <v>31</v>
      </c>
      <c r="J3058" s="3" t="str">
        <f>"3920"</f>
        <v>3920</v>
      </c>
      <c r="K3058" s="4">
        <v>46085</v>
      </c>
      <c r="L3058" s="4">
        <v>46091</v>
      </c>
      <c r="M3058" s="1" t="s">
        <v>4890</v>
      </c>
      <c r="N3058" s="1" t="s">
        <v>4889</v>
      </c>
    </row>
    <row r="3059" spans="1:14" s="1" customFormat="1" x14ac:dyDescent="0.35">
      <c r="A3059" s="1" t="s">
        <v>4492</v>
      </c>
      <c r="B3059" s="1" t="s">
        <v>3356</v>
      </c>
      <c r="C3059" s="1" t="s">
        <v>3777</v>
      </c>
      <c r="D3059" s="1" t="s">
        <v>4888</v>
      </c>
      <c r="E3059" s="1" t="str">
        <f>"2340"</f>
        <v>2340</v>
      </c>
      <c r="F3059" s="1" t="s">
        <v>179</v>
      </c>
      <c r="G3059" s="1" t="s">
        <v>180</v>
      </c>
      <c r="H3059" s="1" t="s">
        <v>15</v>
      </c>
      <c r="I3059" s="1" t="str">
        <f>"1"</f>
        <v>1</v>
      </c>
      <c r="J3059" s="3" t="str">
        <f>"14251"</f>
        <v>14251</v>
      </c>
      <c r="K3059" s="4">
        <v>46104</v>
      </c>
      <c r="L3059" s="4">
        <v>46104</v>
      </c>
      <c r="M3059" s="1" t="s">
        <v>4887</v>
      </c>
      <c r="N3059" s="1" t="s">
        <v>4884</v>
      </c>
    </row>
    <row r="3060" spans="1:14" s="1" customFormat="1" x14ac:dyDescent="0.35">
      <c r="A3060" s="1" t="s">
        <v>4492</v>
      </c>
      <c r="B3060" s="1" t="s">
        <v>3356</v>
      </c>
      <c r="C3060" s="1" t="s">
        <v>3777</v>
      </c>
      <c r="D3060" s="1" t="s">
        <v>4888</v>
      </c>
      <c r="E3060" s="1" t="str">
        <f>"2340"</f>
        <v>2340</v>
      </c>
      <c r="F3060" s="1" t="s">
        <v>179</v>
      </c>
      <c r="G3060" s="1" t="s">
        <v>180</v>
      </c>
      <c r="H3060" s="1" t="s">
        <v>15</v>
      </c>
      <c r="I3060" s="1" t="str">
        <f>"1"</f>
        <v>1</v>
      </c>
      <c r="J3060" s="3" t="str">
        <f>"14251"</f>
        <v>14251</v>
      </c>
      <c r="K3060" s="4">
        <v>46104</v>
      </c>
      <c r="L3060" s="4">
        <v>46104</v>
      </c>
      <c r="M3060" s="1" t="s">
        <v>4887</v>
      </c>
      <c r="N3060" s="1" t="s">
        <v>4884</v>
      </c>
    </row>
    <row r="3061" spans="1:14" s="1" customFormat="1" x14ac:dyDescent="0.35">
      <c r="A3061" s="1" t="s">
        <v>4492</v>
      </c>
      <c r="B3061" s="1" t="s">
        <v>3356</v>
      </c>
      <c r="C3061" s="1" t="s">
        <v>3777</v>
      </c>
      <c r="D3061" s="1" t="s">
        <v>4886</v>
      </c>
      <c r="E3061" s="1" t="str">
        <f>"2340"</f>
        <v>2340</v>
      </c>
      <c r="F3061" s="1" t="s">
        <v>179</v>
      </c>
      <c r="G3061" s="1" t="s">
        <v>180</v>
      </c>
      <c r="H3061" s="1" t="s">
        <v>15</v>
      </c>
      <c r="I3061" s="1" t="str">
        <f>"1"</f>
        <v>1</v>
      </c>
      <c r="J3061" s="3" t="str">
        <f>"13803"</f>
        <v>13803</v>
      </c>
      <c r="K3061" s="4">
        <v>46104</v>
      </c>
      <c r="L3061" s="4">
        <v>46105</v>
      </c>
      <c r="M3061" s="1" t="s">
        <v>4885</v>
      </c>
      <c r="N3061" s="1" t="s">
        <v>4884</v>
      </c>
    </row>
    <row r="3062" spans="1:14" s="1" customFormat="1" x14ac:dyDescent="0.35">
      <c r="A3062" s="1" t="s">
        <v>4492</v>
      </c>
      <c r="B3062" s="1" t="s">
        <v>3356</v>
      </c>
      <c r="C3062" s="1" t="s">
        <v>3777</v>
      </c>
      <c r="D3062" s="1" t="s">
        <v>4886</v>
      </c>
      <c r="E3062" s="1" t="str">
        <f>"2340"</f>
        <v>2340</v>
      </c>
      <c r="F3062" s="1" t="s">
        <v>179</v>
      </c>
      <c r="G3062" s="1" t="s">
        <v>180</v>
      </c>
      <c r="H3062" s="1" t="s">
        <v>15</v>
      </c>
      <c r="I3062" s="1" t="str">
        <f>"1"</f>
        <v>1</v>
      </c>
      <c r="J3062" s="3" t="str">
        <f>"13803"</f>
        <v>13803</v>
      </c>
      <c r="K3062" s="4">
        <v>46104</v>
      </c>
      <c r="L3062" s="4">
        <v>46105</v>
      </c>
      <c r="M3062" s="1" t="s">
        <v>4885</v>
      </c>
      <c r="N3062" s="1" t="s">
        <v>4884</v>
      </c>
    </row>
    <row r="3063" spans="1:14" s="1" customFormat="1" x14ac:dyDescent="0.35">
      <c r="A3063" s="1" t="s">
        <v>4492</v>
      </c>
      <c r="B3063" s="1" t="s">
        <v>4883</v>
      </c>
      <c r="C3063" s="1" t="s">
        <v>4882</v>
      </c>
      <c r="D3063" s="1" t="s">
        <v>4881</v>
      </c>
      <c r="E3063" s="1" t="str">
        <f>"5855"</f>
        <v>5855</v>
      </c>
      <c r="F3063" s="1" t="str">
        <f>"015847217"</f>
        <v>015847217</v>
      </c>
      <c r="G3063" s="1" t="s">
        <v>614</v>
      </c>
      <c r="H3063" s="1" t="s">
        <v>15</v>
      </c>
      <c r="I3063" s="1" t="str">
        <f>"5"</f>
        <v>5</v>
      </c>
      <c r="J3063" s="3" t="str">
        <f>"34084"</f>
        <v>34084</v>
      </c>
      <c r="K3063" s="4">
        <v>46105</v>
      </c>
      <c r="L3063" s="4">
        <v>46106</v>
      </c>
      <c r="M3063" s="1" t="s">
        <v>4524</v>
      </c>
      <c r="N3063" s="1" t="s">
        <v>4880</v>
      </c>
    </row>
    <row r="3064" spans="1:14" s="1" customFormat="1" x14ac:dyDescent="0.35">
      <c r="A3064" s="1" t="s">
        <v>4492</v>
      </c>
      <c r="B3064" s="1" t="s">
        <v>3352</v>
      </c>
      <c r="C3064" s="1" t="s">
        <v>3353</v>
      </c>
      <c r="D3064" s="1" t="s">
        <v>4879</v>
      </c>
      <c r="E3064" s="1" t="str">
        <f>"4240"</f>
        <v>4240</v>
      </c>
      <c r="F3064" s="1" t="str">
        <f>"016308327"</f>
        <v>016308327</v>
      </c>
      <c r="G3064" s="1" t="s">
        <v>1404</v>
      </c>
      <c r="H3064" s="1" t="s">
        <v>15</v>
      </c>
      <c r="I3064" s="1" t="str">
        <f>"23"</f>
        <v>23</v>
      </c>
      <c r="J3064" s="3">
        <v>48.01</v>
      </c>
      <c r="K3064" s="4">
        <v>46030</v>
      </c>
      <c r="L3064" s="4">
        <v>46039</v>
      </c>
      <c r="M3064" s="1" t="s">
        <v>4524</v>
      </c>
      <c r="N3064" s="1" t="s">
        <v>4878</v>
      </c>
    </row>
    <row r="3065" spans="1:14" s="1" customFormat="1" x14ac:dyDescent="0.35">
      <c r="A3065" s="1" t="s">
        <v>4492</v>
      </c>
      <c r="B3065" s="1" t="s">
        <v>3352</v>
      </c>
      <c r="C3065" s="1" t="s">
        <v>3353</v>
      </c>
      <c r="D3065" s="1" t="s">
        <v>4877</v>
      </c>
      <c r="E3065" s="1" t="str">
        <f>"4240"</f>
        <v>4240</v>
      </c>
      <c r="F3065" s="1" t="str">
        <f>"016308327"</f>
        <v>016308327</v>
      </c>
      <c r="G3065" s="1" t="s">
        <v>1404</v>
      </c>
      <c r="H3065" s="1" t="s">
        <v>15</v>
      </c>
      <c r="I3065" s="1" t="str">
        <f>"50"</f>
        <v>50</v>
      </c>
      <c r="J3065" s="3">
        <v>48.01</v>
      </c>
      <c r="K3065" s="4">
        <v>46050</v>
      </c>
      <c r="L3065" s="4">
        <v>46055</v>
      </c>
      <c r="M3065" s="1" t="s">
        <v>4876</v>
      </c>
      <c r="N3065" s="1" t="s">
        <v>4875</v>
      </c>
    </row>
    <row r="3066" spans="1:14" s="1" customFormat="1" x14ac:dyDescent="0.35">
      <c r="A3066" s="1" t="s">
        <v>4492</v>
      </c>
      <c r="B3066" s="1" t="s">
        <v>3352</v>
      </c>
      <c r="C3066" s="1" t="s">
        <v>3353</v>
      </c>
      <c r="D3066" s="1" t="s">
        <v>4874</v>
      </c>
      <c r="E3066" s="1" t="str">
        <f>"4240"</f>
        <v>4240</v>
      </c>
      <c r="F3066" s="1" t="str">
        <f>"016308327"</f>
        <v>016308327</v>
      </c>
      <c r="G3066" s="1" t="s">
        <v>1404</v>
      </c>
      <c r="H3066" s="1" t="s">
        <v>15</v>
      </c>
      <c r="I3066" s="1" t="str">
        <f>"50"</f>
        <v>50</v>
      </c>
      <c r="J3066" s="3">
        <v>48.01</v>
      </c>
      <c r="K3066" s="4">
        <v>46079</v>
      </c>
      <c r="L3066" s="4">
        <v>46087</v>
      </c>
      <c r="M3066" s="1" t="s">
        <v>4873</v>
      </c>
      <c r="N3066" s="1" t="s">
        <v>4872</v>
      </c>
    </row>
    <row r="3067" spans="1:14" s="1" customFormat="1" x14ac:dyDescent="0.35">
      <c r="A3067" s="1" t="s">
        <v>4492</v>
      </c>
      <c r="B3067" s="1" t="s">
        <v>3352</v>
      </c>
      <c r="C3067" s="1" t="s">
        <v>3353</v>
      </c>
      <c r="D3067" s="1" t="s">
        <v>4871</v>
      </c>
      <c r="E3067" s="1" t="str">
        <f>"4240"</f>
        <v>4240</v>
      </c>
      <c r="F3067" s="1" t="str">
        <f>"016306064"</f>
        <v>016306064</v>
      </c>
      <c r="G3067" s="1" t="s">
        <v>1404</v>
      </c>
      <c r="H3067" s="1" t="s">
        <v>15</v>
      </c>
      <c r="I3067" s="1" t="str">
        <f>"20"</f>
        <v>20</v>
      </c>
      <c r="J3067" s="3">
        <v>128.97999999999999</v>
      </c>
      <c r="K3067" s="4">
        <v>46104</v>
      </c>
      <c r="L3067" s="4">
        <v>46105</v>
      </c>
      <c r="M3067" s="1" t="s">
        <v>4524</v>
      </c>
      <c r="N3067" s="1" t="s">
        <v>4869</v>
      </c>
    </row>
    <row r="3068" spans="1:14" s="1" customFormat="1" x14ac:dyDescent="0.35">
      <c r="A3068" s="1" t="s">
        <v>4492</v>
      </c>
      <c r="B3068" s="1" t="s">
        <v>3352</v>
      </c>
      <c r="C3068" s="1" t="s">
        <v>3353</v>
      </c>
      <c r="D3068" s="1" t="s">
        <v>4870</v>
      </c>
      <c r="E3068" s="1" t="str">
        <f>"4240"</f>
        <v>4240</v>
      </c>
      <c r="F3068" s="1" t="str">
        <f>"015253095"</f>
        <v>015253095</v>
      </c>
      <c r="G3068" s="1" t="s">
        <v>3426</v>
      </c>
      <c r="H3068" s="1" t="s">
        <v>15</v>
      </c>
      <c r="I3068" s="1" t="str">
        <f>"17"</f>
        <v>17</v>
      </c>
      <c r="J3068" s="3">
        <v>129.01</v>
      </c>
      <c r="K3068" s="4">
        <v>46104</v>
      </c>
      <c r="L3068" s="4">
        <v>46105</v>
      </c>
      <c r="M3068" s="1" t="s">
        <v>4524</v>
      </c>
      <c r="N3068" s="1" t="s">
        <v>4869</v>
      </c>
    </row>
    <row r="3069" spans="1:14" s="1" customFormat="1" x14ac:dyDescent="0.35">
      <c r="A3069" s="1" t="s">
        <v>4492</v>
      </c>
      <c r="B3069" s="1" t="s">
        <v>4456</v>
      </c>
      <c r="C3069" s="1" t="s">
        <v>4858</v>
      </c>
      <c r="D3069" s="1" t="s">
        <v>4868</v>
      </c>
      <c r="E3069" s="1" t="str">
        <f>"5855"</f>
        <v>5855</v>
      </c>
      <c r="F3069" s="1" t="str">
        <f>"015790062"</f>
        <v>015790062</v>
      </c>
      <c r="G3069" s="1" t="s">
        <v>742</v>
      </c>
      <c r="H3069" s="1" t="s">
        <v>15</v>
      </c>
      <c r="I3069" s="1" t="str">
        <f>"6"</f>
        <v>6</v>
      </c>
      <c r="J3069" s="3" t="str">
        <f>"900"</f>
        <v>900</v>
      </c>
      <c r="K3069" s="4">
        <v>46096</v>
      </c>
      <c r="L3069" s="4">
        <v>46103</v>
      </c>
      <c r="M3069" s="1" t="s">
        <v>4867</v>
      </c>
      <c r="N3069" s="1" t="s">
        <v>4866</v>
      </c>
    </row>
    <row r="3070" spans="1:14" s="1" customFormat="1" x14ac:dyDescent="0.35">
      <c r="A3070" s="1" t="s">
        <v>4492</v>
      </c>
      <c r="B3070" s="1" t="s">
        <v>4456</v>
      </c>
      <c r="C3070" s="1" t="s">
        <v>4858</v>
      </c>
      <c r="D3070" s="1" t="s">
        <v>4865</v>
      </c>
      <c r="E3070" s="1" t="str">
        <f>"5855"</f>
        <v>5855</v>
      </c>
      <c r="F3070" s="1" t="str">
        <f>"015356166"</f>
        <v>015356166</v>
      </c>
      <c r="G3070" s="1" t="s">
        <v>742</v>
      </c>
      <c r="H3070" s="1" t="s">
        <v>15</v>
      </c>
      <c r="I3070" s="1" t="str">
        <f>"10"</f>
        <v>10</v>
      </c>
      <c r="J3070" s="3" t="str">
        <f>"898"</f>
        <v>898</v>
      </c>
      <c r="K3070" s="4">
        <v>46095</v>
      </c>
      <c r="L3070" s="4">
        <v>46096</v>
      </c>
      <c r="M3070" s="1" t="s">
        <v>4524</v>
      </c>
      <c r="N3070" s="1" t="s">
        <v>4864</v>
      </c>
    </row>
    <row r="3071" spans="1:14" s="1" customFormat="1" x14ac:dyDescent="0.35">
      <c r="A3071" s="1" t="s">
        <v>4492</v>
      </c>
      <c r="B3071" s="1" t="s">
        <v>4456</v>
      </c>
      <c r="C3071" s="1" t="s">
        <v>4858</v>
      </c>
      <c r="D3071" s="1" t="s">
        <v>4863</v>
      </c>
      <c r="E3071" s="1" t="str">
        <f>"5855"</f>
        <v>5855</v>
      </c>
      <c r="F3071" s="1" t="str">
        <f>"015356166"</f>
        <v>015356166</v>
      </c>
      <c r="G3071" s="1" t="s">
        <v>742</v>
      </c>
      <c r="H3071" s="1" t="s">
        <v>15</v>
      </c>
      <c r="I3071" s="1" t="str">
        <f>"10"</f>
        <v>10</v>
      </c>
      <c r="J3071" s="3" t="str">
        <f>"898"</f>
        <v>898</v>
      </c>
      <c r="K3071" s="4">
        <v>46095</v>
      </c>
      <c r="L3071" s="4">
        <v>46096</v>
      </c>
      <c r="M3071" s="1" t="s">
        <v>4524</v>
      </c>
      <c r="N3071" s="1" t="s">
        <v>4862</v>
      </c>
    </row>
    <row r="3072" spans="1:14" s="1" customFormat="1" x14ac:dyDescent="0.35">
      <c r="A3072" s="1" t="s">
        <v>4492</v>
      </c>
      <c r="B3072" s="1" t="s">
        <v>4456</v>
      </c>
      <c r="C3072" s="1" t="s">
        <v>4858</v>
      </c>
      <c r="D3072" s="1" t="s">
        <v>4861</v>
      </c>
      <c r="E3072" s="1" t="str">
        <f>"5855"</f>
        <v>5855</v>
      </c>
      <c r="F3072" s="1" t="str">
        <f>"015847217"</f>
        <v>015847217</v>
      </c>
      <c r="G3072" s="1" t="s">
        <v>614</v>
      </c>
      <c r="H3072" s="1" t="s">
        <v>15</v>
      </c>
      <c r="I3072" s="1" t="str">
        <f>"5"</f>
        <v>5</v>
      </c>
      <c r="J3072" s="3" t="str">
        <f>"34084"</f>
        <v>34084</v>
      </c>
      <c r="K3072" s="4">
        <v>46095</v>
      </c>
      <c r="L3072" s="4">
        <v>46100</v>
      </c>
      <c r="M3072" s="1" t="s">
        <v>4860</v>
      </c>
      <c r="N3072" s="1" t="s">
        <v>4859</v>
      </c>
    </row>
    <row r="3073" spans="1:14" s="1" customFormat="1" x14ac:dyDescent="0.35">
      <c r="A3073" s="1" t="s">
        <v>4492</v>
      </c>
      <c r="B3073" s="1" t="s">
        <v>4456</v>
      </c>
      <c r="C3073" s="1" t="s">
        <v>4858</v>
      </c>
      <c r="D3073" s="1" t="s">
        <v>4857</v>
      </c>
      <c r="E3073" s="1" t="str">
        <f>"5855"</f>
        <v>5855</v>
      </c>
      <c r="F3073" s="1" t="s">
        <v>985</v>
      </c>
      <c r="G3073" s="1" t="s">
        <v>986</v>
      </c>
      <c r="H3073" s="1" t="s">
        <v>15</v>
      </c>
      <c r="I3073" s="1" t="str">
        <f>"8"</f>
        <v>8</v>
      </c>
      <c r="J3073" s="3" t="str">
        <f>"3595"</f>
        <v>3595</v>
      </c>
      <c r="K3073" s="4">
        <v>46098</v>
      </c>
      <c r="L3073" s="4">
        <v>46107</v>
      </c>
      <c r="M3073" s="1" t="s">
        <v>4856</v>
      </c>
      <c r="N3073" s="1" t="s">
        <v>4855</v>
      </c>
    </row>
    <row r="3074" spans="1:14" s="1" customFormat="1" x14ac:dyDescent="0.35">
      <c r="A3074" s="1" t="s">
        <v>4492</v>
      </c>
      <c r="B3074" s="1" t="s">
        <v>1176</v>
      </c>
      <c r="C3074" s="1" t="s">
        <v>4846</v>
      </c>
      <c r="D3074" s="1" t="s">
        <v>4854</v>
      </c>
      <c r="E3074" s="1" t="str">
        <f>"1005"</f>
        <v>1005</v>
      </c>
      <c r="F3074" s="1" t="str">
        <f>"016976892"</f>
        <v>016976892</v>
      </c>
      <c r="G3074" s="1" t="s">
        <v>1886</v>
      </c>
      <c r="H3074" s="1" t="s">
        <v>15</v>
      </c>
      <c r="I3074" s="1" t="str">
        <f>"3"</f>
        <v>3</v>
      </c>
      <c r="J3074" s="3" t="str">
        <f>"1804"</f>
        <v>1804</v>
      </c>
      <c r="K3074" s="4">
        <v>46044</v>
      </c>
      <c r="L3074" s="4">
        <v>46046</v>
      </c>
      <c r="M3074" s="1" t="s">
        <v>4524</v>
      </c>
      <c r="N3074" s="1" t="s">
        <v>4853</v>
      </c>
    </row>
    <row r="3075" spans="1:14" s="1" customFormat="1" x14ac:dyDescent="0.35">
      <c r="A3075" s="1" t="s">
        <v>4492</v>
      </c>
      <c r="B3075" s="1" t="s">
        <v>1176</v>
      </c>
      <c r="C3075" s="1" t="s">
        <v>4846</v>
      </c>
      <c r="D3075" s="1" t="s">
        <v>4852</v>
      </c>
      <c r="E3075" s="1" t="str">
        <f>"5855"</f>
        <v>5855</v>
      </c>
      <c r="F3075" s="1" t="str">
        <f>"015485687"</f>
        <v>015485687</v>
      </c>
      <c r="G3075" s="1" t="s">
        <v>798</v>
      </c>
      <c r="H3075" s="1" t="s">
        <v>15</v>
      </c>
      <c r="I3075" s="1" t="str">
        <f>"12"</f>
        <v>12</v>
      </c>
      <c r="J3075" s="3" t="str">
        <f>"10402"</f>
        <v>10402</v>
      </c>
      <c r="K3075" s="4">
        <v>46043</v>
      </c>
      <c r="L3075" s="4">
        <v>46055</v>
      </c>
      <c r="M3075" s="1" t="s">
        <v>4851</v>
      </c>
      <c r="N3075" s="1" t="s">
        <v>4850</v>
      </c>
    </row>
    <row r="3076" spans="1:14" s="1" customFormat="1" x14ac:dyDescent="0.35">
      <c r="A3076" s="1" t="s">
        <v>4492</v>
      </c>
      <c r="B3076" s="1" t="s">
        <v>1176</v>
      </c>
      <c r="C3076" s="1" t="s">
        <v>4846</v>
      </c>
      <c r="D3076" s="1" t="s">
        <v>4849</v>
      </c>
      <c r="E3076" s="1" t="str">
        <f>"7021"</f>
        <v>7021</v>
      </c>
      <c r="F3076" s="1" t="s">
        <v>1173</v>
      </c>
      <c r="G3076" s="1" t="s">
        <v>1174</v>
      </c>
      <c r="H3076" s="1" t="s">
        <v>15</v>
      </c>
      <c r="I3076" s="1" t="str">
        <f>"13"</f>
        <v>13</v>
      </c>
      <c r="J3076" s="3">
        <v>2514.66</v>
      </c>
      <c r="K3076" s="4">
        <v>46078</v>
      </c>
      <c r="L3076" s="4">
        <v>46088</v>
      </c>
      <c r="M3076" s="1" t="s">
        <v>4848</v>
      </c>
      <c r="N3076" s="1" t="s">
        <v>4847</v>
      </c>
    </row>
    <row r="3077" spans="1:14" s="1" customFormat="1" x14ac:dyDescent="0.35">
      <c r="A3077" s="1" t="s">
        <v>4492</v>
      </c>
      <c r="B3077" s="1" t="s">
        <v>1176</v>
      </c>
      <c r="C3077" s="1" t="s">
        <v>4846</v>
      </c>
      <c r="D3077" s="1" t="s">
        <v>4845</v>
      </c>
      <c r="E3077" s="1" t="str">
        <f>"8465"</f>
        <v>8465</v>
      </c>
      <c r="F3077" s="1" t="str">
        <f>"009734807"</f>
        <v>009734807</v>
      </c>
      <c r="G3077" s="1" t="s">
        <v>3069</v>
      </c>
      <c r="H3077" s="1" t="s">
        <v>15</v>
      </c>
      <c r="I3077" s="1" t="str">
        <f>"13"</f>
        <v>13</v>
      </c>
      <c r="J3077" s="3">
        <v>91.05</v>
      </c>
      <c r="K3077" s="4">
        <v>46090</v>
      </c>
      <c r="L3077" s="4">
        <v>46100</v>
      </c>
      <c r="M3077" s="1" t="s">
        <v>4844</v>
      </c>
      <c r="N3077" s="1" t="s">
        <v>4843</v>
      </c>
    </row>
    <row r="3078" spans="1:14" s="1" customFormat="1" x14ac:dyDescent="0.35">
      <c r="A3078" s="1" t="s">
        <v>4492</v>
      </c>
      <c r="B3078" s="1" t="s">
        <v>3356</v>
      </c>
      <c r="C3078" s="1" t="s">
        <v>3783</v>
      </c>
      <c r="D3078" s="1" t="s">
        <v>4842</v>
      </c>
      <c r="E3078" s="1" t="str">
        <f>"2330"</f>
        <v>2330</v>
      </c>
      <c r="F3078" s="1" t="s">
        <v>104</v>
      </c>
      <c r="G3078" s="1" t="s">
        <v>105</v>
      </c>
      <c r="H3078" s="1" t="s">
        <v>15</v>
      </c>
      <c r="I3078" s="1" t="str">
        <f>"1"</f>
        <v>1</v>
      </c>
      <c r="J3078" s="3" t="str">
        <f>"13000"</f>
        <v>13000</v>
      </c>
      <c r="K3078" s="4">
        <v>46080</v>
      </c>
      <c r="L3078" s="4">
        <v>46087</v>
      </c>
      <c r="M3078" s="1" t="s">
        <v>4841</v>
      </c>
      <c r="N3078" s="1" t="s">
        <v>4840</v>
      </c>
    </row>
    <row r="3079" spans="1:14" s="1" customFormat="1" x14ac:dyDescent="0.35">
      <c r="A3079" s="1" t="s">
        <v>4492</v>
      </c>
      <c r="B3079" s="1" t="s">
        <v>73</v>
      </c>
      <c r="C3079" s="1" t="s">
        <v>308</v>
      </c>
      <c r="D3079" s="1" t="s">
        <v>4839</v>
      </c>
      <c r="E3079" s="1" t="str">
        <f>"3930"</f>
        <v>3930</v>
      </c>
      <c r="F3079" s="1" t="s">
        <v>95</v>
      </c>
      <c r="G3079" s="1" t="s">
        <v>96</v>
      </c>
      <c r="H3079" s="1" t="s">
        <v>15</v>
      </c>
      <c r="I3079" s="1" t="str">
        <f>"1"</f>
        <v>1</v>
      </c>
      <c r="J3079" s="3" t="str">
        <f>"3000"</f>
        <v>3000</v>
      </c>
      <c r="K3079" s="4">
        <v>46079</v>
      </c>
      <c r="L3079" s="4">
        <v>46088</v>
      </c>
      <c r="M3079" s="1" t="s">
        <v>4838</v>
      </c>
      <c r="N3079" s="1" t="s">
        <v>4837</v>
      </c>
    </row>
    <row r="3080" spans="1:14" s="1" customFormat="1" x14ac:dyDescent="0.35">
      <c r="A3080" s="1" t="s">
        <v>4492</v>
      </c>
      <c r="B3080" s="1" t="s">
        <v>73</v>
      </c>
      <c r="C3080" s="1" t="s">
        <v>308</v>
      </c>
      <c r="D3080" s="1" t="s">
        <v>4836</v>
      </c>
      <c r="E3080" s="1" t="str">
        <f>"7360"</f>
        <v>7360</v>
      </c>
      <c r="F3080" s="1" t="str">
        <f>"015791956"</f>
        <v>015791956</v>
      </c>
      <c r="G3080" s="1" t="s">
        <v>4835</v>
      </c>
      <c r="H3080" s="1" t="s">
        <v>15</v>
      </c>
      <c r="I3080" s="1" t="str">
        <f>"1"</f>
        <v>1</v>
      </c>
      <c r="J3080" s="3" t="str">
        <f>"350000"</f>
        <v>350000</v>
      </c>
      <c r="K3080" s="4">
        <v>46086</v>
      </c>
      <c r="L3080" s="4">
        <v>46087</v>
      </c>
      <c r="M3080" s="1" t="s">
        <v>4834</v>
      </c>
      <c r="N3080" s="1" t="s">
        <v>4833</v>
      </c>
    </row>
    <row r="3081" spans="1:14" s="1" customFormat="1" x14ac:dyDescent="0.35">
      <c r="A3081" s="1" t="s">
        <v>4492</v>
      </c>
      <c r="B3081" s="1" t="s">
        <v>73</v>
      </c>
      <c r="C3081" s="1" t="s">
        <v>308</v>
      </c>
      <c r="D3081" s="1" t="s">
        <v>4832</v>
      </c>
      <c r="E3081" s="1" t="str">
        <f>"2420"</f>
        <v>2420</v>
      </c>
      <c r="F3081" s="1" t="str">
        <f>"001138984"</f>
        <v>001138984</v>
      </c>
      <c r="G3081" s="1" t="s">
        <v>183</v>
      </c>
      <c r="H3081" s="1" t="s">
        <v>15</v>
      </c>
      <c r="I3081" s="1" t="str">
        <f>"1"</f>
        <v>1</v>
      </c>
      <c r="J3081" s="3" t="str">
        <f>"36007"</f>
        <v>36007</v>
      </c>
      <c r="K3081" s="4">
        <v>46079</v>
      </c>
      <c r="L3081" s="4">
        <v>46088</v>
      </c>
      <c r="M3081" s="1" t="s">
        <v>4831</v>
      </c>
      <c r="N3081" s="1" t="s">
        <v>4830</v>
      </c>
    </row>
    <row r="3082" spans="1:14" s="1" customFormat="1" x14ac:dyDescent="0.35">
      <c r="A3082" s="1" t="s">
        <v>4492</v>
      </c>
      <c r="B3082" s="1" t="s">
        <v>73</v>
      </c>
      <c r="C3082" s="1" t="s">
        <v>308</v>
      </c>
      <c r="D3082" s="1" t="s">
        <v>4829</v>
      </c>
      <c r="E3082" s="1" t="str">
        <f>"4940"</f>
        <v>4940</v>
      </c>
      <c r="F3082" s="1" t="str">
        <f>"013619720"</f>
        <v>013619720</v>
      </c>
      <c r="G3082" s="1" t="s">
        <v>1226</v>
      </c>
      <c r="H3082" s="1" t="s">
        <v>15</v>
      </c>
      <c r="I3082" s="1" t="str">
        <f>"1"</f>
        <v>1</v>
      </c>
      <c r="J3082" s="3" t="str">
        <f>"137000"</f>
        <v>137000</v>
      </c>
      <c r="K3082" s="4">
        <v>46079</v>
      </c>
      <c r="L3082" s="4">
        <v>46088</v>
      </c>
      <c r="M3082" s="1" t="s">
        <v>4828</v>
      </c>
      <c r="N3082" s="1" t="s">
        <v>4827</v>
      </c>
    </row>
    <row r="3083" spans="1:14" s="1" customFormat="1" x14ac:dyDescent="0.35">
      <c r="A3083" s="1" t="s">
        <v>4492</v>
      </c>
      <c r="B3083" s="1" t="s">
        <v>73</v>
      </c>
      <c r="C3083" s="1" t="s">
        <v>308</v>
      </c>
      <c r="D3083" s="1" t="s">
        <v>4826</v>
      </c>
      <c r="E3083" s="1" t="str">
        <f>"4520"</f>
        <v>4520</v>
      </c>
      <c r="F3083" s="1" t="str">
        <f>"014789207"</f>
        <v>014789207</v>
      </c>
      <c r="G3083" s="1" t="s">
        <v>138</v>
      </c>
      <c r="H3083" s="1" t="s">
        <v>15</v>
      </c>
      <c r="I3083" s="1" t="str">
        <f>"2"</f>
        <v>2</v>
      </c>
      <c r="J3083" s="3">
        <v>1451.86</v>
      </c>
      <c r="K3083" s="4">
        <v>46079</v>
      </c>
      <c r="L3083" s="4">
        <v>46088</v>
      </c>
      <c r="M3083" s="1" t="s">
        <v>4825</v>
      </c>
      <c r="N3083" s="1" t="s">
        <v>314</v>
      </c>
    </row>
    <row r="3084" spans="1:14" s="1" customFormat="1" x14ac:dyDescent="0.35">
      <c r="A3084" s="1" t="s">
        <v>4492</v>
      </c>
      <c r="B3084" s="1" t="s">
        <v>73</v>
      </c>
      <c r="C3084" s="1" t="s">
        <v>308</v>
      </c>
      <c r="D3084" s="1" t="s">
        <v>4824</v>
      </c>
      <c r="E3084" s="1" t="str">
        <f>"3590"</f>
        <v>3590</v>
      </c>
      <c r="F3084" s="1" t="s">
        <v>1052</v>
      </c>
      <c r="G3084" s="1" t="s">
        <v>1053</v>
      </c>
      <c r="H3084" s="1" t="s">
        <v>15</v>
      </c>
      <c r="I3084" s="1" t="str">
        <f>"1"</f>
        <v>1</v>
      </c>
      <c r="J3084" s="3" t="str">
        <f>"20000"</f>
        <v>20000</v>
      </c>
      <c r="K3084" s="4">
        <v>46083</v>
      </c>
      <c r="L3084" s="4">
        <v>46084</v>
      </c>
      <c r="M3084" s="1" t="s">
        <v>4524</v>
      </c>
      <c r="N3084" s="1" t="s">
        <v>4823</v>
      </c>
    </row>
    <row r="3085" spans="1:14" s="1" customFormat="1" x14ac:dyDescent="0.35">
      <c r="A3085" s="1" t="s">
        <v>4492</v>
      </c>
      <c r="B3085" s="1" t="s">
        <v>73</v>
      </c>
      <c r="C3085" s="1" t="s">
        <v>308</v>
      </c>
      <c r="D3085" s="1" t="s">
        <v>4822</v>
      </c>
      <c r="E3085" s="1" t="str">
        <f>"5450"</f>
        <v>5450</v>
      </c>
      <c r="F3085" s="1" t="s">
        <v>4821</v>
      </c>
      <c r="G3085" s="1" t="s">
        <v>4820</v>
      </c>
      <c r="H3085" s="1" t="s">
        <v>15</v>
      </c>
      <c r="I3085" s="1" t="str">
        <f>"1"</f>
        <v>1</v>
      </c>
      <c r="J3085" s="3" t="str">
        <f>"1672614"</f>
        <v>1672614</v>
      </c>
      <c r="K3085" s="4">
        <v>46086</v>
      </c>
      <c r="L3085" s="4">
        <v>46098</v>
      </c>
      <c r="M3085" s="1" t="s">
        <v>4819</v>
      </c>
      <c r="N3085" s="1" t="s">
        <v>4818</v>
      </c>
    </row>
    <row r="3086" spans="1:14" s="1" customFormat="1" x14ac:dyDescent="0.35">
      <c r="A3086" s="1" t="s">
        <v>4492</v>
      </c>
      <c r="B3086" s="1" t="s">
        <v>73</v>
      </c>
      <c r="C3086" s="1" t="s">
        <v>308</v>
      </c>
      <c r="D3086" s="1" t="s">
        <v>4817</v>
      </c>
      <c r="E3086" s="1" t="str">
        <f>"9510"</f>
        <v>9510</v>
      </c>
      <c r="F3086" s="1" t="s">
        <v>4812</v>
      </c>
      <c r="G3086" s="1" t="s">
        <v>4811</v>
      </c>
      <c r="H3086" s="1" t="s">
        <v>15</v>
      </c>
      <c r="I3086" s="1" t="str">
        <f>"1"</f>
        <v>1</v>
      </c>
      <c r="J3086" s="3" t="str">
        <f>"1000"</f>
        <v>1000</v>
      </c>
      <c r="K3086" s="4">
        <v>46086</v>
      </c>
      <c r="L3086" s="4">
        <v>46087</v>
      </c>
      <c r="M3086" s="1" t="s">
        <v>4816</v>
      </c>
      <c r="N3086" s="1" t="s">
        <v>4809</v>
      </c>
    </row>
    <row r="3087" spans="1:14" s="1" customFormat="1" x14ac:dyDescent="0.35">
      <c r="A3087" s="1" t="s">
        <v>4492</v>
      </c>
      <c r="B3087" s="1" t="s">
        <v>73</v>
      </c>
      <c r="C3087" s="1" t="s">
        <v>308</v>
      </c>
      <c r="D3087" s="1" t="s">
        <v>4815</v>
      </c>
      <c r="E3087" s="1" t="str">
        <f>"9510"</f>
        <v>9510</v>
      </c>
      <c r="F3087" s="1" t="s">
        <v>4812</v>
      </c>
      <c r="G3087" s="1" t="s">
        <v>4811</v>
      </c>
      <c r="H3087" s="1" t="s">
        <v>15</v>
      </c>
      <c r="I3087" s="1" t="str">
        <f>"1"</f>
        <v>1</v>
      </c>
      <c r="J3087" s="3" t="str">
        <f>"2000"</f>
        <v>2000</v>
      </c>
      <c r="K3087" s="4">
        <v>46086</v>
      </c>
      <c r="L3087" s="4">
        <v>46087</v>
      </c>
      <c r="M3087" s="1" t="s">
        <v>4814</v>
      </c>
      <c r="N3087" s="1" t="s">
        <v>4809</v>
      </c>
    </row>
    <row r="3088" spans="1:14" s="1" customFormat="1" x14ac:dyDescent="0.35">
      <c r="A3088" s="1" t="s">
        <v>4492</v>
      </c>
      <c r="B3088" s="1" t="s">
        <v>73</v>
      </c>
      <c r="C3088" s="1" t="s">
        <v>308</v>
      </c>
      <c r="D3088" s="1" t="s">
        <v>4813</v>
      </c>
      <c r="E3088" s="1" t="str">
        <f>"9510"</f>
        <v>9510</v>
      </c>
      <c r="F3088" s="1" t="s">
        <v>4812</v>
      </c>
      <c r="G3088" s="1" t="s">
        <v>4811</v>
      </c>
      <c r="H3088" s="1" t="s">
        <v>15</v>
      </c>
      <c r="I3088" s="1" t="str">
        <f>"1"</f>
        <v>1</v>
      </c>
      <c r="J3088" s="3" t="str">
        <f>"2000"</f>
        <v>2000</v>
      </c>
      <c r="K3088" s="4">
        <v>46086</v>
      </c>
      <c r="L3088" s="4">
        <v>46087</v>
      </c>
      <c r="M3088" s="1" t="s">
        <v>4810</v>
      </c>
      <c r="N3088" s="1" t="s">
        <v>4809</v>
      </c>
    </row>
    <row r="3089" spans="1:14" s="1" customFormat="1" x14ac:dyDescent="0.35">
      <c r="A3089" s="1" t="s">
        <v>4492</v>
      </c>
      <c r="B3089" s="1" t="s">
        <v>73</v>
      </c>
      <c r="C3089" s="1" t="s">
        <v>308</v>
      </c>
      <c r="D3089" s="1" t="s">
        <v>4808</v>
      </c>
      <c r="E3089" s="1" t="str">
        <f>"2310"</f>
        <v>2310</v>
      </c>
      <c r="F3089" s="1" t="s">
        <v>4332</v>
      </c>
      <c r="G3089" s="1" t="s">
        <v>4333</v>
      </c>
      <c r="H3089" s="1" t="s">
        <v>15</v>
      </c>
      <c r="I3089" s="1" t="str">
        <f>"1"</f>
        <v>1</v>
      </c>
      <c r="J3089" s="3" t="str">
        <f>"20000"</f>
        <v>20000</v>
      </c>
      <c r="K3089" s="4">
        <v>46083</v>
      </c>
      <c r="L3089" s="4">
        <v>46095</v>
      </c>
      <c r="M3089" s="1" t="s">
        <v>4807</v>
      </c>
      <c r="N3089" s="1" t="s">
        <v>4806</v>
      </c>
    </row>
    <row r="3090" spans="1:14" s="1" customFormat="1" x14ac:dyDescent="0.35">
      <c r="A3090" s="1" t="s">
        <v>4492</v>
      </c>
      <c r="B3090" s="1" t="s">
        <v>73</v>
      </c>
      <c r="C3090" s="1" t="s">
        <v>308</v>
      </c>
      <c r="D3090" s="1" t="s">
        <v>4805</v>
      </c>
      <c r="E3090" s="1" t="str">
        <f>"2310"</f>
        <v>2310</v>
      </c>
      <c r="F3090" s="1" t="str">
        <f>"014998019"</f>
        <v>014998019</v>
      </c>
      <c r="G3090" s="1" t="s">
        <v>4671</v>
      </c>
      <c r="H3090" s="1" t="s">
        <v>15</v>
      </c>
      <c r="I3090" s="1" t="str">
        <f>"1"</f>
        <v>1</v>
      </c>
      <c r="J3090" s="3" t="str">
        <f>"165000"</f>
        <v>165000</v>
      </c>
      <c r="K3090" s="4">
        <v>46097</v>
      </c>
      <c r="L3090" s="4">
        <v>46097</v>
      </c>
      <c r="M3090" s="1" t="s">
        <v>4524</v>
      </c>
      <c r="N3090" s="1" t="s">
        <v>4804</v>
      </c>
    </row>
    <row r="3091" spans="1:14" s="1" customFormat="1" x14ac:dyDescent="0.35">
      <c r="A3091" s="1" t="s">
        <v>4492</v>
      </c>
      <c r="B3091" s="1" t="s">
        <v>1013</v>
      </c>
      <c r="C3091" s="1" t="s">
        <v>4800</v>
      </c>
      <c r="D3091" s="1" t="s">
        <v>4803</v>
      </c>
      <c r="E3091" s="1" t="str">
        <f>"2420"</f>
        <v>2420</v>
      </c>
      <c r="F3091" s="1" t="str">
        <f>"001138984"</f>
        <v>001138984</v>
      </c>
      <c r="G3091" s="1" t="s">
        <v>183</v>
      </c>
      <c r="H3091" s="1" t="s">
        <v>15</v>
      </c>
      <c r="I3091" s="1" t="str">
        <f>"1"</f>
        <v>1</v>
      </c>
      <c r="J3091" s="3" t="str">
        <f>"36007"</f>
        <v>36007</v>
      </c>
      <c r="K3091" s="4">
        <v>46080</v>
      </c>
      <c r="L3091" s="4">
        <v>46088</v>
      </c>
      <c r="M3091" s="1" t="s">
        <v>4802</v>
      </c>
      <c r="N3091" s="1" t="s">
        <v>4801</v>
      </c>
    </row>
    <row r="3092" spans="1:14" s="1" customFormat="1" x14ac:dyDescent="0.35">
      <c r="A3092" s="1" t="s">
        <v>4492</v>
      </c>
      <c r="B3092" s="1" t="s">
        <v>1013</v>
      </c>
      <c r="C3092" s="1" t="s">
        <v>4800</v>
      </c>
      <c r="D3092" s="1" t="s">
        <v>4799</v>
      </c>
      <c r="E3092" s="1" t="str">
        <f>"2330"</f>
        <v>2330</v>
      </c>
      <c r="F3092" s="1" t="s">
        <v>104</v>
      </c>
      <c r="G3092" s="1" t="s">
        <v>105</v>
      </c>
      <c r="H3092" s="1" t="s">
        <v>15</v>
      </c>
      <c r="I3092" s="1" t="str">
        <f>"1"</f>
        <v>1</v>
      </c>
      <c r="J3092" s="3" t="str">
        <f>"250"</f>
        <v>250</v>
      </c>
      <c r="K3092" s="4">
        <v>46083</v>
      </c>
      <c r="L3092" s="4">
        <v>46095</v>
      </c>
      <c r="M3092" s="1" t="s">
        <v>4798</v>
      </c>
      <c r="N3092" s="1" t="s">
        <v>4797</v>
      </c>
    </row>
    <row r="3093" spans="1:14" s="1" customFormat="1" x14ac:dyDescent="0.35">
      <c r="A3093" s="1" t="s">
        <v>4492</v>
      </c>
      <c r="B3093" s="1" t="s">
        <v>3822</v>
      </c>
      <c r="C3093" s="1" t="s">
        <v>4233</v>
      </c>
      <c r="D3093" s="1" t="s">
        <v>4796</v>
      </c>
      <c r="E3093" s="1" t="str">
        <f>"3615"</f>
        <v>3615</v>
      </c>
      <c r="F3093" s="1" t="s">
        <v>2173</v>
      </c>
      <c r="G3093" s="1" t="s">
        <v>2174</v>
      </c>
      <c r="H3093" s="1" t="s">
        <v>15</v>
      </c>
      <c r="I3093" s="1" t="str">
        <f>"1"</f>
        <v>1</v>
      </c>
      <c r="J3093" s="3" t="str">
        <f>"1999"</f>
        <v>1999</v>
      </c>
      <c r="K3093" s="4">
        <v>46011</v>
      </c>
      <c r="L3093" s="4">
        <v>46035</v>
      </c>
      <c r="M3093" s="1" t="s">
        <v>4795</v>
      </c>
      <c r="N3093" s="1" t="s">
        <v>4794</v>
      </c>
    </row>
    <row r="3094" spans="1:14" s="1" customFormat="1" x14ac:dyDescent="0.35">
      <c r="A3094" s="1" t="s">
        <v>4492</v>
      </c>
      <c r="B3094" s="1" t="s">
        <v>3822</v>
      </c>
      <c r="C3094" s="1" t="s">
        <v>4233</v>
      </c>
      <c r="D3094" s="1" t="s">
        <v>4793</v>
      </c>
      <c r="E3094" s="1" t="str">
        <f>"8145"</f>
        <v>8145</v>
      </c>
      <c r="F3094" s="1" t="s">
        <v>2635</v>
      </c>
      <c r="G3094" s="1" t="s">
        <v>2636</v>
      </c>
      <c r="H3094" s="1" t="s">
        <v>15</v>
      </c>
      <c r="I3094" s="1" t="str">
        <f>"1"</f>
        <v>1</v>
      </c>
      <c r="J3094" s="3">
        <v>17920.97</v>
      </c>
      <c r="K3094" s="4">
        <v>46011</v>
      </c>
      <c r="L3094" s="4">
        <v>46025</v>
      </c>
      <c r="M3094" s="1" t="s">
        <v>4792</v>
      </c>
      <c r="N3094" s="1" t="s">
        <v>4791</v>
      </c>
    </row>
    <row r="3095" spans="1:14" s="1" customFormat="1" x14ac:dyDescent="0.35">
      <c r="A3095" s="1" t="s">
        <v>4492</v>
      </c>
      <c r="B3095" s="1" t="s">
        <v>3822</v>
      </c>
      <c r="C3095" s="1" t="s">
        <v>4233</v>
      </c>
      <c r="D3095" s="1" t="s">
        <v>4790</v>
      </c>
      <c r="E3095" s="1" t="str">
        <f>"3930"</f>
        <v>3930</v>
      </c>
      <c r="F3095" s="1" t="str">
        <f>"011580849"</f>
        <v>011580849</v>
      </c>
      <c r="G3095" s="1" t="s">
        <v>124</v>
      </c>
      <c r="H3095" s="1" t="s">
        <v>15</v>
      </c>
      <c r="I3095" s="1" t="str">
        <f>"1"</f>
        <v>1</v>
      </c>
      <c r="J3095" s="3" t="str">
        <f>"72370"</f>
        <v>72370</v>
      </c>
      <c r="K3095" s="4">
        <v>46039</v>
      </c>
      <c r="L3095" s="4">
        <v>46041</v>
      </c>
      <c r="M3095" s="1" t="s">
        <v>4524</v>
      </c>
      <c r="N3095" s="1" t="s">
        <v>4785</v>
      </c>
    </row>
    <row r="3096" spans="1:14" s="1" customFormat="1" x14ac:dyDescent="0.35">
      <c r="A3096" s="1" t="s">
        <v>4492</v>
      </c>
      <c r="B3096" s="1" t="s">
        <v>3822</v>
      </c>
      <c r="C3096" s="1" t="s">
        <v>4233</v>
      </c>
      <c r="D3096" s="1" t="s">
        <v>4789</v>
      </c>
      <c r="E3096" s="1" t="str">
        <f>"3930"</f>
        <v>3930</v>
      </c>
      <c r="F3096" s="1" t="str">
        <f>"011580849"</f>
        <v>011580849</v>
      </c>
      <c r="G3096" s="1" t="s">
        <v>124</v>
      </c>
      <c r="H3096" s="1" t="s">
        <v>15</v>
      </c>
      <c r="I3096" s="1" t="str">
        <f>"1"</f>
        <v>1</v>
      </c>
      <c r="J3096" s="3" t="str">
        <f>"72370"</f>
        <v>72370</v>
      </c>
      <c r="K3096" s="4">
        <v>46039</v>
      </c>
      <c r="L3096" s="4">
        <v>46064</v>
      </c>
      <c r="M3096" s="1" t="s">
        <v>4788</v>
      </c>
      <c r="N3096" s="1" t="s">
        <v>4785</v>
      </c>
    </row>
    <row r="3097" spans="1:14" s="1" customFormat="1" x14ac:dyDescent="0.35">
      <c r="A3097" s="1" t="s">
        <v>4492</v>
      </c>
      <c r="B3097" s="1" t="s">
        <v>3822</v>
      </c>
      <c r="C3097" s="1" t="s">
        <v>4233</v>
      </c>
      <c r="D3097" s="1" t="s">
        <v>4787</v>
      </c>
      <c r="E3097" s="1" t="str">
        <f>"3930"</f>
        <v>3930</v>
      </c>
      <c r="F3097" s="1" t="str">
        <f>"011580849"</f>
        <v>011580849</v>
      </c>
      <c r="G3097" s="1" t="s">
        <v>124</v>
      </c>
      <c r="H3097" s="1" t="s">
        <v>15</v>
      </c>
      <c r="I3097" s="1" t="str">
        <f>"1"</f>
        <v>1</v>
      </c>
      <c r="J3097" s="3" t="str">
        <f>"72370"</f>
        <v>72370</v>
      </c>
      <c r="K3097" s="4">
        <v>46039</v>
      </c>
      <c r="L3097" s="4">
        <v>46055</v>
      </c>
      <c r="M3097" s="1" t="s">
        <v>4786</v>
      </c>
      <c r="N3097" s="1" t="s">
        <v>4785</v>
      </c>
    </row>
    <row r="3098" spans="1:14" s="1" customFormat="1" x14ac:dyDescent="0.35">
      <c r="A3098" s="1" t="s">
        <v>4492</v>
      </c>
      <c r="B3098" s="1" t="s">
        <v>3822</v>
      </c>
      <c r="C3098" s="1" t="s">
        <v>4233</v>
      </c>
      <c r="D3098" s="1" t="s">
        <v>4784</v>
      </c>
      <c r="E3098" s="1" t="str">
        <f>"6780"</f>
        <v>6780</v>
      </c>
      <c r="F3098" s="1" t="str">
        <f>"015368704"</f>
        <v>015368704</v>
      </c>
      <c r="G3098" s="1" t="s">
        <v>4783</v>
      </c>
      <c r="H3098" s="1" t="s">
        <v>15</v>
      </c>
      <c r="I3098" s="1" t="str">
        <f>"1"</f>
        <v>1</v>
      </c>
      <c r="J3098" s="3">
        <v>1582.14</v>
      </c>
      <c r="K3098" s="4">
        <v>46039</v>
      </c>
      <c r="L3098" s="4">
        <v>46099</v>
      </c>
      <c r="M3098" s="1" t="s">
        <v>4782</v>
      </c>
      <c r="N3098" s="1" t="s">
        <v>4781</v>
      </c>
    </row>
    <row r="3099" spans="1:14" s="1" customFormat="1" x14ac:dyDescent="0.35">
      <c r="A3099" s="1" t="s">
        <v>4492</v>
      </c>
      <c r="B3099" s="1" t="s">
        <v>3822</v>
      </c>
      <c r="C3099" s="1" t="s">
        <v>4233</v>
      </c>
      <c r="D3099" s="1" t="s">
        <v>4780</v>
      </c>
      <c r="E3099" s="1" t="str">
        <f>"2330"</f>
        <v>2330</v>
      </c>
      <c r="F3099" s="1" t="s">
        <v>104</v>
      </c>
      <c r="G3099" s="1" t="s">
        <v>105</v>
      </c>
      <c r="H3099" s="1" t="s">
        <v>15</v>
      </c>
      <c r="I3099" s="1" t="str">
        <f>"1"</f>
        <v>1</v>
      </c>
      <c r="J3099" s="3" t="str">
        <f>"6111"</f>
        <v>6111</v>
      </c>
      <c r="K3099" s="4">
        <v>46046</v>
      </c>
      <c r="L3099" s="4">
        <v>46060</v>
      </c>
      <c r="M3099" s="1" t="s">
        <v>4779</v>
      </c>
      <c r="N3099" s="1" t="s">
        <v>4778</v>
      </c>
    </row>
    <row r="3100" spans="1:14" s="1" customFormat="1" x14ac:dyDescent="0.35">
      <c r="A3100" s="1" t="s">
        <v>4492</v>
      </c>
      <c r="B3100" s="1" t="s">
        <v>3822</v>
      </c>
      <c r="C3100" s="1" t="s">
        <v>4233</v>
      </c>
      <c r="D3100" s="1" t="s">
        <v>4777</v>
      </c>
      <c r="E3100" s="1" t="str">
        <f>"2320"</f>
        <v>2320</v>
      </c>
      <c r="F3100" s="1" t="s">
        <v>4526</v>
      </c>
      <c r="G3100" s="1" t="s">
        <v>4525</v>
      </c>
      <c r="H3100" s="1" t="s">
        <v>15</v>
      </c>
      <c r="I3100" s="1" t="str">
        <f>"1"</f>
        <v>1</v>
      </c>
      <c r="J3100" s="3">
        <v>610434.26</v>
      </c>
      <c r="K3100" s="4">
        <v>46056</v>
      </c>
      <c r="L3100" s="4">
        <v>46056</v>
      </c>
      <c r="M3100" s="1" t="s">
        <v>4524</v>
      </c>
      <c r="N3100" s="1" t="s">
        <v>4776</v>
      </c>
    </row>
    <row r="3101" spans="1:14" s="1" customFormat="1" x14ac:dyDescent="0.35">
      <c r="A3101" s="1" t="s">
        <v>4492</v>
      </c>
      <c r="B3101" s="1" t="s">
        <v>3822</v>
      </c>
      <c r="C3101" s="1" t="s">
        <v>4233</v>
      </c>
      <c r="D3101" s="1" t="s">
        <v>4775</v>
      </c>
      <c r="E3101" s="1" t="str">
        <f>"5410"</f>
        <v>5410</v>
      </c>
      <c r="F3101" s="1" t="str">
        <f>"014518080"</f>
        <v>014518080</v>
      </c>
      <c r="G3101" s="1" t="s">
        <v>1892</v>
      </c>
      <c r="H3101" s="1" t="s">
        <v>15</v>
      </c>
      <c r="I3101" s="1" t="str">
        <f>"1"</f>
        <v>1</v>
      </c>
      <c r="J3101" s="3">
        <v>112715.04</v>
      </c>
      <c r="K3101" s="4">
        <v>46083</v>
      </c>
      <c r="L3101" s="4">
        <v>46088</v>
      </c>
      <c r="M3101" s="1" t="s">
        <v>4774</v>
      </c>
      <c r="N3101" s="1" t="s">
        <v>4773</v>
      </c>
    </row>
    <row r="3102" spans="1:14" s="1" customFormat="1" x14ac:dyDescent="0.35">
      <c r="A3102" s="1" t="s">
        <v>4492</v>
      </c>
      <c r="B3102" s="1" t="s">
        <v>3822</v>
      </c>
      <c r="C3102" s="1" t="s">
        <v>4233</v>
      </c>
      <c r="D3102" s="1" t="s">
        <v>4772</v>
      </c>
      <c r="E3102" s="1" t="str">
        <f>"7025"</f>
        <v>7025</v>
      </c>
      <c r="F3102" s="1" t="s">
        <v>2522</v>
      </c>
      <c r="G3102" s="1" t="s">
        <v>2523</v>
      </c>
      <c r="H3102" s="1" t="s">
        <v>15</v>
      </c>
      <c r="I3102" s="1" t="str">
        <f>"1"</f>
        <v>1</v>
      </c>
      <c r="J3102" s="3" t="str">
        <f>"2000"</f>
        <v>2000</v>
      </c>
      <c r="K3102" s="4">
        <v>46097</v>
      </c>
      <c r="L3102" s="4">
        <v>46098</v>
      </c>
      <c r="M3102" s="1" t="s">
        <v>4524</v>
      </c>
      <c r="N3102" s="1" t="s">
        <v>4771</v>
      </c>
    </row>
    <row r="3103" spans="1:14" s="1" customFormat="1" x14ac:dyDescent="0.35">
      <c r="A3103" s="1" t="s">
        <v>4492</v>
      </c>
      <c r="B3103" s="1" t="s">
        <v>2196</v>
      </c>
      <c r="C3103" s="1" t="s">
        <v>4767</v>
      </c>
      <c r="D3103" s="1" t="s">
        <v>4770</v>
      </c>
      <c r="E3103" s="1" t="str">
        <f>"2320"</f>
        <v>2320</v>
      </c>
      <c r="F3103" s="1" t="s">
        <v>1016</v>
      </c>
      <c r="G3103" s="1" t="s">
        <v>1017</v>
      </c>
      <c r="H3103" s="1" t="s">
        <v>15</v>
      </c>
      <c r="I3103" s="1" t="str">
        <f>"1"</f>
        <v>1</v>
      </c>
      <c r="J3103" s="3">
        <v>25765.1</v>
      </c>
      <c r="K3103" s="4">
        <v>45921</v>
      </c>
      <c r="L3103" s="4">
        <v>46026</v>
      </c>
      <c r="M3103" s="1" t="s">
        <v>4769</v>
      </c>
      <c r="N3103" s="1" t="s">
        <v>4768</v>
      </c>
    </row>
    <row r="3104" spans="1:14" s="1" customFormat="1" x14ac:dyDescent="0.35">
      <c r="A3104" s="1" t="s">
        <v>4492</v>
      </c>
      <c r="B3104" s="1" t="s">
        <v>2196</v>
      </c>
      <c r="C3104" s="1" t="s">
        <v>4767</v>
      </c>
      <c r="D3104" s="1" t="s">
        <v>4766</v>
      </c>
      <c r="E3104" s="1" t="str">
        <f>"2310"</f>
        <v>2310</v>
      </c>
      <c r="F3104" s="1" t="s">
        <v>4332</v>
      </c>
      <c r="G3104" s="1" t="s">
        <v>4333</v>
      </c>
      <c r="H3104" s="1" t="s">
        <v>15</v>
      </c>
      <c r="I3104" s="1" t="str">
        <f>"1"</f>
        <v>1</v>
      </c>
      <c r="J3104" s="3">
        <v>26812.5</v>
      </c>
      <c r="K3104" s="4">
        <v>46097</v>
      </c>
      <c r="L3104" s="4">
        <v>46109</v>
      </c>
      <c r="M3104" s="1" t="s">
        <v>4765</v>
      </c>
      <c r="N3104" s="1" t="s">
        <v>4764</v>
      </c>
    </row>
    <row r="3105" spans="1:14" s="1" customFormat="1" x14ac:dyDescent="0.35">
      <c r="A3105" s="1" t="s">
        <v>4492</v>
      </c>
      <c r="B3105" s="1" t="s">
        <v>1989</v>
      </c>
      <c r="C3105" s="1" t="s">
        <v>2171</v>
      </c>
      <c r="D3105" s="1" t="s">
        <v>4763</v>
      </c>
      <c r="E3105" s="1" t="str">
        <f>"6930"</f>
        <v>6930</v>
      </c>
      <c r="F3105" s="1" t="str">
        <f>"016846420"</f>
        <v>016846420</v>
      </c>
      <c r="G3105" s="1" t="s">
        <v>4762</v>
      </c>
      <c r="H3105" s="1" t="s">
        <v>15</v>
      </c>
      <c r="I3105" s="1" t="str">
        <f>"1"</f>
        <v>1</v>
      </c>
      <c r="J3105" s="3">
        <v>131.97999999999999</v>
      </c>
      <c r="K3105" s="4">
        <v>46065</v>
      </c>
      <c r="L3105" s="4">
        <v>46065</v>
      </c>
      <c r="M3105" s="1" t="s">
        <v>4524</v>
      </c>
      <c r="N3105" s="1" t="s">
        <v>4761</v>
      </c>
    </row>
    <row r="3106" spans="1:14" s="1" customFormat="1" x14ac:dyDescent="0.35">
      <c r="A3106" s="1" t="s">
        <v>4492</v>
      </c>
      <c r="B3106" s="1" t="s">
        <v>1989</v>
      </c>
      <c r="C3106" s="1" t="s">
        <v>2171</v>
      </c>
      <c r="D3106" s="1" t="s">
        <v>4760</v>
      </c>
      <c r="E3106" s="1" t="str">
        <f>"7110"</f>
        <v>7110</v>
      </c>
      <c r="F3106" s="1" t="s">
        <v>1066</v>
      </c>
      <c r="G3106" s="1" t="s">
        <v>1067</v>
      </c>
      <c r="H3106" s="1" t="s">
        <v>15</v>
      </c>
      <c r="I3106" s="1" t="str">
        <f>"4"</f>
        <v>4</v>
      </c>
      <c r="J3106" s="3" t="str">
        <f>"436"</f>
        <v>436</v>
      </c>
      <c r="K3106" s="4">
        <v>46081</v>
      </c>
      <c r="L3106" s="4">
        <v>46082</v>
      </c>
      <c r="M3106" s="1" t="s">
        <v>4524</v>
      </c>
      <c r="N3106" s="1" t="s">
        <v>4759</v>
      </c>
    </row>
    <row r="3107" spans="1:14" s="1" customFormat="1" x14ac:dyDescent="0.35">
      <c r="A3107" s="1" t="s">
        <v>4492</v>
      </c>
      <c r="B3107" s="1" t="s">
        <v>3356</v>
      </c>
      <c r="C3107" s="1" t="s">
        <v>3788</v>
      </c>
      <c r="D3107" s="1" t="s">
        <v>4758</v>
      </c>
      <c r="E3107" s="1" t="str">
        <f>"8465"</f>
        <v>8465</v>
      </c>
      <c r="F3107" s="1" t="str">
        <f>"016419671"</f>
        <v>016419671</v>
      </c>
      <c r="G3107" s="1" t="s">
        <v>1639</v>
      </c>
      <c r="H3107" s="1" t="s">
        <v>15</v>
      </c>
      <c r="I3107" s="1" t="str">
        <f>"3"</f>
        <v>3</v>
      </c>
      <c r="J3107" s="3">
        <v>40.4</v>
      </c>
      <c r="K3107" s="4">
        <v>46014</v>
      </c>
      <c r="L3107" s="4">
        <v>46023</v>
      </c>
      <c r="M3107" s="1" t="s">
        <v>4757</v>
      </c>
      <c r="N3107" s="1" t="s">
        <v>4756</v>
      </c>
    </row>
    <row r="3108" spans="1:14" s="1" customFormat="1" x14ac:dyDescent="0.35">
      <c r="A3108" s="1" t="s">
        <v>4492</v>
      </c>
      <c r="B3108" s="1" t="s">
        <v>3356</v>
      </c>
      <c r="C3108" s="1" t="s">
        <v>3788</v>
      </c>
      <c r="D3108" s="1" t="s">
        <v>4755</v>
      </c>
      <c r="E3108" s="1" t="str">
        <f>"2420"</f>
        <v>2420</v>
      </c>
      <c r="F3108" s="1" t="s">
        <v>110</v>
      </c>
      <c r="G3108" s="1" t="s">
        <v>111</v>
      </c>
      <c r="H3108" s="1" t="s">
        <v>15</v>
      </c>
      <c r="I3108" s="1" t="str">
        <f>"1"</f>
        <v>1</v>
      </c>
      <c r="J3108" s="3" t="str">
        <f>"53275"</f>
        <v>53275</v>
      </c>
      <c r="K3108" s="4">
        <v>46028</v>
      </c>
      <c r="L3108" s="4">
        <v>46045</v>
      </c>
      <c r="M3108" s="1" t="s">
        <v>4754</v>
      </c>
      <c r="N3108" s="1" t="s">
        <v>4753</v>
      </c>
    </row>
    <row r="3109" spans="1:14" s="1" customFormat="1" x14ac:dyDescent="0.35">
      <c r="A3109" s="1" t="s">
        <v>4492</v>
      </c>
      <c r="B3109" s="1" t="s">
        <v>3356</v>
      </c>
      <c r="C3109" s="1" t="s">
        <v>3788</v>
      </c>
      <c r="D3109" s="1" t="s">
        <v>4752</v>
      </c>
      <c r="E3109" s="1" t="str">
        <f>"2340"</f>
        <v>2340</v>
      </c>
      <c r="F3109" s="1" t="s">
        <v>2469</v>
      </c>
      <c r="G3109" s="1" t="s">
        <v>2470</v>
      </c>
      <c r="H3109" s="1" t="s">
        <v>15</v>
      </c>
      <c r="I3109" s="1" t="str">
        <f>"1"</f>
        <v>1</v>
      </c>
      <c r="J3109" s="3">
        <v>13213.65</v>
      </c>
      <c r="K3109" s="4">
        <v>46028</v>
      </c>
      <c r="L3109" s="4">
        <v>46039</v>
      </c>
      <c r="M3109" s="1" t="s">
        <v>4751</v>
      </c>
      <c r="N3109" s="1" t="s">
        <v>4750</v>
      </c>
    </row>
    <row r="3110" spans="1:14" s="1" customFormat="1" x14ac:dyDescent="0.35">
      <c r="A3110" s="1" t="s">
        <v>4492</v>
      </c>
      <c r="B3110" s="1" t="s">
        <v>3356</v>
      </c>
      <c r="C3110" s="1" t="s">
        <v>3813</v>
      </c>
      <c r="D3110" s="1" t="s">
        <v>4749</v>
      </c>
      <c r="E3110" s="1" t="str">
        <f>"2320"</f>
        <v>2320</v>
      </c>
      <c r="F3110" s="1" t="s">
        <v>100</v>
      </c>
      <c r="G3110" s="1" t="s">
        <v>101</v>
      </c>
      <c r="H3110" s="1" t="s">
        <v>15</v>
      </c>
      <c r="I3110" s="1" t="str">
        <f>"1"</f>
        <v>1</v>
      </c>
      <c r="J3110" s="3" t="str">
        <f>"33000"</f>
        <v>33000</v>
      </c>
      <c r="K3110" s="4">
        <v>46083</v>
      </c>
      <c r="L3110" s="4">
        <v>46095</v>
      </c>
      <c r="M3110" s="1" t="s">
        <v>4748</v>
      </c>
      <c r="N3110" s="1" t="s">
        <v>4747</v>
      </c>
    </row>
    <row r="3111" spans="1:14" s="1" customFormat="1" x14ac:dyDescent="0.35">
      <c r="A3111" s="1" t="s">
        <v>4492</v>
      </c>
      <c r="B3111" s="1" t="s">
        <v>1791</v>
      </c>
      <c r="C3111" s="1" t="s">
        <v>1904</v>
      </c>
      <c r="D3111" s="1" t="s">
        <v>4746</v>
      </c>
      <c r="E3111" s="1" t="str">
        <f>"1240"</f>
        <v>1240</v>
      </c>
      <c r="F3111" s="1" t="str">
        <f>"014111265"</f>
        <v>014111265</v>
      </c>
      <c r="G3111" s="1" t="s">
        <v>71</v>
      </c>
      <c r="H3111" s="1" t="s">
        <v>15</v>
      </c>
      <c r="I3111" s="1" t="str">
        <f>"3"</f>
        <v>3</v>
      </c>
      <c r="J3111" s="3" t="str">
        <f>"339"</f>
        <v>339</v>
      </c>
      <c r="K3111" s="4">
        <v>46052</v>
      </c>
      <c r="L3111" s="4">
        <v>46055</v>
      </c>
      <c r="N3111" s="1" t="s">
        <v>4745</v>
      </c>
    </row>
    <row r="3112" spans="1:14" s="1" customFormat="1" x14ac:dyDescent="0.35">
      <c r="A3112" s="1" t="s">
        <v>4492</v>
      </c>
      <c r="B3112" s="1" t="s">
        <v>1791</v>
      </c>
      <c r="C3112" s="1" t="s">
        <v>1904</v>
      </c>
      <c r="D3112" s="1" t="s">
        <v>4744</v>
      </c>
      <c r="E3112" s="1" t="str">
        <f>"1240"</f>
        <v>1240</v>
      </c>
      <c r="F3112" s="1" t="str">
        <f>"014111265"</f>
        <v>014111265</v>
      </c>
      <c r="G3112" s="1" t="s">
        <v>71</v>
      </c>
      <c r="H3112" s="1" t="s">
        <v>15</v>
      </c>
      <c r="I3112" s="1" t="str">
        <f>"26"</f>
        <v>26</v>
      </c>
      <c r="J3112" s="3" t="str">
        <f>"339"</f>
        <v>339</v>
      </c>
      <c r="K3112" s="4">
        <v>46055</v>
      </c>
      <c r="L3112" s="4">
        <v>46055</v>
      </c>
      <c r="M3112" s="1" t="s">
        <v>4524</v>
      </c>
      <c r="N3112" s="1" t="s">
        <v>4743</v>
      </c>
    </row>
    <row r="3113" spans="1:14" s="1" customFormat="1" x14ac:dyDescent="0.35">
      <c r="A3113" s="1" t="s">
        <v>4492</v>
      </c>
      <c r="B3113" s="1" t="s">
        <v>1791</v>
      </c>
      <c r="C3113" s="1" t="s">
        <v>1904</v>
      </c>
      <c r="D3113" s="1" t="s">
        <v>4742</v>
      </c>
      <c r="E3113" s="1" t="str">
        <f>"5895"</f>
        <v>5895</v>
      </c>
      <c r="F3113" s="1" t="str">
        <f>"015188819"</f>
        <v>015188819</v>
      </c>
      <c r="G3113" s="1" t="s">
        <v>2069</v>
      </c>
      <c r="H3113" s="1" t="s">
        <v>15</v>
      </c>
      <c r="I3113" s="1" t="str">
        <f>"2"</f>
        <v>2</v>
      </c>
      <c r="J3113" s="3" t="str">
        <f>"598"</f>
        <v>598</v>
      </c>
      <c r="K3113" s="4">
        <v>46058</v>
      </c>
      <c r="L3113" s="4">
        <v>46067</v>
      </c>
      <c r="M3113" s="1" t="s">
        <v>4741</v>
      </c>
      <c r="N3113" s="1" t="s">
        <v>4740</v>
      </c>
    </row>
    <row r="3114" spans="1:14" s="1" customFormat="1" x14ac:dyDescent="0.35">
      <c r="A3114" s="1" t="s">
        <v>4492</v>
      </c>
      <c r="B3114" s="1" t="s">
        <v>1791</v>
      </c>
      <c r="C3114" s="1" t="s">
        <v>1904</v>
      </c>
      <c r="D3114" s="1" t="s">
        <v>4739</v>
      </c>
      <c r="E3114" s="1" t="str">
        <f>"5855"</f>
        <v>5855</v>
      </c>
      <c r="F3114" s="1" t="str">
        <f>"015137561"</f>
        <v>015137561</v>
      </c>
      <c r="G3114" s="1" t="s">
        <v>4264</v>
      </c>
      <c r="H3114" s="1" t="s">
        <v>15</v>
      </c>
      <c r="I3114" s="1" t="str">
        <f>"1"</f>
        <v>1</v>
      </c>
      <c r="J3114" s="3">
        <v>3309.75</v>
      </c>
      <c r="K3114" s="4">
        <v>46058</v>
      </c>
      <c r="L3114" s="4">
        <v>46067</v>
      </c>
      <c r="M3114" s="1" t="s">
        <v>4738</v>
      </c>
      <c r="N3114" s="1" t="s">
        <v>4731</v>
      </c>
    </row>
    <row r="3115" spans="1:14" s="1" customFormat="1" x14ac:dyDescent="0.35">
      <c r="A3115" s="1" t="s">
        <v>4492</v>
      </c>
      <c r="B3115" s="1" t="s">
        <v>1791</v>
      </c>
      <c r="C3115" s="1" t="s">
        <v>1904</v>
      </c>
      <c r="D3115" s="1" t="s">
        <v>4737</v>
      </c>
      <c r="E3115" s="1" t="str">
        <f>"5855"</f>
        <v>5855</v>
      </c>
      <c r="F3115" s="1" t="str">
        <f>"015137561"</f>
        <v>015137561</v>
      </c>
      <c r="G3115" s="1" t="s">
        <v>4264</v>
      </c>
      <c r="H3115" s="1" t="s">
        <v>15</v>
      </c>
      <c r="I3115" s="1" t="str">
        <f>"1"</f>
        <v>1</v>
      </c>
      <c r="J3115" s="3">
        <v>3309.75</v>
      </c>
      <c r="K3115" s="4">
        <v>46058</v>
      </c>
      <c r="L3115" s="4">
        <v>46067</v>
      </c>
      <c r="M3115" s="1" t="s">
        <v>4736</v>
      </c>
      <c r="N3115" s="1" t="s">
        <v>4731</v>
      </c>
    </row>
    <row r="3116" spans="1:14" s="1" customFormat="1" x14ac:dyDescent="0.35">
      <c r="A3116" s="1" t="s">
        <v>4492</v>
      </c>
      <c r="B3116" s="1" t="s">
        <v>1791</v>
      </c>
      <c r="C3116" s="1" t="s">
        <v>1904</v>
      </c>
      <c r="D3116" s="1" t="s">
        <v>4735</v>
      </c>
      <c r="E3116" s="1" t="str">
        <f>"5855"</f>
        <v>5855</v>
      </c>
      <c r="F3116" s="1" t="str">
        <f>"015137561"</f>
        <v>015137561</v>
      </c>
      <c r="G3116" s="1" t="s">
        <v>4264</v>
      </c>
      <c r="H3116" s="1" t="s">
        <v>15</v>
      </c>
      <c r="I3116" s="1" t="str">
        <f>"1"</f>
        <v>1</v>
      </c>
      <c r="J3116" s="3">
        <v>3309.75</v>
      </c>
      <c r="K3116" s="4">
        <v>46058</v>
      </c>
      <c r="L3116" s="4">
        <v>46067</v>
      </c>
      <c r="M3116" s="1" t="s">
        <v>4734</v>
      </c>
      <c r="N3116" s="1" t="s">
        <v>4731</v>
      </c>
    </row>
    <row r="3117" spans="1:14" s="1" customFormat="1" x14ac:dyDescent="0.35">
      <c r="A3117" s="1" t="s">
        <v>4492</v>
      </c>
      <c r="B3117" s="1" t="s">
        <v>1791</v>
      </c>
      <c r="C3117" s="1" t="s">
        <v>1904</v>
      </c>
      <c r="D3117" s="1" t="s">
        <v>4733</v>
      </c>
      <c r="E3117" s="1" t="str">
        <f>"5855"</f>
        <v>5855</v>
      </c>
      <c r="F3117" s="1" t="str">
        <f>"015137561"</f>
        <v>015137561</v>
      </c>
      <c r="G3117" s="1" t="s">
        <v>4264</v>
      </c>
      <c r="H3117" s="1" t="s">
        <v>15</v>
      </c>
      <c r="I3117" s="1" t="str">
        <f>"1"</f>
        <v>1</v>
      </c>
      <c r="J3117" s="3">
        <v>3309.75</v>
      </c>
      <c r="K3117" s="4">
        <v>46058</v>
      </c>
      <c r="L3117" s="4">
        <v>46067</v>
      </c>
      <c r="M3117" s="1" t="s">
        <v>4732</v>
      </c>
      <c r="N3117" s="1" t="s">
        <v>4731</v>
      </c>
    </row>
    <row r="3118" spans="1:14" s="1" customFormat="1" x14ac:dyDescent="0.35">
      <c r="A3118" s="1" t="s">
        <v>4492</v>
      </c>
      <c r="B3118" s="1" t="s">
        <v>1791</v>
      </c>
      <c r="C3118" s="1" t="s">
        <v>1904</v>
      </c>
      <c r="D3118" s="1" t="s">
        <v>4730</v>
      </c>
      <c r="E3118" s="1" t="str">
        <f>"1240"</f>
        <v>1240</v>
      </c>
      <c r="F3118" s="1" t="str">
        <f>"015403690"</f>
        <v>015403690</v>
      </c>
      <c r="G3118" s="1" t="s">
        <v>71</v>
      </c>
      <c r="H3118" s="1" t="s">
        <v>15</v>
      </c>
      <c r="I3118" s="1" t="str">
        <f>"1"</f>
        <v>1</v>
      </c>
      <c r="J3118" s="3" t="str">
        <f>"340"</f>
        <v>340</v>
      </c>
      <c r="K3118" s="4">
        <v>46066</v>
      </c>
      <c r="L3118" s="4">
        <v>46093</v>
      </c>
      <c r="M3118" s="1" t="s">
        <v>4729</v>
      </c>
      <c r="N3118" s="1" t="s">
        <v>4728</v>
      </c>
    </row>
    <row r="3119" spans="1:14" s="1" customFormat="1" x14ac:dyDescent="0.35">
      <c r="A3119" s="1" t="s">
        <v>4492</v>
      </c>
      <c r="B3119" s="1" t="s">
        <v>1791</v>
      </c>
      <c r="C3119" s="1" t="s">
        <v>1904</v>
      </c>
      <c r="D3119" s="1" t="s">
        <v>4727</v>
      </c>
      <c r="E3119" s="1" t="str">
        <f>"1240"</f>
        <v>1240</v>
      </c>
      <c r="F3119" s="1" t="str">
        <f>"015766134"</f>
        <v>015766134</v>
      </c>
      <c r="G3119" s="1" t="s">
        <v>71</v>
      </c>
      <c r="H3119" s="1" t="s">
        <v>15</v>
      </c>
      <c r="I3119" s="1" t="str">
        <f>"1"</f>
        <v>1</v>
      </c>
      <c r="J3119" s="3" t="str">
        <f>"589"</f>
        <v>589</v>
      </c>
      <c r="K3119" s="4">
        <v>46066</v>
      </c>
      <c r="L3119" s="4">
        <v>46093</v>
      </c>
      <c r="M3119" s="1" t="s">
        <v>4726</v>
      </c>
      <c r="N3119" s="1" t="s">
        <v>4725</v>
      </c>
    </row>
    <row r="3120" spans="1:14" s="1" customFormat="1" x14ac:dyDescent="0.35">
      <c r="A3120" s="1" t="s">
        <v>4492</v>
      </c>
      <c r="B3120" s="1" t="s">
        <v>1791</v>
      </c>
      <c r="C3120" s="1" t="s">
        <v>1904</v>
      </c>
      <c r="D3120" s="1" t="s">
        <v>4724</v>
      </c>
      <c r="E3120" s="1" t="str">
        <f>"1240"</f>
        <v>1240</v>
      </c>
      <c r="F3120" s="1" t="str">
        <f>"015330941"</f>
        <v>015330941</v>
      </c>
      <c r="G3120" s="1" t="s">
        <v>71</v>
      </c>
      <c r="H3120" s="1" t="s">
        <v>15</v>
      </c>
      <c r="I3120" s="1" t="str">
        <f>"2"</f>
        <v>2</v>
      </c>
      <c r="J3120" s="3" t="str">
        <f>"400"</f>
        <v>400</v>
      </c>
      <c r="K3120" s="4">
        <v>46091</v>
      </c>
      <c r="L3120" s="4">
        <v>46095</v>
      </c>
      <c r="M3120" s="1" t="s">
        <v>4723</v>
      </c>
      <c r="N3120" s="1" t="s">
        <v>1908</v>
      </c>
    </row>
    <row r="3121" spans="1:14" s="1" customFormat="1" x14ac:dyDescent="0.35">
      <c r="A3121" s="1" t="s">
        <v>4492</v>
      </c>
      <c r="B3121" s="1" t="s">
        <v>1791</v>
      </c>
      <c r="C3121" s="1" t="s">
        <v>1904</v>
      </c>
      <c r="D3121" s="1" t="s">
        <v>4722</v>
      </c>
      <c r="E3121" s="1" t="str">
        <f>"6230"</f>
        <v>6230</v>
      </c>
      <c r="F3121" s="1" t="str">
        <f>"015894822"</f>
        <v>015894822</v>
      </c>
      <c r="G3121" s="1" t="s">
        <v>1571</v>
      </c>
      <c r="H3121" s="1" t="s">
        <v>15</v>
      </c>
      <c r="I3121" s="1" t="str">
        <f>"48"</f>
        <v>48</v>
      </c>
      <c r="J3121" s="3">
        <v>647.44000000000005</v>
      </c>
      <c r="K3121" s="4">
        <v>46097</v>
      </c>
      <c r="L3121" s="4">
        <v>46103</v>
      </c>
      <c r="M3121" s="1" t="s">
        <v>4721</v>
      </c>
      <c r="N3121" s="1" t="s">
        <v>4720</v>
      </c>
    </row>
    <row r="3122" spans="1:14" s="1" customFormat="1" x14ac:dyDescent="0.35">
      <c r="A3122" s="1" t="s">
        <v>4492</v>
      </c>
      <c r="B3122" s="1" t="s">
        <v>1791</v>
      </c>
      <c r="C3122" s="1" t="s">
        <v>1904</v>
      </c>
      <c r="D3122" s="1" t="s">
        <v>4719</v>
      </c>
      <c r="E3122" s="1" t="str">
        <f>"5855"</f>
        <v>5855</v>
      </c>
      <c r="F3122" s="1" t="str">
        <f>"015847217"</f>
        <v>015847217</v>
      </c>
      <c r="G3122" s="1" t="s">
        <v>614</v>
      </c>
      <c r="H3122" s="1" t="s">
        <v>15</v>
      </c>
      <c r="I3122" s="1" t="str">
        <f>"5"</f>
        <v>5</v>
      </c>
      <c r="J3122" s="3" t="str">
        <f>"34084"</f>
        <v>34084</v>
      </c>
      <c r="K3122" s="4">
        <v>46105</v>
      </c>
      <c r="L3122" s="4">
        <v>46106</v>
      </c>
      <c r="M3122" s="1" t="s">
        <v>4524</v>
      </c>
      <c r="N3122" s="1" t="s">
        <v>4718</v>
      </c>
    </row>
    <row r="3123" spans="1:14" s="1" customFormat="1" x14ac:dyDescent="0.35">
      <c r="A3123" s="1" t="s">
        <v>4492</v>
      </c>
      <c r="B3123" s="1" t="s">
        <v>1013</v>
      </c>
      <c r="C3123" s="1" t="s">
        <v>1100</v>
      </c>
      <c r="D3123" s="1" t="s">
        <v>4717</v>
      </c>
      <c r="E3123" s="1" t="str">
        <f>"3930"</f>
        <v>3930</v>
      </c>
      <c r="F3123" s="1" t="s">
        <v>95</v>
      </c>
      <c r="G3123" s="1" t="s">
        <v>96</v>
      </c>
      <c r="H3123" s="1" t="s">
        <v>15</v>
      </c>
      <c r="I3123" s="1" t="str">
        <f>"1"</f>
        <v>1</v>
      </c>
      <c r="J3123" s="3" t="str">
        <f>"40000"</f>
        <v>40000</v>
      </c>
      <c r="K3123" s="4">
        <v>46027</v>
      </c>
      <c r="L3123" s="4">
        <v>46030</v>
      </c>
      <c r="M3123" s="1" t="s">
        <v>4716</v>
      </c>
      <c r="N3123" s="1" t="s">
        <v>4715</v>
      </c>
    </row>
    <row r="3124" spans="1:14" s="1" customFormat="1" x14ac:dyDescent="0.35">
      <c r="A3124" s="1" t="s">
        <v>4492</v>
      </c>
      <c r="B3124" s="1" t="s">
        <v>1013</v>
      </c>
      <c r="C3124" s="1" t="s">
        <v>1100</v>
      </c>
      <c r="D3124" s="1" t="s">
        <v>4714</v>
      </c>
      <c r="E3124" s="1" t="str">
        <f>"4310"</f>
        <v>4310</v>
      </c>
      <c r="F3124" s="1" t="s">
        <v>3332</v>
      </c>
      <c r="G3124" s="1" t="s">
        <v>3333</v>
      </c>
      <c r="H3124" s="1" t="s">
        <v>15</v>
      </c>
      <c r="I3124" s="1" t="str">
        <f>"1"</f>
        <v>1</v>
      </c>
      <c r="J3124" s="3" t="str">
        <f>"1200"</f>
        <v>1200</v>
      </c>
      <c r="K3124" s="4">
        <v>46027</v>
      </c>
      <c r="L3124" s="4">
        <v>46066</v>
      </c>
      <c r="M3124" s="1" t="s">
        <v>4713</v>
      </c>
      <c r="N3124" s="1" t="s">
        <v>4712</v>
      </c>
    </row>
    <row r="3125" spans="1:14" s="1" customFormat="1" x14ac:dyDescent="0.35">
      <c r="A3125" s="1" t="s">
        <v>4492</v>
      </c>
      <c r="B3125" s="1" t="s">
        <v>1013</v>
      </c>
      <c r="C3125" s="1" t="s">
        <v>1100</v>
      </c>
      <c r="D3125" s="1" t="s">
        <v>4711</v>
      </c>
      <c r="E3125" s="1" t="str">
        <f>"7110"</f>
        <v>7110</v>
      </c>
      <c r="F3125" s="1" t="s">
        <v>4706</v>
      </c>
      <c r="G3125" s="1" t="s">
        <v>4705</v>
      </c>
      <c r="H3125" s="1" t="s">
        <v>15</v>
      </c>
      <c r="I3125" s="1" t="str">
        <f>"3"</f>
        <v>3</v>
      </c>
      <c r="J3125" s="3" t="str">
        <f>"250"</f>
        <v>250</v>
      </c>
      <c r="K3125" s="4">
        <v>46035</v>
      </c>
      <c r="L3125" s="4">
        <v>46037</v>
      </c>
      <c r="M3125" s="1" t="s">
        <v>4710</v>
      </c>
      <c r="N3125" s="1" t="s">
        <v>4703</v>
      </c>
    </row>
    <row r="3126" spans="1:14" s="1" customFormat="1" x14ac:dyDescent="0.35">
      <c r="A3126" s="1" t="s">
        <v>4492</v>
      </c>
      <c r="B3126" s="1" t="s">
        <v>1013</v>
      </c>
      <c r="C3126" s="1" t="s">
        <v>1100</v>
      </c>
      <c r="D3126" s="1" t="s">
        <v>4709</v>
      </c>
      <c r="E3126" s="1" t="str">
        <f>"7110"</f>
        <v>7110</v>
      </c>
      <c r="F3126" s="1" t="s">
        <v>4706</v>
      </c>
      <c r="G3126" s="1" t="s">
        <v>4705</v>
      </c>
      <c r="H3126" s="1" t="s">
        <v>15</v>
      </c>
      <c r="I3126" s="1" t="str">
        <f>"3"</f>
        <v>3</v>
      </c>
      <c r="J3126" s="3" t="str">
        <f>"250"</f>
        <v>250</v>
      </c>
      <c r="K3126" s="4">
        <v>46035</v>
      </c>
      <c r="L3126" s="4">
        <v>46037</v>
      </c>
      <c r="M3126" s="1" t="s">
        <v>4708</v>
      </c>
      <c r="N3126" s="1" t="s">
        <v>4703</v>
      </c>
    </row>
    <row r="3127" spans="1:14" s="1" customFormat="1" x14ac:dyDescent="0.35">
      <c r="A3127" s="1" t="s">
        <v>4492</v>
      </c>
      <c r="B3127" s="1" t="s">
        <v>1013</v>
      </c>
      <c r="C3127" s="1" t="s">
        <v>1100</v>
      </c>
      <c r="D3127" s="1" t="s">
        <v>4707</v>
      </c>
      <c r="E3127" s="1" t="str">
        <f>"7110"</f>
        <v>7110</v>
      </c>
      <c r="F3127" s="1" t="s">
        <v>4706</v>
      </c>
      <c r="G3127" s="1" t="s">
        <v>4705</v>
      </c>
      <c r="H3127" s="1" t="s">
        <v>15</v>
      </c>
      <c r="I3127" s="1" t="str">
        <f>"1"</f>
        <v>1</v>
      </c>
      <c r="J3127" s="3" t="str">
        <f>"200"</f>
        <v>200</v>
      </c>
      <c r="K3127" s="4">
        <v>46035</v>
      </c>
      <c r="L3127" s="4">
        <v>46037</v>
      </c>
      <c r="M3127" s="1" t="s">
        <v>4704</v>
      </c>
      <c r="N3127" s="1" t="s">
        <v>4703</v>
      </c>
    </row>
    <row r="3128" spans="1:14" s="1" customFormat="1" x14ac:dyDescent="0.35">
      <c r="A3128" s="1" t="s">
        <v>4492</v>
      </c>
      <c r="B3128" s="1" t="s">
        <v>1013</v>
      </c>
      <c r="C3128" s="1" t="s">
        <v>1100</v>
      </c>
      <c r="D3128" s="1" t="s">
        <v>4702</v>
      </c>
      <c r="E3128" s="1" t="str">
        <f>"8115"</f>
        <v>8115</v>
      </c>
      <c r="F3128" s="1" t="str">
        <f>"014747089"</f>
        <v>014747089</v>
      </c>
      <c r="G3128" s="1" t="s">
        <v>1116</v>
      </c>
      <c r="H3128" s="1" t="s">
        <v>15</v>
      </c>
      <c r="I3128" s="1" t="str">
        <f>"1"</f>
        <v>1</v>
      </c>
      <c r="J3128" s="3">
        <v>2945.84</v>
      </c>
      <c r="K3128" s="4">
        <v>46040</v>
      </c>
      <c r="L3128" s="4">
        <v>46071</v>
      </c>
      <c r="M3128" s="1" t="s">
        <v>4701</v>
      </c>
      <c r="N3128" s="1" t="s">
        <v>1122</v>
      </c>
    </row>
    <row r="3129" spans="1:14" s="1" customFormat="1" x14ac:dyDescent="0.35">
      <c r="A3129" s="1" t="s">
        <v>4492</v>
      </c>
      <c r="B3129" s="1" t="s">
        <v>1013</v>
      </c>
      <c r="C3129" s="1" t="s">
        <v>1100</v>
      </c>
      <c r="D3129" s="1" t="s">
        <v>4700</v>
      </c>
      <c r="E3129" s="1" t="str">
        <f>"8115"</f>
        <v>8115</v>
      </c>
      <c r="F3129" s="1" t="str">
        <f>"014747089"</f>
        <v>014747089</v>
      </c>
      <c r="G3129" s="1" t="s">
        <v>1116</v>
      </c>
      <c r="H3129" s="1" t="s">
        <v>15</v>
      </c>
      <c r="I3129" s="1" t="str">
        <f>"1"</f>
        <v>1</v>
      </c>
      <c r="J3129" s="3">
        <v>2945.84</v>
      </c>
      <c r="K3129" s="4">
        <v>46040</v>
      </c>
      <c r="L3129" s="4">
        <v>46071</v>
      </c>
      <c r="M3129" s="1" t="s">
        <v>4699</v>
      </c>
      <c r="N3129" s="1" t="s">
        <v>1122</v>
      </c>
    </row>
    <row r="3130" spans="1:14" s="1" customFormat="1" x14ac:dyDescent="0.35">
      <c r="A3130" s="1" t="s">
        <v>4492</v>
      </c>
      <c r="B3130" s="1" t="s">
        <v>1013</v>
      </c>
      <c r="C3130" s="1" t="s">
        <v>1100</v>
      </c>
      <c r="D3130" s="1" t="s">
        <v>4698</v>
      </c>
      <c r="E3130" s="1" t="str">
        <f>"8115"</f>
        <v>8115</v>
      </c>
      <c r="F3130" s="1" t="str">
        <f>"014747089"</f>
        <v>014747089</v>
      </c>
      <c r="G3130" s="1" t="s">
        <v>1116</v>
      </c>
      <c r="H3130" s="1" t="s">
        <v>15</v>
      </c>
      <c r="I3130" s="1" t="str">
        <f>"1"</f>
        <v>1</v>
      </c>
      <c r="J3130" s="3">
        <v>2945.84</v>
      </c>
      <c r="K3130" s="4">
        <v>46040</v>
      </c>
      <c r="L3130" s="4">
        <v>46071</v>
      </c>
      <c r="M3130" s="1" t="s">
        <v>4697</v>
      </c>
      <c r="N3130" s="1" t="s">
        <v>1122</v>
      </c>
    </row>
    <row r="3131" spans="1:14" s="1" customFormat="1" x14ac:dyDescent="0.35">
      <c r="A3131" s="1" t="s">
        <v>4492</v>
      </c>
      <c r="B3131" s="1" t="s">
        <v>3356</v>
      </c>
      <c r="C3131" s="1" t="s">
        <v>4693</v>
      </c>
      <c r="D3131" s="1" t="s">
        <v>4696</v>
      </c>
      <c r="E3131" s="1" t="str">
        <f>"1240"</f>
        <v>1240</v>
      </c>
      <c r="F3131" s="1" t="s">
        <v>1364</v>
      </c>
      <c r="G3131" s="1" t="s">
        <v>1365</v>
      </c>
      <c r="H3131" s="1" t="s">
        <v>15</v>
      </c>
      <c r="I3131" s="1" t="str">
        <f>"8"</f>
        <v>8</v>
      </c>
      <c r="J3131" s="3" t="str">
        <f>"432"</f>
        <v>432</v>
      </c>
      <c r="K3131" s="4">
        <v>46105</v>
      </c>
      <c r="L3131" s="4">
        <v>46108</v>
      </c>
      <c r="M3131" s="1" t="s">
        <v>4695</v>
      </c>
      <c r="N3131" s="1" t="s">
        <v>4694</v>
      </c>
    </row>
    <row r="3132" spans="1:14" s="1" customFormat="1" x14ac:dyDescent="0.35">
      <c r="A3132" s="1" t="s">
        <v>4492</v>
      </c>
      <c r="B3132" s="1" t="s">
        <v>3356</v>
      </c>
      <c r="C3132" s="1" t="s">
        <v>4693</v>
      </c>
      <c r="D3132" s="1" t="s">
        <v>4692</v>
      </c>
      <c r="E3132" s="1" t="str">
        <f>"5855"</f>
        <v>5855</v>
      </c>
      <c r="F3132" s="1" t="str">
        <f>"015847217"</f>
        <v>015847217</v>
      </c>
      <c r="G3132" s="1" t="s">
        <v>614</v>
      </c>
      <c r="H3132" s="1" t="s">
        <v>15</v>
      </c>
      <c r="I3132" s="1" t="str">
        <f>"5"</f>
        <v>5</v>
      </c>
      <c r="J3132" s="3" t="str">
        <f>"34084"</f>
        <v>34084</v>
      </c>
      <c r="K3132" s="4">
        <v>46105</v>
      </c>
      <c r="L3132" s="4">
        <v>46106</v>
      </c>
      <c r="M3132" s="1" t="s">
        <v>4524</v>
      </c>
      <c r="N3132" s="1" t="s">
        <v>4691</v>
      </c>
    </row>
    <row r="3133" spans="1:14" s="1" customFormat="1" x14ac:dyDescent="0.35">
      <c r="A3133" s="1" t="s">
        <v>4492</v>
      </c>
      <c r="B3133" s="1" t="s">
        <v>1791</v>
      </c>
      <c r="C3133" s="1" t="s">
        <v>1924</v>
      </c>
      <c r="D3133" s="1" t="s">
        <v>4690</v>
      </c>
      <c r="E3133" s="1" t="str">
        <f>"8465"</f>
        <v>8465</v>
      </c>
      <c r="F3133" s="1" t="str">
        <f>"015801319"</f>
        <v>015801319</v>
      </c>
      <c r="G3133" s="1" t="s">
        <v>4689</v>
      </c>
      <c r="H3133" s="1" t="s">
        <v>15</v>
      </c>
      <c r="I3133" s="1" t="str">
        <f>"18"</f>
        <v>18</v>
      </c>
      <c r="J3133" s="3">
        <v>34.24</v>
      </c>
      <c r="K3133" s="4">
        <v>46043</v>
      </c>
      <c r="L3133" s="4">
        <v>46044</v>
      </c>
      <c r="M3133" s="1" t="s">
        <v>4524</v>
      </c>
      <c r="N3133" s="1" t="s">
        <v>4688</v>
      </c>
    </row>
    <row r="3134" spans="1:14" s="1" customFormat="1" x14ac:dyDescent="0.35">
      <c r="A3134" s="1" t="s">
        <v>4492</v>
      </c>
      <c r="B3134" s="1" t="s">
        <v>913</v>
      </c>
      <c r="C3134" s="1" t="s">
        <v>4683</v>
      </c>
      <c r="D3134" s="1" t="s">
        <v>4687</v>
      </c>
      <c r="E3134" s="1" t="str">
        <f>"5855"</f>
        <v>5855</v>
      </c>
      <c r="F3134" s="1" t="str">
        <f>"015345931"</f>
        <v>015345931</v>
      </c>
      <c r="G3134" s="1" t="s">
        <v>742</v>
      </c>
      <c r="H3134" s="1" t="s">
        <v>15</v>
      </c>
      <c r="I3134" s="1" t="str">
        <f>"12"</f>
        <v>12</v>
      </c>
      <c r="J3134" s="3" t="str">
        <f>"1040"</f>
        <v>1040</v>
      </c>
      <c r="K3134" s="4">
        <v>46036</v>
      </c>
      <c r="L3134" s="4">
        <v>46038</v>
      </c>
      <c r="M3134" s="1" t="s">
        <v>4524</v>
      </c>
      <c r="N3134" s="1" t="s">
        <v>4686</v>
      </c>
    </row>
    <row r="3135" spans="1:14" s="1" customFormat="1" x14ac:dyDescent="0.35">
      <c r="A3135" s="1" t="s">
        <v>4492</v>
      </c>
      <c r="B3135" s="1" t="s">
        <v>913</v>
      </c>
      <c r="C3135" s="1" t="s">
        <v>4683</v>
      </c>
      <c r="D3135" s="1" t="s">
        <v>4685</v>
      </c>
      <c r="E3135" s="1" t="str">
        <f>"5855"</f>
        <v>5855</v>
      </c>
      <c r="F3135" s="1" t="str">
        <f>"015345931"</f>
        <v>015345931</v>
      </c>
      <c r="G3135" s="1" t="s">
        <v>742</v>
      </c>
      <c r="H3135" s="1" t="s">
        <v>15</v>
      </c>
      <c r="I3135" s="1" t="str">
        <f>"12"</f>
        <v>12</v>
      </c>
      <c r="J3135" s="3" t="str">
        <f>"1040"</f>
        <v>1040</v>
      </c>
      <c r="K3135" s="4">
        <v>46044</v>
      </c>
      <c r="L3135" s="4">
        <v>46044</v>
      </c>
      <c r="M3135" s="1" t="s">
        <v>4524</v>
      </c>
      <c r="N3135" s="1" t="s">
        <v>4684</v>
      </c>
    </row>
    <row r="3136" spans="1:14" s="1" customFormat="1" x14ac:dyDescent="0.35">
      <c r="A3136" s="1" t="s">
        <v>4492</v>
      </c>
      <c r="B3136" s="1" t="s">
        <v>913</v>
      </c>
      <c r="C3136" s="1" t="s">
        <v>4683</v>
      </c>
      <c r="D3136" s="1" t="s">
        <v>4682</v>
      </c>
      <c r="E3136" s="1" t="str">
        <f>"5855"</f>
        <v>5855</v>
      </c>
      <c r="F3136" s="1" t="str">
        <f>"015345931"</f>
        <v>015345931</v>
      </c>
      <c r="G3136" s="1" t="s">
        <v>742</v>
      </c>
      <c r="H3136" s="1" t="s">
        <v>15</v>
      </c>
      <c r="I3136" s="1" t="str">
        <f>"12"</f>
        <v>12</v>
      </c>
      <c r="J3136" s="3" t="str">
        <f>"970"</f>
        <v>970</v>
      </c>
      <c r="K3136" s="4">
        <v>46083</v>
      </c>
      <c r="L3136" s="4">
        <v>46087</v>
      </c>
      <c r="M3136" s="1" t="s">
        <v>4681</v>
      </c>
      <c r="N3136" s="1" t="s">
        <v>4680</v>
      </c>
    </row>
    <row r="3137" spans="1:14" s="1" customFormat="1" x14ac:dyDescent="0.35">
      <c r="A3137" s="1" t="s">
        <v>4492</v>
      </c>
      <c r="B3137" s="1" t="s">
        <v>4247</v>
      </c>
      <c r="C3137" s="1" t="s">
        <v>4652</v>
      </c>
      <c r="D3137" s="1" t="s">
        <v>4679</v>
      </c>
      <c r="E3137" s="1" t="str">
        <f>"2320"</f>
        <v>2320</v>
      </c>
      <c r="F3137" s="1" t="s">
        <v>100</v>
      </c>
      <c r="G3137" s="1" t="s">
        <v>101</v>
      </c>
      <c r="H3137" s="1" t="s">
        <v>15</v>
      </c>
      <c r="I3137" s="1" t="str">
        <f>"1"</f>
        <v>1</v>
      </c>
      <c r="J3137" s="3" t="str">
        <f>"17574"</f>
        <v>17574</v>
      </c>
      <c r="K3137" s="4">
        <v>46035</v>
      </c>
      <c r="L3137" s="4">
        <v>46092</v>
      </c>
      <c r="M3137" s="1" t="s">
        <v>4678</v>
      </c>
      <c r="N3137" s="1" t="s">
        <v>4677</v>
      </c>
    </row>
    <row r="3138" spans="1:14" s="1" customFormat="1" x14ac:dyDescent="0.35">
      <c r="A3138" s="1" t="s">
        <v>4492</v>
      </c>
      <c r="B3138" s="1" t="s">
        <v>4247</v>
      </c>
      <c r="C3138" s="1" t="s">
        <v>4652</v>
      </c>
      <c r="D3138" s="1" t="s">
        <v>4676</v>
      </c>
      <c r="E3138" s="1" t="str">
        <f>"7830"</f>
        <v>7830</v>
      </c>
      <c r="F3138" s="1" t="str">
        <f>"016751851"</f>
        <v>016751851</v>
      </c>
      <c r="G3138" s="1" t="s">
        <v>4025</v>
      </c>
      <c r="H3138" s="1" t="s">
        <v>15</v>
      </c>
      <c r="I3138" s="1" t="str">
        <f>"1"</f>
        <v>1</v>
      </c>
      <c r="J3138" s="3" t="str">
        <f>"2585"</f>
        <v>2585</v>
      </c>
      <c r="K3138" s="4">
        <v>46035</v>
      </c>
      <c r="L3138" s="4">
        <v>46036</v>
      </c>
      <c r="M3138" s="1" t="s">
        <v>4524</v>
      </c>
      <c r="N3138" s="1" t="s">
        <v>4675</v>
      </c>
    </row>
    <row r="3139" spans="1:14" s="1" customFormat="1" x14ac:dyDescent="0.35">
      <c r="A3139" s="1" t="s">
        <v>4492</v>
      </c>
      <c r="B3139" s="1" t="s">
        <v>4247</v>
      </c>
      <c r="C3139" s="1" t="s">
        <v>4652</v>
      </c>
      <c r="D3139" s="1" t="s">
        <v>4674</v>
      </c>
      <c r="E3139" s="1" t="str">
        <f>"2310"</f>
        <v>2310</v>
      </c>
      <c r="F3139" s="1" t="str">
        <f>"014998019"</f>
        <v>014998019</v>
      </c>
      <c r="G3139" s="1" t="s">
        <v>4671</v>
      </c>
      <c r="H3139" s="1" t="s">
        <v>15</v>
      </c>
      <c r="I3139" s="1" t="str">
        <f>"1"</f>
        <v>1</v>
      </c>
      <c r="J3139" s="3" t="str">
        <f>"165000"</f>
        <v>165000</v>
      </c>
      <c r="K3139" s="4">
        <v>46071</v>
      </c>
      <c r="L3139" s="4">
        <v>46072</v>
      </c>
      <c r="M3139" s="1" t="s">
        <v>4524</v>
      </c>
      <c r="N3139" s="1" t="s">
        <v>4673</v>
      </c>
    </row>
    <row r="3140" spans="1:14" s="1" customFormat="1" x14ac:dyDescent="0.35">
      <c r="A3140" s="1" t="s">
        <v>4492</v>
      </c>
      <c r="B3140" s="1" t="s">
        <v>4247</v>
      </c>
      <c r="C3140" s="1" t="s">
        <v>4652</v>
      </c>
      <c r="D3140" s="1" t="s">
        <v>4672</v>
      </c>
      <c r="E3140" s="1" t="str">
        <f>"2310"</f>
        <v>2310</v>
      </c>
      <c r="F3140" s="1" t="str">
        <f>"014998019"</f>
        <v>014998019</v>
      </c>
      <c r="G3140" s="1" t="s">
        <v>4671</v>
      </c>
      <c r="H3140" s="1" t="s">
        <v>15</v>
      </c>
      <c r="I3140" s="1" t="str">
        <f>"1"</f>
        <v>1</v>
      </c>
      <c r="J3140" s="3" t="str">
        <f>"165000"</f>
        <v>165000</v>
      </c>
      <c r="K3140" s="4">
        <v>46080</v>
      </c>
      <c r="L3140" s="4">
        <v>46082</v>
      </c>
      <c r="M3140" s="1" t="s">
        <v>4524</v>
      </c>
      <c r="N3140" s="1" t="s">
        <v>4670</v>
      </c>
    </row>
    <row r="3141" spans="1:14" s="1" customFormat="1" x14ac:dyDescent="0.35">
      <c r="A3141" s="1" t="s">
        <v>4492</v>
      </c>
      <c r="B3141" s="1" t="s">
        <v>4247</v>
      </c>
      <c r="C3141" s="1" t="s">
        <v>4652</v>
      </c>
      <c r="D3141" s="1" t="s">
        <v>4669</v>
      </c>
      <c r="E3141" s="1" t="str">
        <f>"2320"</f>
        <v>2320</v>
      </c>
      <c r="F3141" s="1" t="s">
        <v>1016</v>
      </c>
      <c r="G3141" s="1" t="s">
        <v>1017</v>
      </c>
      <c r="H3141" s="1" t="s">
        <v>15</v>
      </c>
      <c r="I3141" s="1" t="str">
        <f>"1"</f>
        <v>1</v>
      </c>
      <c r="J3141" s="3" t="str">
        <f>"165000"</f>
        <v>165000</v>
      </c>
      <c r="K3141" s="4">
        <v>46080</v>
      </c>
      <c r="L3141" s="4">
        <v>46088</v>
      </c>
      <c r="M3141" s="1" t="s">
        <v>4668</v>
      </c>
      <c r="N3141" s="1" t="s">
        <v>4667</v>
      </c>
    </row>
    <row r="3142" spans="1:14" s="1" customFormat="1" x14ac:dyDescent="0.35">
      <c r="A3142" s="1" t="s">
        <v>4492</v>
      </c>
      <c r="B3142" s="1" t="s">
        <v>4247</v>
      </c>
      <c r="C3142" s="1" t="s">
        <v>4652</v>
      </c>
      <c r="D3142" s="1" t="s">
        <v>4666</v>
      </c>
      <c r="E3142" s="1" t="str">
        <f>"2310"</f>
        <v>2310</v>
      </c>
      <c r="F3142" s="1" t="s">
        <v>4332</v>
      </c>
      <c r="G3142" s="1" t="s">
        <v>4333</v>
      </c>
      <c r="H3142" s="1" t="s">
        <v>15</v>
      </c>
      <c r="I3142" s="1" t="str">
        <f>"1"</f>
        <v>1</v>
      </c>
      <c r="J3142" s="3" t="str">
        <f>"7500"</f>
        <v>7500</v>
      </c>
      <c r="K3142" s="4">
        <v>46098</v>
      </c>
      <c r="L3142" s="4">
        <v>46104</v>
      </c>
      <c r="M3142" s="1" t="s">
        <v>4665</v>
      </c>
      <c r="N3142" s="1" t="s">
        <v>4653</v>
      </c>
    </row>
    <row r="3143" spans="1:14" s="1" customFormat="1" x14ac:dyDescent="0.35">
      <c r="A3143" s="1" t="s">
        <v>4492</v>
      </c>
      <c r="B3143" s="1" t="s">
        <v>4247</v>
      </c>
      <c r="C3143" s="1" t="s">
        <v>4652</v>
      </c>
      <c r="D3143" s="1" t="s">
        <v>4664</v>
      </c>
      <c r="E3143" s="1" t="str">
        <f>"2320"</f>
        <v>2320</v>
      </c>
      <c r="F3143" s="1" t="str">
        <f>"010907831"</f>
        <v>010907831</v>
      </c>
      <c r="G3143" s="1" t="s">
        <v>2570</v>
      </c>
      <c r="H3143" s="1" t="s">
        <v>15</v>
      </c>
      <c r="I3143" s="1" t="str">
        <f>"1"</f>
        <v>1</v>
      </c>
      <c r="J3143" s="3" t="str">
        <f>"15000"</f>
        <v>15000</v>
      </c>
      <c r="K3143" s="4">
        <v>46098</v>
      </c>
      <c r="L3143" s="4">
        <v>46104</v>
      </c>
      <c r="M3143" s="1" t="s">
        <v>4663</v>
      </c>
      <c r="N3143" s="1" t="s">
        <v>4653</v>
      </c>
    </row>
    <row r="3144" spans="1:14" s="1" customFormat="1" x14ac:dyDescent="0.35">
      <c r="A3144" s="1" t="s">
        <v>4492</v>
      </c>
      <c r="B3144" s="1" t="s">
        <v>4247</v>
      </c>
      <c r="C3144" s="1" t="s">
        <v>4652</v>
      </c>
      <c r="D3144" s="1" t="s">
        <v>4662</v>
      </c>
      <c r="E3144" s="1" t="str">
        <f>"2310"</f>
        <v>2310</v>
      </c>
      <c r="F3144" s="1" t="s">
        <v>4332</v>
      </c>
      <c r="G3144" s="1" t="s">
        <v>4333</v>
      </c>
      <c r="H3144" s="1" t="s">
        <v>15</v>
      </c>
      <c r="I3144" s="1" t="str">
        <f>"1"</f>
        <v>1</v>
      </c>
      <c r="J3144" s="3" t="str">
        <f>"7500"</f>
        <v>7500</v>
      </c>
      <c r="K3144" s="4">
        <v>46098</v>
      </c>
      <c r="L3144" s="4">
        <v>46103</v>
      </c>
      <c r="M3144" s="1" t="s">
        <v>4661</v>
      </c>
      <c r="N3144" s="1" t="s">
        <v>4653</v>
      </c>
    </row>
    <row r="3145" spans="1:14" s="1" customFormat="1" x14ac:dyDescent="0.35">
      <c r="A3145" s="1" t="s">
        <v>4492</v>
      </c>
      <c r="B3145" s="1" t="s">
        <v>4247</v>
      </c>
      <c r="C3145" s="1" t="s">
        <v>4652</v>
      </c>
      <c r="D3145" s="1" t="s">
        <v>4660</v>
      </c>
      <c r="E3145" s="1" t="str">
        <f>"2320"</f>
        <v>2320</v>
      </c>
      <c r="F3145" s="1" t="s">
        <v>100</v>
      </c>
      <c r="G3145" s="1" t="s">
        <v>101</v>
      </c>
      <c r="H3145" s="1" t="s">
        <v>15</v>
      </c>
      <c r="I3145" s="1" t="str">
        <f>"1"</f>
        <v>1</v>
      </c>
      <c r="J3145" s="3" t="str">
        <f>"52500"</f>
        <v>52500</v>
      </c>
      <c r="K3145" s="4">
        <v>46098</v>
      </c>
      <c r="L3145" s="4">
        <v>46103</v>
      </c>
      <c r="M3145" s="1" t="s">
        <v>4659</v>
      </c>
      <c r="N3145" s="1" t="s">
        <v>4658</v>
      </c>
    </row>
    <row r="3146" spans="1:14" s="1" customFormat="1" x14ac:dyDescent="0.35">
      <c r="A3146" s="1" t="s">
        <v>4492</v>
      </c>
      <c r="B3146" s="1" t="s">
        <v>4247</v>
      </c>
      <c r="C3146" s="1" t="s">
        <v>4652</v>
      </c>
      <c r="D3146" s="1" t="s">
        <v>4657</v>
      </c>
      <c r="E3146" s="1" t="str">
        <f>"2320"</f>
        <v>2320</v>
      </c>
      <c r="F3146" s="1" t="s">
        <v>100</v>
      </c>
      <c r="G3146" s="1" t="s">
        <v>101</v>
      </c>
      <c r="H3146" s="1" t="s">
        <v>15</v>
      </c>
      <c r="I3146" s="1" t="str">
        <f>"1"</f>
        <v>1</v>
      </c>
      <c r="J3146" s="3" t="str">
        <f>"61735"</f>
        <v>61735</v>
      </c>
      <c r="K3146" s="4">
        <v>46098</v>
      </c>
      <c r="L3146" s="4">
        <v>46109</v>
      </c>
      <c r="M3146" s="1" t="s">
        <v>4656</v>
      </c>
      <c r="N3146" s="1" t="s">
        <v>4653</v>
      </c>
    </row>
    <row r="3147" spans="1:14" s="1" customFormat="1" x14ac:dyDescent="0.35">
      <c r="A3147" s="1" t="s">
        <v>4492</v>
      </c>
      <c r="B3147" s="1" t="s">
        <v>4247</v>
      </c>
      <c r="C3147" s="1" t="s">
        <v>4652</v>
      </c>
      <c r="D3147" s="1" t="s">
        <v>4655</v>
      </c>
      <c r="E3147" s="1" t="str">
        <f>"2310"</f>
        <v>2310</v>
      </c>
      <c r="F3147" s="1" t="s">
        <v>4332</v>
      </c>
      <c r="G3147" s="1" t="s">
        <v>4333</v>
      </c>
      <c r="H3147" s="1" t="s">
        <v>15</v>
      </c>
      <c r="I3147" s="1" t="str">
        <f>"1"</f>
        <v>1</v>
      </c>
      <c r="J3147" s="3" t="str">
        <f>"26275"</f>
        <v>26275</v>
      </c>
      <c r="K3147" s="4">
        <v>46098</v>
      </c>
      <c r="L3147" s="4">
        <v>46109</v>
      </c>
      <c r="M3147" s="1" t="s">
        <v>4654</v>
      </c>
      <c r="N3147" s="1" t="s">
        <v>4653</v>
      </c>
    </row>
    <row r="3148" spans="1:14" s="1" customFormat="1" x14ac:dyDescent="0.35">
      <c r="A3148" s="1" t="s">
        <v>4492</v>
      </c>
      <c r="B3148" s="1" t="s">
        <v>4247</v>
      </c>
      <c r="C3148" s="1" t="s">
        <v>4652</v>
      </c>
      <c r="D3148" s="1" t="s">
        <v>4651</v>
      </c>
      <c r="E3148" s="1" t="str">
        <f>"2320"</f>
        <v>2320</v>
      </c>
      <c r="F3148" s="1" t="s">
        <v>1016</v>
      </c>
      <c r="G3148" s="1" t="s">
        <v>1017</v>
      </c>
      <c r="H3148" s="1" t="s">
        <v>15</v>
      </c>
      <c r="I3148" s="1" t="str">
        <f>"1"</f>
        <v>1</v>
      </c>
      <c r="J3148" s="3" t="str">
        <f>"68953"</f>
        <v>68953</v>
      </c>
      <c r="K3148" s="4">
        <v>46098</v>
      </c>
      <c r="L3148" s="4">
        <v>46109</v>
      </c>
      <c r="M3148" s="1" t="s">
        <v>4650</v>
      </c>
      <c r="N3148" s="1" t="s">
        <v>4649</v>
      </c>
    </row>
    <row r="3149" spans="1:14" s="1" customFormat="1" x14ac:dyDescent="0.35">
      <c r="A3149" s="1" t="s">
        <v>4492</v>
      </c>
      <c r="B3149" s="1" t="s">
        <v>2196</v>
      </c>
      <c r="C3149" s="1" t="s">
        <v>2265</v>
      </c>
      <c r="D3149" s="1" t="s">
        <v>4648</v>
      </c>
      <c r="E3149" s="1" t="str">
        <f>"7125"</f>
        <v>7125</v>
      </c>
      <c r="F3149" s="1" t="s">
        <v>2182</v>
      </c>
      <c r="G3149" s="1" t="s">
        <v>2183</v>
      </c>
      <c r="H3149" s="1" t="s">
        <v>15</v>
      </c>
      <c r="I3149" s="1" t="str">
        <f>"1"</f>
        <v>1</v>
      </c>
      <c r="J3149" s="3" t="str">
        <f>"349"</f>
        <v>349</v>
      </c>
      <c r="K3149" s="4">
        <v>46027</v>
      </c>
      <c r="L3149" s="4">
        <v>46029</v>
      </c>
      <c r="M3149" s="1" t="s">
        <v>4647</v>
      </c>
      <c r="N3149" s="1" t="s">
        <v>4646</v>
      </c>
    </row>
    <row r="3150" spans="1:14" s="1" customFormat="1" x14ac:dyDescent="0.35">
      <c r="A3150" s="1" t="s">
        <v>4492</v>
      </c>
      <c r="B3150" s="1" t="s">
        <v>2196</v>
      </c>
      <c r="C3150" s="1" t="s">
        <v>2265</v>
      </c>
      <c r="D3150" s="1" t="s">
        <v>4645</v>
      </c>
      <c r="E3150" s="1" t="str">
        <f>"5340"</f>
        <v>5340</v>
      </c>
      <c r="F3150" s="1" t="str">
        <f>"002914212"</f>
        <v>002914212</v>
      </c>
      <c r="G3150" s="1" t="s">
        <v>4644</v>
      </c>
      <c r="H3150" s="1" t="s">
        <v>257</v>
      </c>
      <c r="I3150" s="1" t="str">
        <f>"1"</f>
        <v>1</v>
      </c>
      <c r="J3150" s="3">
        <v>749.55</v>
      </c>
      <c r="K3150" s="4">
        <v>46051</v>
      </c>
      <c r="L3150" s="4">
        <v>46071</v>
      </c>
      <c r="M3150" s="1" t="s">
        <v>4643</v>
      </c>
      <c r="N3150" s="1" t="s">
        <v>4642</v>
      </c>
    </row>
    <row r="3151" spans="1:14" s="1" customFormat="1" x14ac:dyDescent="0.35">
      <c r="A3151" s="1" t="s">
        <v>4492</v>
      </c>
      <c r="B3151" s="1" t="s">
        <v>2196</v>
      </c>
      <c r="C3151" s="1" t="s">
        <v>2265</v>
      </c>
      <c r="D3151" s="1" t="s">
        <v>4641</v>
      </c>
      <c r="E3151" s="1" t="str">
        <f>"4520"</f>
        <v>4520</v>
      </c>
      <c r="F3151" s="1" t="str">
        <f>"012999285"</f>
        <v>012999285</v>
      </c>
      <c r="G3151" s="1" t="s">
        <v>2737</v>
      </c>
      <c r="H3151" s="1" t="s">
        <v>15</v>
      </c>
      <c r="I3151" s="1" t="str">
        <f>"2"</f>
        <v>2</v>
      </c>
      <c r="J3151" s="3">
        <v>782.19</v>
      </c>
      <c r="K3151" s="4">
        <v>46052</v>
      </c>
      <c r="L3151" s="4">
        <v>46055</v>
      </c>
      <c r="M3151" s="1" t="s">
        <v>4640</v>
      </c>
      <c r="N3151" s="1" t="s">
        <v>4639</v>
      </c>
    </row>
    <row r="3152" spans="1:14" s="1" customFormat="1" x14ac:dyDescent="0.35">
      <c r="A3152" s="1" t="s">
        <v>4492</v>
      </c>
      <c r="B3152" s="1" t="s">
        <v>2196</v>
      </c>
      <c r="C3152" s="1" t="s">
        <v>2265</v>
      </c>
      <c r="D3152" s="1" t="s">
        <v>4638</v>
      </c>
      <c r="E3152" s="1" t="str">
        <f>"4220"</f>
        <v>4220</v>
      </c>
      <c r="F3152" s="1" t="str">
        <f>"014159817"</f>
        <v>014159817</v>
      </c>
      <c r="G3152" s="1" t="s">
        <v>1880</v>
      </c>
      <c r="H3152" s="1" t="s">
        <v>15</v>
      </c>
      <c r="I3152" s="1" t="str">
        <f>"12"</f>
        <v>12</v>
      </c>
      <c r="J3152" s="3">
        <v>100.81</v>
      </c>
      <c r="K3152" s="4">
        <v>46047</v>
      </c>
      <c r="L3152" s="4">
        <v>46060</v>
      </c>
      <c r="M3152" s="1" t="s">
        <v>4637</v>
      </c>
      <c r="N3152" s="1" t="s">
        <v>4636</v>
      </c>
    </row>
    <row r="3153" spans="1:14" s="1" customFormat="1" x14ac:dyDescent="0.35">
      <c r="A3153" s="1" t="s">
        <v>4492</v>
      </c>
      <c r="B3153" s="1" t="s">
        <v>2196</v>
      </c>
      <c r="C3153" s="1" t="s">
        <v>2265</v>
      </c>
      <c r="D3153" s="1" t="s">
        <v>4635</v>
      </c>
      <c r="E3153" s="1" t="str">
        <f>"6230"</f>
        <v>6230</v>
      </c>
      <c r="F3153" s="1" t="str">
        <f>"015978436"</f>
        <v>015978436</v>
      </c>
      <c r="G3153" s="1" t="s">
        <v>4634</v>
      </c>
      <c r="H3153" s="1" t="s">
        <v>15</v>
      </c>
      <c r="I3153" s="1" t="str">
        <f>"3"</f>
        <v>3</v>
      </c>
      <c r="J3153" s="3">
        <v>1422.63</v>
      </c>
      <c r="K3153" s="4">
        <v>46049</v>
      </c>
      <c r="L3153" s="4">
        <v>46050</v>
      </c>
      <c r="M3153" s="1" t="s">
        <v>4633</v>
      </c>
      <c r="N3153" s="1" t="s">
        <v>4632</v>
      </c>
    </row>
    <row r="3154" spans="1:14" s="1" customFormat="1" x14ac:dyDescent="0.35">
      <c r="A3154" s="1" t="s">
        <v>4492</v>
      </c>
      <c r="B3154" s="1" t="s">
        <v>2196</v>
      </c>
      <c r="C3154" s="1" t="s">
        <v>2265</v>
      </c>
      <c r="D3154" s="1" t="s">
        <v>4631</v>
      </c>
      <c r="E3154" s="1" t="str">
        <f>"5120"</f>
        <v>5120</v>
      </c>
      <c r="F3154" s="1" t="s">
        <v>2085</v>
      </c>
      <c r="G3154" s="1" t="s">
        <v>2086</v>
      </c>
      <c r="H3154" s="1" t="s">
        <v>15</v>
      </c>
      <c r="I3154" s="1" t="str">
        <f>"12"</f>
        <v>12</v>
      </c>
      <c r="J3154" s="3" t="str">
        <f>"15"</f>
        <v>15</v>
      </c>
      <c r="K3154" s="4">
        <v>46049</v>
      </c>
      <c r="L3154" s="4">
        <v>46051</v>
      </c>
      <c r="M3154" s="1" t="s">
        <v>4630</v>
      </c>
      <c r="N3154" s="1" t="s">
        <v>4629</v>
      </c>
    </row>
    <row r="3155" spans="1:14" s="1" customFormat="1" x14ac:dyDescent="0.35">
      <c r="A3155" s="1" t="s">
        <v>4492</v>
      </c>
      <c r="B3155" s="1" t="s">
        <v>2196</v>
      </c>
      <c r="C3155" s="1" t="s">
        <v>2265</v>
      </c>
      <c r="D3155" s="1" t="s">
        <v>4628</v>
      </c>
      <c r="E3155" s="1" t="str">
        <f>"8415"</f>
        <v>8415</v>
      </c>
      <c r="F3155" s="1" t="s">
        <v>1944</v>
      </c>
      <c r="G3155" s="1" t="s">
        <v>1945</v>
      </c>
      <c r="H3155" s="1" t="s">
        <v>15</v>
      </c>
      <c r="I3155" s="1" t="str">
        <f>"5"</f>
        <v>5</v>
      </c>
      <c r="J3155" s="3" t="str">
        <f>"5"</f>
        <v>5</v>
      </c>
      <c r="K3155" s="4">
        <v>46049</v>
      </c>
      <c r="L3155" s="4">
        <v>46051</v>
      </c>
      <c r="M3155" s="1" t="s">
        <v>4627</v>
      </c>
      <c r="N3155" s="1" t="s">
        <v>4626</v>
      </c>
    </row>
    <row r="3156" spans="1:14" s="1" customFormat="1" x14ac:dyDescent="0.35">
      <c r="A3156" s="1" t="s">
        <v>4492</v>
      </c>
      <c r="B3156" s="1" t="s">
        <v>2196</v>
      </c>
      <c r="C3156" s="1" t="s">
        <v>2265</v>
      </c>
      <c r="D3156" s="1" t="s">
        <v>4625</v>
      </c>
      <c r="E3156" s="1" t="str">
        <f>"6130"</f>
        <v>6130</v>
      </c>
      <c r="F3156" s="1" t="str">
        <f>"015870731"</f>
        <v>015870731</v>
      </c>
      <c r="G3156" s="1" t="s">
        <v>882</v>
      </c>
      <c r="H3156" s="1" t="s">
        <v>15</v>
      </c>
      <c r="I3156" s="1" t="str">
        <f>"1"</f>
        <v>1</v>
      </c>
      <c r="J3156" s="3">
        <v>311.69</v>
      </c>
      <c r="K3156" s="4">
        <v>46049</v>
      </c>
      <c r="L3156" s="4">
        <v>46055</v>
      </c>
      <c r="M3156" s="1" t="s">
        <v>4624</v>
      </c>
      <c r="N3156" s="1" t="s">
        <v>4617</v>
      </c>
    </row>
    <row r="3157" spans="1:14" s="1" customFormat="1" x14ac:dyDescent="0.35">
      <c r="A3157" s="1" t="s">
        <v>4492</v>
      </c>
      <c r="B3157" s="1" t="s">
        <v>2196</v>
      </c>
      <c r="C3157" s="1" t="s">
        <v>2265</v>
      </c>
      <c r="D3157" s="1" t="s">
        <v>4623</v>
      </c>
      <c r="E3157" s="1" t="str">
        <f>"6130"</f>
        <v>6130</v>
      </c>
      <c r="F3157" s="1" t="str">
        <f>"015870731"</f>
        <v>015870731</v>
      </c>
      <c r="G3157" s="1" t="s">
        <v>882</v>
      </c>
      <c r="H3157" s="1" t="s">
        <v>15</v>
      </c>
      <c r="I3157" s="1" t="str">
        <f>"1"</f>
        <v>1</v>
      </c>
      <c r="J3157" s="3">
        <v>311.69</v>
      </c>
      <c r="K3157" s="4">
        <v>46049</v>
      </c>
      <c r="L3157" s="4">
        <v>46055</v>
      </c>
      <c r="M3157" s="1" t="s">
        <v>4622</v>
      </c>
      <c r="N3157" s="1" t="s">
        <v>4617</v>
      </c>
    </row>
    <row r="3158" spans="1:14" s="1" customFormat="1" x14ac:dyDescent="0.35">
      <c r="A3158" s="1" t="s">
        <v>4492</v>
      </c>
      <c r="B3158" s="1" t="s">
        <v>2196</v>
      </c>
      <c r="C3158" s="1" t="s">
        <v>2265</v>
      </c>
      <c r="D3158" s="1" t="s">
        <v>4621</v>
      </c>
      <c r="E3158" s="1" t="str">
        <f>"6130"</f>
        <v>6130</v>
      </c>
      <c r="F3158" s="1" t="str">
        <f>"015870731"</f>
        <v>015870731</v>
      </c>
      <c r="G3158" s="1" t="s">
        <v>882</v>
      </c>
      <c r="H3158" s="1" t="s">
        <v>15</v>
      </c>
      <c r="I3158" s="1" t="str">
        <f>"1"</f>
        <v>1</v>
      </c>
      <c r="J3158" s="3">
        <v>311.69</v>
      </c>
      <c r="K3158" s="4">
        <v>46049</v>
      </c>
      <c r="L3158" s="4">
        <v>46055</v>
      </c>
      <c r="M3158" s="1" t="s">
        <v>4620</v>
      </c>
      <c r="N3158" s="1" t="s">
        <v>4617</v>
      </c>
    </row>
    <row r="3159" spans="1:14" s="1" customFormat="1" x14ac:dyDescent="0.35">
      <c r="A3159" s="1" t="s">
        <v>4492</v>
      </c>
      <c r="B3159" s="1" t="s">
        <v>2196</v>
      </c>
      <c r="C3159" s="1" t="s">
        <v>2265</v>
      </c>
      <c r="D3159" s="1" t="s">
        <v>4619</v>
      </c>
      <c r="E3159" s="1" t="str">
        <f>"6130"</f>
        <v>6130</v>
      </c>
      <c r="F3159" s="1" t="str">
        <f>"015870731"</f>
        <v>015870731</v>
      </c>
      <c r="G3159" s="1" t="s">
        <v>882</v>
      </c>
      <c r="H3159" s="1" t="s">
        <v>15</v>
      </c>
      <c r="I3159" s="1" t="str">
        <f>"1"</f>
        <v>1</v>
      </c>
      <c r="J3159" s="3">
        <v>311.69</v>
      </c>
      <c r="K3159" s="4">
        <v>46049</v>
      </c>
      <c r="L3159" s="4">
        <v>46055</v>
      </c>
      <c r="M3159" s="1" t="s">
        <v>4618</v>
      </c>
      <c r="N3159" s="1" t="s">
        <v>4617</v>
      </c>
    </row>
    <row r="3160" spans="1:14" s="1" customFormat="1" x14ac:dyDescent="0.35">
      <c r="A3160" s="1" t="s">
        <v>4492</v>
      </c>
      <c r="B3160" s="1" t="s">
        <v>2196</v>
      </c>
      <c r="C3160" s="1" t="s">
        <v>2265</v>
      </c>
      <c r="D3160" s="1" t="s">
        <v>4616</v>
      </c>
      <c r="E3160" s="1" t="str">
        <f>"8020"</f>
        <v>8020</v>
      </c>
      <c r="F3160" s="1" t="s">
        <v>2942</v>
      </c>
      <c r="G3160" s="1" t="s">
        <v>2943</v>
      </c>
      <c r="H3160" s="1" t="s">
        <v>15</v>
      </c>
      <c r="I3160" s="1" t="str">
        <f>"50"</f>
        <v>50</v>
      </c>
      <c r="J3160" s="3">
        <v>98.99</v>
      </c>
      <c r="K3160" s="4">
        <v>46049</v>
      </c>
      <c r="L3160" s="4">
        <v>46051</v>
      </c>
      <c r="M3160" s="1" t="s">
        <v>4615</v>
      </c>
      <c r="N3160" s="1" t="s">
        <v>4614</v>
      </c>
    </row>
    <row r="3161" spans="1:14" s="1" customFormat="1" x14ac:dyDescent="0.35">
      <c r="A3161" s="1" t="s">
        <v>4492</v>
      </c>
      <c r="B3161" s="1" t="s">
        <v>2196</v>
      </c>
      <c r="C3161" s="1" t="s">
        <v>2265</v>
      </c>
      <c r="D3161" s="1" t="s">
        <v>4613</v>
      </c>
      <c r="E3161" s="1" t="str">
        <f>"6130"</f>
        <v>6130</v>
      </c>
      <c r="F3161" s="1" t="str">
        <f>"015870731"</f>
        <v>015870731</v>
      </c>
      <c r="G3161" s="1" t="s">
        <v>882</v>
      </c>
      <c r="H3161" s="1" t="s">
        <v>15</v>
      </c>
      <c r="I3161" s="1" t="str">
        <f>"1"</f>
        <v>1</v>
      </c>
      <c r="J3161" s="3">
        <v>311.69</v>
      </c>
      <c r="K3161" s="4">
        <v>46050</v>
      </c>
      <c r="L3161" s="4">
        <v>46055</v>
      </c>
      <c r="M3161" s="1" t="s">
        <v>4612</v>
      </c>
      <c r="N3161" s="1" t="s">
        <v>4609</v>
      </c>
    </row>
    <row r="3162" spans="1:14" s="1" customFormat="1" x14ac:dyDescent="0.35">
      <c r="A3162" s="1" t="s">
        <v>4492</v>
      </c>
      <c r="B3162" s="1" t="s">
        <v>2196</v>
      </c>
      <c r="C3162" s="1" t="s">
        <v>2265</v>
      </c>
      <c r="D3162" s="1" t="s">
        <v>4611</v>
      </c>
      <c r="E3162" s="1" t="str">
        <f>"6130"</f>
        <v>6130</v>
      </c>
      <c r="F3162" s="1" t="str">
        <f>"015870731"</f>
        <v>015870731</v>
      </c>
      <c r="G3162" s="1" t="s">
        <v>882</v>
      </c>
      <c r="H3162" s="1" t="s">
        <v>15</v>
      </c>
      <c r="I3162" s="1" t="str">
        <f>"1"</f>
        <v>1</v>
      </c>
      <c r="J3162" s="3">
        <v>311.69</v>
      </c>
      <c r="K3162" s="4">
        <v>46050</v>
      </c>
      <c r="L3162" s="4">
        <v>46055</v>
      </c>
      <c r="M3162" s="1" t="s">
        <v>4610</v>
      </c>
      <c r="N3162" s="1" t="s">
        <v>4609</v>
      </c>
    </row>
    <row r="3163" spans="1:14" s="1" customFormat="1" x14ac:dyDescent="0.35">
      <c r="A3163" s="1" t="s">
        <v>4492</v>
      </c>
      <c r="B3163" s="1" t="s">
        <v>2196</v>
      </c>
      <c r="C3163" s="1" t="s">
        <v>2265</v>
      </c>
      <c r="D3163" s="1" t="s">
        <v>4608</v>
      </c>
      <c r="E3163" s="1" t="str">
        <f>"4240"</f>
        <v>4240</v>
      </c>
      <c r="F3163" s="1" t="s">
        <v>372</v>
      </c>
      <c r="G3163" s="1" t="s">
        <v>373</v>
      </c>
      <c r="H3163" s="1" t="s">
        <v>15</v>
      </c>
      <c r="I3163" s="1" t="str">
        <f>"10"</f>
        <v>10</v>
      </c>
      <c r="J3163" s="3" t="str">
        <f>"25"</f>
        <v>25</v>
      </c>
      <c r="K3163" s="4">
        <v>46055</v>
      </c>
      <c r="L3163" s="4">
        <v>46058</v>
      </c>
      <c r="M3163" s="1" t="s">
        <v>4607</v>
      </c>
      <c r="N3163" s="1" t="s">
        <v>4606</v>
      </c>
    </row>
    <row r="3164" spans="1:14" s="1" customFormat="1" x14ac:dyDescent="0.35">
      <c r="A3164" s="1" t="s">
        <v>4492</v>
      </c>
      <c r="B3164" s="1" t="s">
        <v>2196</v>
      </c>
      <c r="C3164" s="1" t="s">
        <v>2265</v>
      </c>
      <c r="D3164" s="1" t="s">
        <v>4605</v>
      </c>
      <c r="E3164" s="1" t="str">
        <f>"8465"</f>
        <v>8465</v>
      </c>
      <c r="F3164" s="1" t="str">
        <f>"016419405"</f>
        <v>016419405</v>
      </c>
      <c r="G3164" s="1" t="s">
        <v>1968</v>
      </c>
      <c r="H3164" s="1" t="s">
        <v>15</v>
      </c>
      <c r="I3164" s="1" t="str">
        <f>"2"</f>
        <v>2</v>
      </c>
      <c r="J3164" s="3">
        <v>26.22</v>
      </c>
      <c r="K3164" s="4">
        <v>46055</v>
      </c>
      <c r="L3164" s="4">
        <v>46067</v>
      </c>
      <c r="M3164" s="1" t="s">
        <v>4604</v>
      </c>
      <c r="N3164" s="1" t="s">
        <v>4603</v>
      </c>
    </row>
    <row r="3165" spans="1:14" s="1" customFormat="1" x14ac:dyDescent="0.35">
      <c r="A3165" s="1" t="s">
        <v>4492</v>
      </c>
      <c r="B3165" s="1" t="s">
        <v>2196</v>
      </c>
      <c r="C3165" s="1" t="s">
        <v>2265</v>
      </c>
      <c r="D3165" s="1" t="s">
        <v>4602</v>
      </c>
      <c r="E3165" s="1" t="str">
        <f>"5855"</f>
        <v>5855</v>
      </c>
      <c r="F3165" s="1" t="str">
        <f>"015485687"</f>
        <v>015485687</v>
      </c>
      <c r="G3165" s="1" t="s">
        <v>798</v>
      </c>
      <c r="H3165" s="1" t="s">
        <v>15</v>
      </c>
      <c r="I3165" s="1" t="str">
        <f>"25"</f>
        <v>25</v>
      </c>
      <c r="J3165" s="3" t="str">
        <f>"10402"</f>
        <v>10402</v>
      </c>
      <c r="K3165" s="4">
        <v>46075</v>
      </c>
      <c r="L3165" s="4">
        <v>46076</v>
      </c>
      <c r="M3165" s="1" t="s">
        <v>4556</v>
      </c>
      <c r="N3165" s="1" t="s">
        <v>4601</v>
      </c>
    </row>
    <row r="3166" spans="1:14" s="1" customFormat="1" x14ac:dyDescent="0.35">
      <c r="A3166" s="1" t="s">
        <v>4492</v>
      </c>
      <c r="B3166" s="1" t="s">
        <v>2196</v>
      </c>
      <c r="C3166" s="1" t="s">
        <v>2265</v>
      </c>
      <c r="D3166" s="1" t="s">
        <v>4600</v>
      </c>
      <c r="E3166" s="1" t="str">
        <f>"1240"</f>
        <v>1240</v>
      </c>
      <c r="F3166" s="1" t="s">
        <v>1364</v>
      </c>
      <c r="G3166" s="1" t="s">
        <v>1365</v>
      </c>
      <c r="H3166" s="1" t="s">
        <v>15</v>
      </c>
      <c r="I3166" s="1" t="str">
        <f>"6"</f>
        <v>6</v>
      </c>
      <c r="J3166" s="3">
        <v>448.33</v>
      </c>
      <c r="K3166" s="4">
        <v>46083</v>
      </c>
      <c r="L3166" s="4">
        <v>46087</v>
      </c>
      <c r="M3166" s="1" t="s">
        <v>4599</v>
      </c>
      <c r="N3166" s="1" t="s">
        <v>4577</v>
      </c>
    </row>
    <row r="3167" spans="1:14" s="1" customFormat="1" x14ac:dyDescent="0.35">
      <c r="A3167" s="1" t="s">
        <v>4492</v>
      </c>
      <c r="B3167" s="1" t="s">
        <v>2196</v>
      </c>
      <c r="C3167" s="1" t="s">
        <v>2265</v>
      </c>
      <c r="D3167" s="1" t="s">
        <v>4598</v>
      </c>
      <c r="E3167" s="1" t="str">
        <f>"5855"</f>
        <v>5855</v>
      </c>
      <c r="F3167" s="1" t="str">
        <f>"015790062"</f>
        <v>015790062</v>
      </c>
      <c r="G3167" s="1" t="s">
        <v>742</v>
      </c>
      <c r="H3167" s="1" t="s">
        <v>15</v>
      </c>
      <c r="I3167" s="1" t="str">
        <f>"13"</f>
        <v>13</v>
      </c>
      <c r="J3167" s="3" t="str">
        <f>"900"</f>
        <v>900</v>
      </c>
      <c r="K3167" s="4">
        <v>46083</v>
      </c>
      <c r="L3167" s="4">
        <v>46088</v>
      </c>
      <c r="M3167" s="1" t="s">
        <v>4597</v>
      </c>
      <c r="N3167" s="1" t="s">
        <v>4596</v>
      </c>
    </row>
    <row r="3168" spans="1:14" s="1" customFormat="1" x14ac:dyDescent="0.35">
      <c r="A3168" s="1" t="s">
        <v>4492</v>
      </c>
      <c r="B3168" s="1" t="s">
        <v>2196</v>
      </c>
      <c r="C3168" s="1" t="s">
        <v>2265</v>
      </c>
      <c r="D3168" s="1" t="s">
        <v>4595</v>
      </c>
      <c r="E3168" s="1" t="str">
        <f>"6515"</f>
        <v>6515</v>
      </c>
      <c r="F3168" s="1" t="s">
        <v>4594</v>
      </c>
      <c r="G3168" s="1" t="s">
        <v>4593</v>
      </c>
      <c r="H3168" s="1" t="s">
        <v>15</v>
      </c>
      <c r="I3168" s="1" t="str">
        <f>"1"</f>
        <v>1</v>
      </c>
      <c r="J3168" s="3">
        <v>2977.69</v>
      </c>
      <c r="K3168" s="4">
        <v>46084</v>
      </c>
      <c r="L3168" s="4">
        <v>46088</v>
      </c>
      <c r="M3168" s="1" t="s">
        <v>4592</v>
      </c>
      <c r="N3168" s="1" t="s">
        <v>4591</v>
      </c>
    </row>
    <row r="3169" spans="1:14" s="1" customFormat="1" x14ac:dyDescent="0.35">
      <c r="A3169" s="1" t="s">
        <v>4492</v>
      </c>
      <c r="B3169" s="1" t="s">
        <v>2196</v>
      </c>
      <c r="C3169" s="1" t="s">
        <v>2265</v>
      </c>
      <c r="D3169" s="1" t="s">
        <v>4590</v>
      </c>
      <c r="E3169" s="1" t="str">
        <f>"8465"</f>
        <v>8465</v>
      </c>
      <c r="F3169" s="1" t="str">
        <f>"011178699"</f>
        <v>011178699</v>
      </c>
      <c r="G3169" s="1" t="s">
        <v>52</v>
      </c>
      <c r="H3169" s="1" t="s">
        <v>15</v>
      </c>
      <c r="I3169" s="1" t="str">
        <f>"15"</f>
        <v>15</v>
      </c>
      <c r="J3169" s="3">
        <v>26.49</v>
      </c>
      <c r="K3169" s="4">
        <v>46084</v>
      </c>
      <c r="L3169" s="4">
        <v>46092</v>
      </c>
      <c r="M3169" s="1" t="s">
        <v>4589</v>
      </c>
      <c r="N3169" s="1" t="s">
        <v>4588</v>
      </c>
    </row>
    <row r="3170" spans="1:14" s="1" customFormat="1" x14ac:dyDescent="0.35">
      <c r="A3170" s="1" t="s">
        <v>4492</v>
      </c>
      <c r="B3170" s="1" t="s">
        <v>2196</v>
      </c>
      <c r="C3170" s="1" t="s">
        <v>2265</v>
      </c>
      <c r="D3170" s="1" t="s">
        <v>4587</v>
      </c>
      <c r="E3170" s="1" t="str">
        <f>"1240"</f>
        <v>1240</v>
      </c>
      <c r="F3170" s="1" t="str">
        <f>"014111265"</f>
        <v>014111265</v>
      </c>
      <c r="G3170" s="1" t="s">
        <v>71</v>
      </c>
      <c r="H3170" s="1" t="s">
        <v>15</v>
      </c>
      <c r="I3170" s="1" t="str">
        <f>"2"</f>
        <v>2</v>
      </c>
      <c r="J3170" s="3" t="str">
        <f>"339"</f>
        <v>339</v>
      </c>
      <c r="K3170" s="4">
        <v>46060</v>
      </c>
      <c r="L3170" s="4">
        <v>46065</v>
      </c>
      <c r="M3170" s="1" t="s">
        <v>4586</v>
      </c>
      <c r="N3170" s="1" t="s">
        <v>4585</v>
      </c>
    </row>
    <row r="3171" spans="1:14" s="1" customFormat="1" x14ac:dyDescent="0.35">
      <c r="A3171" s="1" t="s">
        <v>4492</v>
      </c>
      <c r="B3171" s="1" t="s">
        <v>2196</v>
      </c>
      <c r="C3171" s="1" t="s">
        <v>2265</v>
      </c>
      <c r="D3171" s="1" t="s">
        <v>4584</v>
      </c>
      <c r="E3171" s="1" t="str">
        <f>"1240"</f>
        <v>1240</v>
      </c>
      <c r="F3171" s="1" t="str">
        <f>"014111265"</f>
        <v>014111265</v>
      </c>
      <c r="G3171" s="1" t="s">
        <v>71</v>
      </c>
      <c r="H3171" s="1" t="s">
        <v>15</v>
      </c>
      <c r="I3171" s="1" t="str">
        <f>"26"</f>
        <v>26</v>
      </c>
      <c r="J3171" s="3" t="str">
        <f>"339"</f>
        <v>339</v>
      </c>
      <c r="K3171" s="4">
        <v>46075</v>
      </c>
      <c r="L3171" s="4">
        <v>46076</v>
      </c>
      <c r="M3171" s="1" t="s">
        <v>4556</v>
      </c>
      <c r="N3171" s="1" t="s">
        <v>4583</v>
      </c>
    </row>
    <row r="3172" spans="1:14" s="1" customFormat="1" x14ac:dyDescent="0.35">
      <c r="A3172" s="1" t="s">
        <v>4492</v>
      </c>
      <c r="B3172" s="1" t="s">
        <v>2196</v>
      </c>
      <c r="C3172" s="1" t="s">
        <v>2265</v>
      </c>
      <c r="D3172" s="1" t="s">
        <v>4582</v>
      </c>
      <c r="E3172" s="1" t="str">
        <f>"1240"</f>
        <v>1240</v>
      </c>
      <c r="F3172" s="1" t="str">
        <f>"014111265"</f>
        <v>014111265</v>
      </c>
      <c r="G3172" s="1" t="s">
        <v>71</v>
      </c>
      <c r="H3172" s="1" t="s">
        <v>15</v>
      </c>
      <c r="I3172" s="1" t="str">
        <f>"4"</f>
        <v>4</v>
      </c>
      <c r="J3172" s="3" t="str">
        <f>"339"</f>
        <v>339</v>
      </c>
      <c r="K3172" s="4">
        <v>46079</v>
      </c>
      <c r="L3172" s="4">
        <v>46079</v>
      </c>
      <c r="N3172" s="1" t="s">
        <v>4581</v>
      </c>
    </row>
    <row r="3173" spans="1:14" s="1" customFormat="1" x14ac:dyDescent="0.35">
      <c r="A3173" s="1" t="s">
        <v>4492</v>
      </c>
      <c r="B3173" s="1" t="s">
        <v>2196</v>
      </c>
      <c r="C3173" s="1" t="s">
        <v>2265</v>
      </c>
      <c r="D3173" s="1" t="s">
        <v>4580</v>
      </c>
      <c r="E3173" s="1" t="str">
        <f>"1240"</f>
        <v>1240</v>
      </c>
      <c r="F3173" s="1" t="str">
        <f>"016520150"</f>
        <v>016520150</v>
      </c>
      <c r="G3173" s="1" t="s">
        <v>4579</v>
      </c>
      <c r="H3173" s="1" t="s">
        <v>15</v>
      </c>
      <c r="I3173" s="1" t="str">
        <f>"4"</f>
        <v>4</v>
      </c>
      <c r="J3173" s="3">
        <v>813.79</v>
      </c>
      <c r="K3173" s="4">
        <v>46083</v>
      </c>
      <c r="L3173" s="4">
        <v>46087</v>
      </c>
      <c r="M3173" s="1" t="s">
        <v>4578</v>
      </c>
      <c r="N3173" s="1" t="s">
        <v>4577</v>
      </c>
    </row>
    <row r="3174" spans="1:14" s="1" customFormat="1" x14ac:dyDescent="0.35">
      <c r="A3174" s="1" t="s">
        <v>4492</v>
      </c>
      <c r="B3174" s="1" t="s">
        <v>2196</v>
      </c>
      <c r="C3174" s="1" t="s">
        <v>2265</v>
      </c>
      <c r="D3174" s="1" t="s">
        <v>4576</v>
      </c>
      <c r="E3174" s="1" t="str">
        <f>"1240"</f>
        <v>1240</v>
      </c>
      <c r="F3174" s="1" t="s">
        <v>1364</v>
      </c>
      <c r="G3174" s="1" t="s">
        <v>1365</v>
      </c>
      <c r="H3174" s="1" t="s">
        <v>15</v>
      </c>
      <c r="I3174" s="1" t="str">
        <f>"2"</f>
        <v>2</v>
      </c>
      <c r="J3174" s="3" t="str">
        <f>"150"</f>
        <v>150</v>
      </c>
      <c r="K3174" s="4">
        <v>46083</v>
      </c>
      <c r="L3174" s="4">
        <v>46087</v>
      </c>
      <c r="M3174" s="1" t="s">
        <v>4575</v>
      </c>
      <c r="N3174" s="1" t="s">
        <v>4574</v>
      </c>
    </row>
    <row r="3175" spans="1:14" s="1" customFormat="1" x14ac:dyDescent="0.35">
      <c r="A3175" s="1" t="s">
        <v>4492</v>
      </c>
      <c r="B3175" s="1" t="s">
        <v>2196</v>
      </c>
      <c r="C3175" s="1" t="s">
        <v>2265</v>
      </c>
      <c r="D3175" s="1" t="s">
        <v>4573</v>
      </c>
      <c r="E3175" s="1" t="str">
        <f>"5855"</f>
        <v>5855</v>
      </c>
      <c r="F3175" s="1" t="str">
        <f>"015345931"</f>
        <v>015345931</v>
      </c>
      <c r="G3175" s="1" t="s">
        <v>742</v>
      </c>
      <c r="H3175" s="1" t="s">
        <v>15</v>
      </c>
      <c r="I3175" s="1" t="str">
        <f>"18"</f>
        <v>18</v>
      </c>
      <c r="J3175" s="3" t="str">
        <f>"970"</f>
        <v>970</v>
      </c>
      <c r="K3175" s="4">
        <v>46083</v>
      </c>
      <c r="L3175" s="4">
        <v>46083</v>
      </c>
      <c r="N3175" s="1" t="s">
        <v>4572</v>
      </c>
    </row>
    <row r="3176" spans="1:14" s="1" customFormat="1" x14ac:dyDescent="0.35">
      <c r="A3176" s="1" t="s">
        <v>4492</v>
      </c>
      <c r="B3176" s="1" t="s">
        <v>2196</v>
      </c>
      <c r="C3176" s="1" t="s">
        <v>2265</v>
      </c>
      <c r="D3176" s="1" t="s">
        <v>4571</v>
      </c>
      <c r="E3176" s="1" t="str">
        <f>"2340"</f>
        <v>2340</v>
      </c>
      <c r="F3176" s="1" t="s">
        <v>1071</v>
      </c>
      <c r="G3176" s="1" t="s">
        <v>1072</v>
      </c>
      <c r="H3176" s="1" t="s">
        <v>15</v>
      </c>
      <c r="I3176" s="1" t="str">
        <f>"1"</f>
        <v>1</v>
      </c>
      <c r="J3176" s="3" t="str">
        <f>"15000"</f>
        <v>15000</v>
      </c>
      <c r="K3176" s="4">
        <v>46084</v>
      </c>
      <c r="L3176" s="4">
        <v>46087</v>
      </c>
      <c r="M3176" s="1" t="s">
        <v>4570</v>
      </c>
      <c r="N3176" s="1" t="s">
        <v>4569</v>
      </c>
    </row>
    <row r="3177" spans="1:14" s="1" customFormat="1" x14ac:dyDescent="0.35">
      <c r="A3177" s="1" t="s">
        <v>4492</v>
      </c>
      <c r="B3177" s="1" t="s">
        <v>2196</v>
      </c>
      <c r="C3177" s="1" t="s">
        <v>2265</v>
      </c>
      <c r="D3177" s="1" t="s">
        <v>4568</v>
      </c>
      <c r="E3177" s="1" t="str">
        <f>"6230"</f>
        <v>6230</v>
      </c>
      <c r="F3177" s="1" t="s">
        <v>4567</v>
      </c>
      <c r="G3177" s="1" t="s">
        <v>4566</v>
      </c>
      <c r="H3177" s="1" t="s">
        <v>15</v>
      </c>
      <c r="I3177" s="1" t="str">
        <f>"75"</f>
        <v>75</v>
      </c>
      <c r="J3177" s="3" t="str">
        <f>"72"</f>
        <v>72</v>
      </c>
      <c r="K3177" s="4">
        <v>46084</v>
      </c>
      <c r="L3177" s="4">
        <v>46087</v>
      </c>
      <c r="M3177" s="1" t="s">
        <v>4565</v>
      </c>
      <c r="N3177" s="1" t="s">
        <v>4564</v>
      </c>
    </row>
    <row r="3178" spans="1:14" s="1" customFormat="1" x14ac:dyDescent="0.35">
      <c r="A3178" s="1" t="s">
        <v>4492</v>
      </c>
      <c r="B3178" s="1" t="s">
        <v>2196</v>
      </c>
      <c r="C3178" s="1" t="s">
        <v>2265</v>
      </c>
      <c r="D3178" s="1" t="s">
        <v>4563</v>
      </c>
      <c r="E3178" s="1" t="str">
        <f>"4130"</f>
        <v>4130</v>
      </c>
      <c r="F3178" s="1" t="str">
        <f>"014825062"</f>
        <v>014825062</v>
      </c>
      <c r="G3178" s="1" t="s">
        <v>2658</v>
      </c>
      <c r="H3178" s="1" t="s">
        <v>15</v>
      </c>
      <c r="I3178" s="1" t="str">
        <f>"1"</f>
        <v>1</v>
      </c>
      <c r="J3178" s="3">
        <v>93.69</v>
      </c>
      <c r="K3178" s="4">
        <v>46094</v>
      </c>
      <c r="L3178" s="4">
        <v>46100</v>
      </c>
      <c r="M3178" s="1" t="s">
        <v>4524</v>
      </c>
      <c r="N3178" s="1" t="s">
        <v>4562</v>
      </c>
    </row>
    <row r="3179" spans="1:14" s="1" customFormat="1" x14ac:dyDescent="0.35">
      <c r="A3179" s="1" t="s">
        <v>4492</v>
      </c>
      <c r="B3179" s="1" t="s">
        <v>2196</v>
      </c>
      <c r="C3179" s="1" t="s">
        <v>2265</v>
      </c>
      <c r="D3179" s="1" t="s">
        <v>4561</v>
      </c>
      <c r="E3179" s="1" t="str">
        <f>"2330"</f>
        <v>2330</v>
      </c>
      <c r="F3179" s="1" t="s">
        <v>104</v>
      </c>
      <c r="G3179" s="1" t="s">
        <v>105</v>
      </c>
      <c r="H3179" s="1" t="s">
        <v>15</v>
      </c>
      <c r="I3179" s="1" t="str">
        <f>"1"</f>
        <v>1</v>
      </c>
      <c r="J3179" s="3" t="str">
        <f>"10000"</f>
        <v>10000</v>
      </c>
      <c r="K3179" s="4">
        <v>46096</v>
      </c>
      <c r="L3179" s="4">
        <v>46101</v>
      </c>
      <c r="M3179" s="1" t="s">
        <v>4560</v>
      </c>
      <c r="N3179" s="1" t="s">
        <v>4559</v>
      </c>
    </row>
    <row r="3180" spans="1:14" s="1" customFormat="1" x14ac:dyDescent="0.35">
      <c r="A3180" s="1" t="s">
        <v>4492</v>
      </c>
      <c r="B3180" s="1" t="s">
        <v>2196</v>
      </c>
      <c r="C3180" s="1" t="s">
        <v>2265</v>
      </c>
      <c r="D3180" s="1" t="s">
        <v>4558</v>
      </c>
      <c r="E3180" s="1" t="str">
        <f>"4240"</f>
        <v>4240</v>
      </c>
      <c r="F3180" s="1" t="str">
        <f>"015274051"</f>
        <v>015274051</v>
      </c>
      <c r="G3180" s="1" t="s">
        <v>4557</v>
      </c>
      <c r="H3180" s="1" t="s">
        <v>15</v>
      </c>
      <c r="I3180" s="1" t="str">
        <f>"3"</f>
        <v>3</v>
      </c>
      <c r="J3180" s="3">
        <v>47.66</v>
      </c>
      <c r="K3180" s="4">
        <v>46096</v>
      </c>
      <c r="L3180" s="4">
        <v>46096</v>
      </c>
      <c r="M3180" s="1" t="s">
        <v>4556</v>
      </c>
      <c r="N3180" s="1" t="s">
        <v>4553</v>
      </c>
    </row>
    <row r="3181" spans="1:14" s="1" customFormat="1" x14ac:dyDescent="0.35">
      <c r="A3181" s="1" t="s">
        <v>4492</v>
      </c>
      <c r="B3181" s="1" t="s">
        <v>2196</v>
      </c>
      <c r="C3181" s="1" t="s">
        <v>2265</v>
      </c>
      <c r="D3181" s="1" t="s">
        <v>4555</v>
      </c>
      <c r="E3181" s="1" t="str">
        <f>"4240"</f>
        <v>4240</v>
      </c>
      <c r="F3181" s="1" t="str">
        <f>"015835742"</f>
        <v>015835742</v>
      </c>
      <c r="G3181" s="1" t="s">
        <v>1404</v>
      </c>
      <c r="H3181" s="1" t="s">
        <v>15</v>
      </c>
      <c r="I3181" s="1" t="str">
        <f>"6"</f>
        <v>6</v>
      </c>
      <c r="J3181" s="3">
        <v>63.41</v>
      </c>
      <c r="K3181" s="4">
        <v>46096</v>
      </c>
      <c r="L3181" s="4">
        <v>46101</v>
      </c>
      <c r="M3181" s="1" t="s">
        <v>4554</v>
      </c>
      <c r="N3181" s="1" t="s">
        <v>4553</v>
      </c>
    </row>
    <row r="3182" spans="1:14" s="1" customFormat="1" x14ac:dyDescent="0.35">
      <c r="A3182" s="1" t="s">
        <v>4492</v>
      </c>
      <c r="B3182" s="1" t="s">
        <v>2196</v>
      </c>
      <c r="C3182" s="1" t="s">
        <v>2265</v>
      </c>
      <c r="D3182" s="1" t="s">
        <v>4552</v>
      </c>
      <c r="E3182" s="1" t="str">
        <f>"2340"</f>
        <v>2340</v>
      </c>
      <c r="F3182" s="1" t="s">
        <v>1071</v>
      </c>
      <c r="G3182" s="1" t="s">
        <v>1072</v>
      </c>
      <c r="H3182" s="1" t="s">
        <v>15</v>
      </c>
      <c r="I3182" s="1" t="str">
        <f>"1"</f>
        <v>1</v>
      </c>
      <c r="J3182" s="3" t="str">
        <f>"5000"</f>
        <v>5000</v>
      </c>
      <c r="K3182" s="4">
        <v>46096</v>
      </c>
      <c r="L3182" s="4">
        <v>46100</v>
      </c>
      <c r="M3182" s="1" t="s">
        <v>4551</v>
      </c>
      <c r="N3182" s="1" t="s">
        <v>4548</v>
      </c>
    </row>
    <row r="3183" spans="1:14" s="1" customFormat="1" x14ac:dyDescent="0.35">
      <c r="A3183" s="1" t="s">
        <v>4492</v>
      </c>
      <c r="B3183" s="1" t="s">
        <v>2196</v>
      </c>
      <c r="C3183" s="1" t="s">
        <v>2265</v>
      </c>
      <c r="D3183" s="1" t="s">
        <v>4550</v>
      </c>
      <c r="E3183" s="1" t="str">
        <f>"2340"</f>
        <v>2340</v>
      </c>
      <c r="F3183" s="1" t="s">
        <v>1071</v>
      </c>
      <c r="G3183" s="1" t="s">
        <v>1072</v>
      </c>
      <c r="H3183" s="1" t="s">
        <v>15</v>
      </c>
      <c r="I3183" s="1" t="str">
        <f>"1"</f>
        <v>1</v>
      </c>
      <c r="J3183" s="3" t="str">
        <f>"5000"</f>
        <v>5000</v>
      </c>
      <c r="K3183" s="4">
        <v>46096</v>
      </c>
      <c r="L3183" s="4">
        <v>46100</v>
      </c>
      <c r="M3183" s="1" t="s">
        <v>4549</v>
      </c>
      <c r="N3183" s="1" t="s">
        <v>4548</v>
      </c>
    </row>
    <row r="3184" spans="1:14" s="1" customFormat="1" x14ac:dyDescent="0.35">
      <c r="A3184" s="1" t="s">
        <v>4492</v>
      </c>
      <c r="B3184" s="1" t="s">
        <v>2196</v>
      </c>
      <c r="C3184" s="1" t="s">
        <v>2265</v>
      </c>
      <c r="D3184" s="1" t="s">
        <v>4547</v>
      </c>
      <c r="E3184" s="1" t="str">
        <f>"8145"</f>
        <v>8145</v>
      </c>
      <c r="F3184" s="1" t="s">
        <v>4546</v>
      </c>
      <c r="G3184" s="1" t="s">
        <v>4545</v>
      </c>
      <c r="H3184" s="1" t="s">
        <v>15</v>
      </c>
      <c r="I3184" s="1" t="str">
        <f>"1"</f>
        <v>1</v>
      </c>
      <c r="J3184" s="3" t="str">
        <f>"200"</f>
        <v>200</v>
      </c>
      <c r="K3184" s="4">
        <v>46103</v>
      </c>
      <c r="L3184" s="4">
        <v>46109</v>
      </c>
      <c r="M3184" s="1" t="s">
        <v>4544</v>
      </c>
      <c r="N3184" s="1" t="s">
        <v>4543</v>
      </c>
    </row>
    <row r="3185" spans="1:14" s="1" customFormat="1" x14ac:dyDescent="0.35">
      <c r="A3185" s="1" t="s">
        <v>4492</v>
      </c>
      <c r="B3185" s="1" t="s">
        <v>2196</v>
      </c>
      <c r="C3185" s="1" t="s">
        <v>2265</v>
      </c>
      <c r="D3185" s="1" t="s">
        <v>4542</v>
      </c>
      <c r="E3185" s="1" t="str">
        <f>"4240"</f>
        <v>4240</v>
      </c>
      <c r="F3185" s="1" t="str">
        <f>"016306064"</f>
        <v>016306064</v>
      </c>
      <c r="G3185" s="1" t="s">
        <v>1404</v>
      </c>
      <c r="H3185" s="1" t="s">
        <v>15</v>
      </c>
      <c r="I3185" s="1" t="str">
        <f>"20"</f>
        <v>20</v>
      </c>
      <c r="J3185" s="3">
        <v>128.97999999999999</v>
      </c>
      <c r="K3185" s="4">
        <v>46103</v>
      </c>
      <c r="L3185" s="4">
        <v>46105</v>
      </c>
      <c r="M3185" s="1" t="s">
        <v>4541</v>
      </c>
      <c r="N3185" s="1" t="s">
        <v>4540</v>
      </c>
    </row>
    <row r="3186" spans="1:14" s="1" customFormat="1" x14ac:dyDescent="0.35">
      <c r="A3186" s="1" t="s">
        <v>4492</v>
      </c>
      <c r="B3186" s="1" t="s">
        <v>2196</v>
      </c>
      <c r="C3186" s="1" t="s">
        <v>2265</v>
      </c>
      <c r="D3186" s="1" t="s">
        <v>4539</v>
      </c>
      <c r="E3186" s="1" t="str">
        <f>"5140"</f>
        <v>5140</v>
      </c>
      <c r="F3186" s="1" t="s">
        <v>364</v>
      </c>
      <c r="G3186" s="1" t="s">
        <v>365</v>
      </c>
      <c r="H3186" s="1" t="s">
        <v>15</v>
      </c>
      <c r="I3186" s="1" t="str">
        <f>"1"</f>
        <v>1</v>
      </c>
      <c r="J3186" s="3">
        <v>11648.49</v>
      </c>
      <c r="K3186" s="4">
        <v>46103</v>
      </c>
      <c r="L3186" s="4">
        <v>46105</v>
      </c>
      <c r="M3186" s="1" t="s">
        <v>4538</v>
      </c>
      <c r="N3186" s="1" t="s">
        <v>4537</v>
      </c>
    </row>
    <row r="3187" spans="1:14" s="1" customFormat="1" x14ac:dyDescent="0.35">
      <c r="A3187" s="1" t="s">
        <v>4492</v>
      </c>
      <c r="B3187" s="1" t="s">
        <v>2196</v>
      </c>
      <c r="C3187" s="1" t="s">
        <v>2265</v>
      </c>
      <c r="D3187" s="1" t="s">
        <v>4536</v>
      </c>
      <c r="E3187" s="1" t="str">
        <f>"5130"</f>
        <v>5130</v>
      </c>
      <c r="F3187" s="1" t="str">
        <f>"016061195"</f>
        <v>016061195</v>
      </c>
      <c r="G3187" s="1" t="s">
        <v>4535</v>
      </c>
      <c r="H3187" s="1" t="s">
        <v>15</v>
      </c>
      <c r="I3187" s="1" t="str">
        <f>"12"</f>
        <v>12</v>
      </c>
      <c r="J3187" s="3">
        <v>488.97</v>
      </c>
      <c r="K3187" s="4">
        <v>46107</v>
      </c>
      <c r="L3187" s="4">
        <v>46108</v>
      </c>
      <c r="M3187" s="1" t="s">
        <v>4534</v>
      </c>
      <c r="N3187" s="1" t="s">
        <v>4533</v>
      </c>
    </row>
    <row r="3188" spans="1:14" s="1" customFormat="1" x14ac:dyDescent="0.35">
      <c r="A3188" s="1" t="s">
        <v>4492</v>
      </c>
      <c r="B3188" s="1" t="s">
        <v>2196</v>
      </c>
      <c r="C3188" s="1" t="s">
        <v>2265</v>
      </c>
      <c r="D3188" s="1" t="s">
        <v>4532</v>
      </c>
      <c r="E3188" s="1" t="str">
        <f>"6230"</f>
        <v>6230</v>
      </c>
      <c r="F3188" s="1" t="str">
        <f>"015888427"</f>
        <v>015888427</v>
      </c>
      <c r="G3188" s="1" t="s">
        <v>1571</v>
      </c>
      <c r="H3188" s="1" t="s">
        <v>15</v>
      </c>
      <c r="I3188" s="1" t="str">
        <f>"1"</f>
        <v>1</v>
      </c>
      <c r="J3188" s="3">
        <v>418.1</v>
      </c>
      <c r="K3188" s="4">
        <v>46083</v>
      </c>
      <c r="L3188" s="4">
        <v>46083</v>
      </c>
      <c r="N3188" s="1" t="s">
        <v>4531</v>
      </c>
    </row>
    <row r="3189" spans="1:14" s="1" customFormat="1" x14ac:dyDescent="0.35">
      <c r="A3189" s="1" t="s">
        <v>4492</v>
      </c>
      <c r="B3189" s="1" t="s">
        <v>388</v>
      </c>
      <c r="C3189" s="1" t="s">
        <v>415</v>
      </c>
      <c r="D3189" s="1" t="s">
        <v>4530</v>
      </c>
      <c r="E3189" s="1" t="str">
        <f>"1385"</f>
        <v>1385</v>
      </c>
      <c r="F3189" s="1" t="str">
        <f>"015736046"</f>
        <v>015736046</v>
      </c>
      <c r="G3189" s="1" t="s">
        <v>417</v>
      </c>
      <c r="H3189" s="1" t="s">
        <v>15</v>
      </c>
      <c r="I3189" s="1" t="str">
        <f>"1"</f>
        <v>1</v>
      </c>
      <c r="J3189" s="3">
        <v>284528.08</v>
      </c>
      <c r="K3189" s="4">
        <v>46014</v>
      </c>
      <c r="L3189" s="4">
        <v>46059</v>
      </c>
      <c r="M3189" s="1" t="s">
        <v>4529</v>
      </c>
      <c r="N3189" s="1" t="s">
        <v>4528</v>
      </c>
    </row>
    <row r="3190" spans="1:14" s="1" customFormat="1" x14ac:dyDescent="0.35">
      <c r="A3190" s="1" t="s">
        <v>4492</v>
      </c>
      <c r="B3190" s="1" t="s">
        <v>388</v>
      </c>
      <c r="C3190" s="1" t="s">
        <v>415</v>
      </c>
      <c r="D3190" s="1" t="s">
        <v>4527</v>
      </c>
      <c r="E3190" s="1" t="str">
        <f>"2320"</f>
        <v>2320</v>
      </c>
      <c r="F3190" s="1" t="s">
        <v>4526</v>
      </c>
      <c r="G3190" s="1" t="s">
        <v>4525</v>
      </c>
      <c r="H3190" s="1" t="s">
        <v>15</v>
      </c>
      <c r="I3190" s="1" t="str">
        <f>"1"</f>
        <v>1</v>
      </c>
      <c r="J3190" s="3">
        <v>610434.26</v>
      </c>
      <c r="K3190" s="4">
        <v>46056</v>
      </c>
      <c r="L3190" s="4">
        <v>46056</v>
      </c>
      <c r="M3190" s="1" t="s">
        <v>4524</v>
      </c>
      <c r="N3190" s="1" t="s">
        <v>4523</v>
      </c>
    </row>
    <row r="3191" spans="1:14" s="1" customFormat="1" x14ac:dyDescent="0.35">
      <c r="A3191" s="1" t="s">
        <v>4492</v>
      </c>
      <c r="B3191" s="1" t="s">
        <v>388</v>
      </c>
      <c r="C3191" s="1" t="s">
        <v>415</v>
      </c>
      <c r="D3191" s="1" t="s">
        <v>4522</v>
      </c>
      <c r="E3191" s="1" t="str">
        <f>"5895"</f>
        <v>5895</v>
      </c>
      <c r="F3191" s="1" t="str">
        <f>"016997317"</f>
        <v>016997317</v>
      </c>
      <c r="G3191" s="1" t="s">
        <v>4521</v>
      </c>
      <c r="H3191" s="1" t="s">
        <v>15</v>
      </c>
      <c r="I3191" s="1" t="str">
        <f>"1"</f>
        <v>1</v>
      </c>
      <c r="J3191" s="3" t="str">
        <f>"310627"</f>
        <v>310627</v>
      </c>
      <c r="K3191" s="4">
        <v>46063</v>
      </c>
      <c r="L3191" s="4">
        <v>46086</v>
      </c>
      <c r="M3191" s="1" t="s">
        <v>4520</v>
      </c>
      <c r="N3191" s="1" t="s">
        <v>4519</v>
      </c>
    </row>
    <row r="3192" spans="1:14" s="1" customFormat="1" x14ac:dyDescent="0.35">
      <c r="A3192" s="1" t="s">
        <v>4492</v>
      </c>
      <c r="B3192" s="1" t="s">
        <v>388</v>
      </c>
      <c r="C3192" s="1" t="s">
        <v>415</v>
      </c>
      <c r="D3192" s="1" t="s">
        <v>4518</v>
      </c>
      <c r="E3192" s="1" t="str">
        <f>"8145"</f>
        <v>8145</v>
      </c>
      <c r="F3192" s="1" t="s">
        <v>2635</v>
      </c>
      <c r="G3192" s="1" t="s">
        <v>2636</v>
      </c>
      <c r="H3192" s="1" t="s">
        <v>15</v>
      </c>
      <c r="I3192" s="1" t="str">
        <f>"1"</f>
        <v>1</v>
      </c>
      <c r="J3192" s="3" t="str">
        <f>"13963"</f>
        <v>13963</v>
      </c>
      <c r="K3192" s="4">
        <v>46084</v>
      </c>
      <c r="L3192" s="4">
        <v>46087</v>
      </c>
      <c r="M3192" s="1" t="s">
        <v>4517</v>
      </c>
      <c r="N3192" s="1" t="s">
        <v>4510</v>
      </c>
    </row>
    <row r="3193" spans="1:14" s="1" customFormat="1" x14ac:dyDescent="0.35">
      <c r="A3193" s="1" t="s">
        <v>4492</v>
      </c>
      <c r="B3193" s="1" t="s">
        <v>388</v>
      </c>
      <c r="C3193" s="1" t="s">
        <v>415</v>
      </c>
      <c r="D3193" s="1" t="s">
        <v>4516</v>
      </c>
      <c r="E3193" s="1" t="str">
        <f>"8145"</f>
        <v>8145</v>
      </c>
      <c r="F3193" s="1" t="s">
        <v>2635</v>
      </c>
      <c r="G3193" s="1" t="s">
        <v>2636</v>
      </c>
      <c r="H3193" s="1" t="s">
        <v>15</v>
      </c>
      <c r="I3193" s="1" t="str">
        <f>"1"</f>
        <v>1</v>
      </c>
      <c r="J3193" s="3" t="str">
        <f>"13963"</f>
        <v>13963</v>
      </c>
      <c r="K3193" s="4">
        <v>46084</v>
      </c>
      <c r="L3193" s="4">
        <v>46087</v>
      </c>
      <c r="M3193" s="1" t="s">
        <v>4515</v>
      </c>
      <c r="N3193" s="1" t="s">
        <v>4510</v>
      </c>
    </row>
    <row r="3194" spans="1:14" s="1" customFormat="1" x14ac:dyDescent="0.35">
      <c r="A3194" s="1" t="s">
        <v>4492</v>
      </c>
      <c r="B3194" s="1" t="s">
        <v>388</v>
      </c>
      <c r="C3194" s="1" t="s">
        <v>415</v>
      </c>
      <c r="D3194" s="1" t="s">
        <v>4514</v>
      </c>
      <c r="E3194" s="1" t="str">
        <f>"8145"</f>
        <v>8145</v>
      </c>
      <c r="F3194" s="1" t="s">
        <v>2635</v>
      </c>
      <c r="G3194" s="1" t="s">
        <v>2636</v>
      </c>
      <c r="H3194" s="1" t="s">
        <v>15</v>
      </c>
      <c r="I3194" s="1" t="str">
        <f>"1"</f>
        <v>1</v>
      </c>
      <c r="J3194" s="3" t="str">
        <f>"13963"</f>
        <v>13963</v>
      </c>
      <c r="K3194" s="4">
        <v>46084</v>
      </c>
      <c r="L3194" s="4">
        <v>46087</v>
      </c>
      <c r="M3194" s="1" t="s">
        <v>4513</v>
      </c>
      <c r="N3194" s="1" t="s">
        <v>4510</v>
      </c>
    </row>
    <row r="3195" spans="1:14" s="1" customFormat="1" x14ac:dyDescent="0.35">
      <c r="A3195" s="1" t="s">
        <v>4492</v>
      </c>
      <c r="B3195" s="1" t="s">
        <v>388</v>
      </c>
      <c r="C3195" s="1" t="s">
        <v>415</v>
      </c>
      <c r="D3195" s="1" t="s">
        <v>4512</v>
      </c>
      <c r="E3195" s="1" t="str">
        <f>"8145"</f>
        <v>8145</v>
      </c>
      <c r="F3195" s="1" t="s">
        <v>2635</v>
      </c>
      <c r="G3195" s="1" t="s">
        <v>2636</v>
      </c>
      <c r="H3195" s="1" t="s">
        <v>15</v>
      </c>
      <c r="I3195" s="1" t="str">
        <f>"1"</f>
        <v>1</v>
      </c>
      <c r="J3195" s="3" t="str">
        <f>"13963"</f>
        <v>13963</v>
      </c>
      <c r="K3195" s="4">
        <v>46084</v>
      </c>
      <c r="L3195" s="4">
        <v>46087</v>
      </c>
      <c r="M3195" s="1" t="s">
        <v>4511</v>
      </c>
      <c r="N3195" s="1" t="s">
        <v>4510</v>
      </c>
    </row>
    <row r="3196" spans="1:14" s="1" customFormat="1" x14ac:dyDescent="0.35">
      <c r="A3196" s="1" t="s">
        <v>4492</v>
      </c>
      <c r="B3196" s="1" t="s">
        <v>388</v>
      </c>
      <c r="C3196" s="1" t="s">
        <v>415</v>
      </c>
      <c r="D3196" s="1" t="s">
        <v>4509</v>
      </c>
      <c r="E3196" s="1" t="str">
        <f>"2320"</f>
        <v>2320</v>
      </c>
      <c r="F3196" s="1" t="str">
        <f>"000064066"</f>
        <v>000064066</v>
      </c>
      <c r="G3196" s="1" t="s">
        <v>4508</v>
      </c>
      <c r="H3196" s="1" t="s">
        <v>15</v>
      </c>
      <c r="I3196" s="1" t="str">
        <f>"1"</f>
        <v>1</v>
      </c>
      <c r="J3196" s="3" t="str">
        <f>"110751"</f>
        <v>110751</v>
      </c>
      <c r="K3196" s="4">
        <v>46089</v>
      </c>
      <c r="L3196" s="4">
        <v>46104</v>
      </c>
      <c r="M3196" s="1" t="s">
        <v>4507</v>
      </c>
      <c r="N3196" s="1" t="s">
        <v>4506</v>
      </c>
    </row>
    <row r="3197" spans="1:14" s="1" customFormat="1" x14ac:dyDescent="0.35">
      <c r="A3197" s="1" t="s">
        <v>4492</v>
      </c>
      <c r="B3197" s="1" t="s">
        <v>388</v>
      </c>
      <c r="C3197" s="1" t="s">
        <v>415</v>
      </c>
      <c r="D3197" s="1" t="s">
        <v>4505</v>
      </c>
      <c r="E3197" s="1" t="str">
        <f>"3805"</f>
        <v>3805</v>
      </c>
      <c r="F3197" s="1" t="s">
        <v>1020</v>
      </c>
      <c r="G3197" s="1" t="s">
        <v>1021</v>
      </c>
      <c r="H3197" s="1" t="s">
        <v>15</v>
      </c>
      <c r="I3197" s="1" t="str">
        <f>"1"</f>
        <v>1</v>
      </c>
      <c r="J3197" s="3">
        <v>102143.01</v>
      </c>
      <c r="K3197" s="4">
        <v>46103</v>
      </c>
      <c r="L3197" s="4">
        <v>46106</v>
      </c>
      <c r="M3197" s="1" t="s">
        <v>4504</v>
      </c>
      <c r="N3197" s="1" t="s">
        <v>4503</v>
      </c>
    </row>
    <row r="3198" spans="1:14" s="1" customFormat="1" x14ac:dyDescent="0.35">
      <c r="A3198" s="1" t="s">
        <v>4492</v>
      </c>
      <c r="B3198" s="1" t="s">
        <v>1303</v>
      </c>
      <c r="C3198" s="1" t="s">
        <v>4491</v>
      </c>
      <c r="D3198" s="1" t="s">
        <v>4502</v>
      </c>
      <c r="E3198" s="1" t="str">
        <f>"2320"</f>
        <v>2320</v>
      </c>
      <c r="F3198" s="1" t="s">
        <v>100</v>
      </c>
      <c r="G3198" s="1" t="s">
        <v>101</v>
      </c>
      <c r="H3198" s="1" t="s">
        <v>15</v>
      </c>
      <c r="I3198" s="1" t="str">
        <f>"1"</f>
        <v>1</v>
      </c>
      <c r="J3198" s="3" t="str">
        <f>"195440"</f>
        <v>195440</v>
      </c>
      <c r="K3198" s="4">
        <v>46019</v>
      </c>
      <c r="L3198" s="4">
        <v>46025</v>
      </c>
      <c r="M3198" s="1" t="s">
        <v>4501</v>
      </c>
      <c r="N3198" s="1" t="s">
        <v>4500</v>
      </c>
    </row>
    <row r="3199" spans="1:14" s="1" customFormat="1" x14ac:dyDescent="0.35">
      <c r="A3199" s="1" t="s">
        <v>4492</v>
      </c>
      <c r="B3199" s="1" t="s">
        <v>1303</v>
      </c>
      <c r="C3199" s="1" t="s">
        <v>4491</v>
      </c>
      <c r="D3199" s="1" t="s">
        <v>4499</v>
      </c>
      <c r="E3199" s="1" t="str">
        <f>"2340"</f>
        <v>2340</v>
      </c>
      <c r="F3199" s="1" t="s">
        <v>4496</v>
      </c>
      <c r="G3199" s="1" t="s">
        <v>4495</v>
      </c>
      <c r="H3199" s="1" t="s">
        <v>15</v>
      </c>
      <c r="I3199" s="1" t="str">
        <f>"2"</f>
        <v>2</v>
      </c>
      <c r="J3199" s="3">
        <v>14958.79</v>
      </c>
      <c r="K3199" s="4">
        <v>46032</v>
      </c>
      <c r="L3199" s="4">
        <v>46039</v>
      </c>
      <c r="M3199" s="1" t="s">
        <v>4498</v>
      </c>
      <c r="N3199" s="1" t="s">
        <v>4493</v>
      </c>
    </row>
    <row r="3200" spans="1:14" s="1" customFormat="1" x14ac:dyDescent="0.35">
      <c r="A3200" s="1" t="s">
        <v>4492</v>
      </c>
      <c r="B3200" s="1" t="s">
        <v>1303</v>
      </c>
      <c r="C3200" s="1" t="s">
        <v>4491</v>
      </c>
      <c r="D3200" s="1" t="s">
        <v>4497</v>
      </c>
      <c r="E3200" s="1" t="str">
        <f>"2340"</f>
        <v>2340</v>
      </c>
      <c r="F3200" s="1" t="s">
        <v>4496</v>
      </c>
      <c r="G3200" s="1" t="s">
        <v>4495</v>
      </c>
      <c r="H3200" s="1" t="s">
        <v>15</v>
      </c>
      <c r="I3200" s="1" t="str">
        <f>"2"</f>
        <v>2</v>
      </c>
      <c r="J3200" s="3">
        <v>14958.79</v>
      </c>
      <c r="K3200" s="4">
        <v>46032</v>
      </c>
      <c r="L3200" s="4">
        <v>46042</v>
      </c>
      <c r="M3200" s="1" t="s">
        <v>4494</v>
      </c>
      <c r="N3200" s="1" t="s">
        <v>4493</v>
      </c>
    </row>
    <row r="3201" spans="1:14" s="1" customFormat="1" x14ac:dyDescent="0.35">
      <c r="A3201" s="1" t="s">
        <v>4492</v>
      </c>
      <c r="B3201" s="1" t="s">
        <v>1303</v>
      </c>
      <c r="C3201" s="1" t="s">
        <v>4491</v>
      </c>
      <c r="D3201" s="1" t="s">
        <v>4490</v>
      </c>
      <c r="E3201" s="1" t="str">
        <f>"3930"</f>
        <v>3930</v>
      </c>
      <c r="F3201" s="1" t="s">
        <v>423</v>
      </c>
      <c r="G3201" s="1" t="s">
        <v>424</v>
      </c>
      <c r="H3201" s="1" t="s">
        <v>15</v>
      </c>
      <c r="I3201" s="1" t="str">
        <f>"1"</f>
        <v>1</v>
      </c>
      <c r="J3201" s="3" t="str">
        <f>"10500"</f>
        <v>10500</v>
      </c>
      <c r="K3201" s="4">
        <v>46032</v>
      </c>
      <c r="L3201" s="4">
        <v>46037</v>
      </c>
      <c r="M3201" s="1" t="s">
        <v>4489</v>
      </c>
      <c r="N3201" s="1" t="s">
        <v>4488</v>
      </c>
    </row>
  </sheetData>
  <pageMargins left="0.7" right="0.7" top="0.75" bottom="0.75" header="0.3" footer="0.3"/>
</worksheet>
</file>

<file path=docMetadata/LabelInfo.xml><?xml version="1.0" encoding="utf-8"?>
<clbl:labelList xmlns:clbl="http://schemas.microsoft.com/office/2020/mipLabelMetadata">
  <clbl:label id="{6dee1d83-8de8-49bb-bc0d-fd8812473904}" enabled="0" method="" siteId="{6dee1d83-8de8-49bb-bc0d-fd881247390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LESO ALL SHIPMENTS</vt:lpstr>
      <vt:lpstr>LESO CANCELLATIONS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 Michael James CIV DLA DISPOSITION SERVICES (USA)</dc:creator>
  <cp:lastModifiedBy>Wood, Michael James CIV DLA DISPOSITION SERVICES (USA)</cp:lastModifiedBy>
  <dcterms:created xsi:type="dcterms:W3CDTF">2026-04-01T13:34:57Z</dcterms:created>
  <dcterms:modified xsi:type="dcterms:W3CDTF">2026-04-01T13:46:46Z</dcterms:modified>
</cp:coreProperties>
</file>